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91EAD162-2C1E-421D-A964-838BBF757D9C}" xr6:coauthVersionLast="47" xr6:coauthVersionMax="47" xr10:uidLastSave="{00000000-0000-0000-0000-000000000000}"/>
  <bookViews>
    <workbookView xWindow="-120" yWindow="-120" windowWidth="38640" windowHeight="15720" firstSheet="2" activeTab="6"/>
  </bookViews>
  <sheets>
    <sheet name="Option (1)" sheetId="1" r:id="rId1"/>
    <sheet name="Option (2)" sheetId="2" r:id="rId2"/>
    <sheet name="Option (3)" sheetId="6" r:id="rId3"/>
    <sheet name="Option (4)" sheetId="3" r:id="rId4"/>
    <sheet name="Option (5)" sheetId="4" r:id="rId5"/>
    <sheet name="Option (6)" sheetId="7" r:id="rId6"/>
    <sheet name="DataEntry" sheetId="5" r:id="rId7"/>
  </sheets>
  <definedNames>
    <definedName name="_xlnm.Print_Area" localSheetId="6">DataEntry!$A$1:$L$48</definedName>
    <definedName name="_xlnm.Print_Area" localSheetId="0">'Option (1)'!$A$1:$L$57</definedName>
    <definedName name="_xlnm.Print_Area" localSheetId="1">'Option (2)'!$A$1:$L$57</definedName>
    <definedName name="_xlnm.Print_Area" localSheetId="2">'Option (3)'!$A$1:$L$57</definedName>
    <definedName name="_xlnm.Print_Area" localSheetId="3">'Option (4)'!$A$1:$L$57</definedName>
    <definedName name="_xlnm.Print_Area" localSheetId="4">'Option (5)'!$A$1:$L$57</definedName>
    <definedName name="_xlnm.Print_Area" localSheetId="5">'Option (6)'!$A$1:$L$57</definedName>
  </definedNames>
  <calcPr calcId="92512"/>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F6" i="5" l="1"/>
  <c r="D8" i="5"/>
  <c r="S8" i="5"/>
  <c r="V8" i="5"/>
  <c r="W8" i="5"/>
  <c r="D9" i="5"/>
  <c r="H9" i="5"/>
  <c r="S9" i="5"/>
  <c r="W9" i="5"/>
  <c r="Y9" i="5"/>
  <c r="S10" i="5"/>
  <c r="V10" i="5"/>
  <c r="W10" i="5"/>
  <c r="Y10" i="5"/>
  <c r="D11" i="5"/>
  <c r="H11" i="5"/>
  <c r="S11" i="5"/>
  <c r="V11" i="5"/>
  <c r="W11" i="5"/>
  <c r="Y11" i="5"/>
  <c r="S12" i="5"/>
  <c r="V12" i="5"/>
  <c r="W12" i="5"/>
  <c r="Y12" i="5"/>
  <c r="D13" i="5"/>
  <c r="H13" i="5"/>
  <c r="S13" i="5"/>
  <c r="V13" i="5"/>
  <c r="W13" i="5"/>
  <c r="Y13" i="5"/>
  <c r="D14" i="5"/>
  <c r="O14" i="5"/>
  <c r="S14" i="5"/>
  <c r="V14" i="5"/>
  <c r="W14" i="5"/>
  <c r="Y14" i="5"/>
  <c r="S15" i="5"/>
  <c r="V15" i="5"/>
  <c r="W15" i="5"/>
  <c r="Y15" i="5"/>
  <c r="V16" i="5"/>
  <c r="W16" i="5"/>
  <c r="Y16" i="5"/>
  <c r="C17" i="5"/>
  <c r="E17" i="5"/>
  <c r="J17" i="5"/>
  <c r="L17" i="5"/>
  <c r="V17" i="5"/>
  <c r="W17" i="5"/>
  <c r="Y17" i="5"/>
  <c r="E18" i="5"/>
  <c r="G18" i="5"/>
  <c r="J18" i="5"/>
  <c r="L18" i="5"/>
  <c r="V18" i="5"/>
  <c r="W18" i="5"/>
  <c r="Y18" i="5"/>
  <c r="J19" i="5"/>
  <c r="L19" i="5"/>
  <c r="V19" i="5"/>
  <c r="W19" i="5"/>
  <c r="Y19" i="5"/>
  <c r="L20" i="5"/>
  <c r="V20" i="5"/>
  <c r="W20" i="5"/>
  <c r="Y20" i="5"/>
  <c r="L21" i="5"/>
  <c r="V21" i="5"/>
  <c r="W21" i="5"/>
  <c r="Y21" i="5"/>
  <c r="L22" i="5"/>
  <c r="V22" i="5"/>
  <c r="W22" i="5"/>
  <c r="Y22" i="5"/>
  <c r="V23" i="5"/>
  <c r="W23" i="5"/>
  <c r="Y23" i="5"/>
  <c r="V24" i="5"/>
  <c r="W24" i="5"/>
  <c r="Y24" i="5"/>
  <c r="V25" i="5"/>
  <c r="W25" i="5"/>
  <c r="Y25" i="5"/>
  <c r="J26" i="5"/>
  <c r="L26" i="5"/>
  <c r="V26" i="5"/>
  <c r="W26" i="5"/>
  <c r="Y26" i="5"/>
  <c r="L27" i="5"/>
  <c r="V27" i="5"/>
  <c r="W27" i="5"/>
  <c r="Y27" i="5"/>
  <c r="L28" i="5"/>
  <c r="V28" i="5"/>
  <c r="W28" i="5"/>
  <c r="Y28" i="5"/>
  <c r="E29" i="5"/>
  <c r="L29" i="5"/>
  <c r="V29" i="5"/>
  <c r="W29" i="5"/>
  <c r="Y29" i="5"/>
  <c r="L30" i="5"/>
  <c r="V30" i="5"/>
  <c r="W30" i="5"/>
  <c r="Y30" i="5"/>
  <c r="E31" i="5"/>
  <c r="L31" i="5"/>
  <c r="V31" i="5"/>
  <c r="W31" i="5"/>
  <c r="Y31" i="5"/>
  <c r="V32" i="5"/>
  <c r="W32" i="5"/>
  <c r="Y32" i="5"/>
  <c r="V33" i="5"/>
  <c r="W33" i="5"/>
  <c r="Y33" i="5"/>
  <c r="L34" i="5"/>
  <c r="V34" i="5"/>
  <c r="W34" i="5"/>
  <c r="Y34" i="5"/>
  <c r="V35" i="5"/>
  <c r="W35" i="5"/>
  <c r="Y35" i="5"/>
  <c r="V36" i="5"/>
  <c r="W36" i="5"/>
  <c r="Y36" i="5"/>
  <c r="V37" i="5"/>
  <c r="W37" i="5"/>
  <c r="Y37" i="5"/>
  <c r="L38" i="5"/>
  <c r="V38" i="5"/>
  <c r="W38" i="5"/>
  <c r="Y38" i="5"/>
  <c r="L39" i="5"/>
  <c r="V39" i="5"/>
  <c r="W39" i="5"/>
  <c r="Y39" i="5"/>
  <c r="L40" i="5"/>
  <c r="V40" i="5"/>
  <c r="W40" i="5"/>
  <c r="Y40" i="5"/>
  <c r="L41" i="5"/>
  <c r="V41" i="5"/>
  <c r="W41" i="5"/>
  <c r="Y41" i="5"/>
  <c r="V42" i="5"/>
  <c r="W42" i="5"/>
  <c r="Y42" i="5"/>
  <c r="L43" i="5"/>
  <c r="V43" i="5"/>
  <c r="W43" i="5"/>
  <c r="Y43" i="5"/>
  <c r="E44" i="5"/>
  <c r="V44" i="5"/>
  <c r="W44" i="5"/>
  <c r="Y44" i="5"/>
  <c r="V45" i="5"/>
  <c r="W45" i="5"/>
  <c r="Y45" i="5"/>
  <c r="K46" i="5"/>
  <c r="L46" i="5"/>
  <c r="V46" i="5"/>
  <c r="W46" i="5"/>
  <c r="Y46" i="5"/>
  <c r="V47" i="5"/>
  <c r="W47" i="5"/>
  <c r="Y47" i="5"/>
  <c r="V48" i="5"/>
  <c r="W48" i="5"/>
  <c r="Y48" i="5"/>
  <c r="V49" i="5"/>
  <c r="W49" i="5"/>
  <c r="Y49" i="5"/>
  <c r="V50" i="5"/>
  <c r="W50" i="5"/>
  <c r="Y50" i="5"/>
  <c r="V51" i="5"/>
  <c r="W51" i="5"/>
  <c r="Y51" i="5"/>
  <c r="A52" i="5"/>
  <c r="V52" i="5"/>
  <c r="W52" i="5"/>
  <c r="Y52" i="5"/>
  <c r="V53" i="5"/>
  <c r="W53" i="5"/>
  <c r="Y53" i="5"/>
  <c r="V54" i="5"/>
  <c r="W54" i="5"/>
  <c r="Y54" i="5"/>
  <c r="V55" i="5"/>
  <c r="W55" i="5"/>
  <c r="Y55" i="5"/>
  <c r="V56" i="5"/>
  <c r="W56" i="5"/>
  <c r="Y56" i="5"/>
  <c r="V57" i="5"/>
  <c r="W57" i="5"/>
  <c r="Y57" i="5"/>
  <c r="V58" i="5"/>
  <c r="W58" i="5"/>
  <c r="Y58" i="5"/>
  <c r="V59" i="5"/>
  <c r="W59" i="5"/>
  <c r="Y59" i="5"/>
  <c r="V60" i="5"/>
  <c r="W60" i="5"/>
  <c r="Y60" i="5"/>
  <c r="V61" i="5"/>
  <c r="W61" i="5"/>
  <c r="Y61" i="5"/>
  <c r="V62" i="5"/>
  <c r="W62" i="5"/>
  <c r="Y62" i="5"/>
  <c r="V63" i="5"/>
  <c r="W63" i="5"/>
  <c r="Y63" i="5"/>
  <c r="V64" i="5"/>
  <c r="W64" i="5"/>
  <c r="Y64" i="5"/>
  <c r="V65" i="5"/>
  <c r="W65" i="5"/>
  <c r="Y65" i="5"/>
  <c r="V66" i="5"/>
  <c r="W66" i="5"/>
  <c r="Y66" i="5"/>
  <c r="V67" i="5"/>
  <c r="W67" i="5"/>
  <c r="Y67" i="5"/>
  <c r="V68" i="5"/>
  <c r="W68" i="5"/>
  <c r="Y68" i="5"/>
  <c r="V69" i="5"/>
  <c r="W69" i="5"/>
  <c r="D4" i="1"/>
  <c r="K4" i="1"/>
  <c r="F5" i="1"/>
  <c r="F6" i="1"/>
  <c r="A8" i="1"/>
  <c r="D8" i="1"/>
  <c r="E8" i="1"/>
  <c r="H8" i="1"/>
  <c r="I8" i="1"/>
  <c r="A9" i="1"/>
  <c r="D9" i="1"/>
  <c r="I9" i="1"/>
  <c r="A10" i="1"/>
  <c r="I10" i="1"/>
  <c r="A11" i="1"/>
  <c r="D11" i="1"/>
  <c r="E11" i="1"/>
  <c r="H11" i="1"/>
  <c r="I11" i="1"/>
  <c r="K11" i="1"/>
  <c r="L11" i="1"/>
  <c r="A12" i="1"/>
  <c r="H12" i="1"/>
  <c r="I12" i="1"/>
  <c r="A13" i="1"/>
  <c r="D13" i="1"/>
  <c r="E13" i="1"/>
  <c r="H13" i="1"/>
  <c r="I13" i="1"/>
  <c r="A14" i="1"/>
  <c r="D14" i="1"/>
  <c r="E14" i="1"/>
  <c r="H14" i="1"/>
  <c r="I14" i="1"/>
  <c r="B17" i="1"/>
  <c r="C17" i="1"/>
  <c r="D17" i="1"/>
  <c r="E17" i="1"/>
  <c r="G17" i="1"/>
  <c r="H17" i="1"/>
  <c r="J17" i="1"/>
  <c r="L17" i="1"/>
  <c r="B18" i="1"/>
  <c r="D18" i="1"/>
  <c r="E18" i="1"/>
  <c r="G18" i="1"/>
  <c r="H18" i="1"/>
  <c r="J18" i="1"/>
  <c r="L18" i="1"/>
  <c r="B19" i="1"/>
  <c r="D19" i="1"/>
  <c r="E19" i="1"/>
  <c r="G19" i="1"/>
  <c r="H19" i="1"/>
  <c r="J19" i="1"/>
  <c r="L19" i="1"/>
  <c r="B20" i="1"/>
  <c r="D20" i="1"/>
  <c r="E20" i="1"/>
  <c r="G20" i="1"/>
  <c r="H20" i="1"/>
  <c r="J20" i="1"/>
  <c r="L20" i="1"/>
  <c r="B21" i="1"/>
  <c r="D21" i="1"/>
  <c r="E21" i="1"/>
  <c r="G21" i="1"/>
  <c r="H21" i="1"/>
  <c r="L21" i="1"/>
  <c r="B22" i="1"/>
  <c r="D22" i="1"/>
  <c r="E22" i="1"/>
  <c r="L22" i="1"/>
  <c r="B23" i="1"/>
  <c r="D23" i="1"/>
  <c r="E23" i="1"/>
  <c r="B24" i="1"/>
  <c r="D24" i="1"/>
  <c r="E24" i="1"/>
  <c r="B25" i="1"/>
  <c r="D25" i="1"/>
  <c r="E25" i="1"/>
  <c r="B26" i="1"/>
  <c r="D26" i="1"/>
  <c r="E26" i="1"/>
  <c r="H26" i="1"/>
  <c r="J26" i="1"/>
  <c r="L26" i="1"/>
  <c r="B27" i="1"/>
  <c r="D27" i="1"/>
  <c r="E27" i="1"/>
  <c r="H27" i="1"/>
  <c r="L27" i="1"/>
  <c r="B28" i="1"/>
  <c r="D28" i="1"/>
  <c r="E28" i="1"/>
  <c r="H28" i="1"/>
  <c r="L28" i="1"/>
  <c r="E29" i="1"/>
  <c r="H29" i="1"/>
  <c r="L29" i="1"/>
  <c r="H30" i="1"/>
  <c r="L30" i="1"/>
  <c r="B31" i="1"/>
  <c r="D31" i="1"/>
  <c r="E31" i="1"/>
  <c r="H31" i="1"/>
  <c r="L31" i="1"/>
  <c r="B32" i="1"/>
  <c r="D32" i="1"/>
  <c r="E32" i="1"/>
  <c r="B33" i="1"/>
  <c r="D33" i="1"/>
  <c r="E33" i="1"/>
  <c r="B34" i="1"/>
  <c r="D34" i="1"/>
  <c r="E34" i="1"/>
  <c r="L34" i="1"/>
  <c r="B35" i="1"/>
  <c r="D35" i="1"/>
  <c r="E35" i="1"/>
  <c r="B36" i="1"/>
  <c r="D36" i="1"/>
  <c r="E36" i="1"/>
  <c r="B37" i="1"/>
  <c r="D37" i="1"/>
  <c r="E37" i="1"/>
  <c r="H37" i="1"/>
  <c r="L37" i="1"/>
  <c r="B38" i="1"/>
  <c r="D38" i="1"/>
  <c r="E38" i="1"/>
  <c r="H38" i="1"/>
  <c r="L38" i="1"/>
  <c r="B39" i="1"/>
  <c r="D39" i="1"/>
  <c r="E39" i="1"/>
  <c r="H39" i="1"/>
  <c r="L39" i="1"/>
  <c r="B40" i="1"/>
  <c r="D40" i="1"/>
  <c r="E40" i="1"/>
  <c r="H40" i="1"/>
  <c r="L40" i="1"/>
  <c r="B41" i="1"/>
  <c r="D41" i="1"/>
  <c r="E41" i="1"/>
  <c r="H41" i="1"/>
  <c r="L41" i="1"/>
  <c r="B42" i="1"/>
  <c r="D42" i="1"/>
  <c r="E42" i="1"/>
  <c r="H43" i="1"/>
  <c r="L43" i="1"/>
  <c r="E44" i="1"/>
  <c r="H44" i="1"/>
  <c r="L44" i="1"/>
  <c r="H45" i="1"/>
  <c r="L45" i="1"/>
  <c r="K46" i="1"/>
  <c r="L46" i="1"/>
  <c r="A56" i="1"/>
  <c r="A57" i="1"/>
  <c r="D4" i="2"/>
  <c r="K4" i="2"/>
  <c r="F5" i="2"/>
  <c r="F6" i="2"/>
  <c r="A8" i="2"/>
  <c r="D8" i="2"/>
  <c r="E8" i="2"/>
  <c r="H8" i="2"/>
  <c r="I8" i="2"/>
  <c r="A9" i="2"/>
  <c r="D9" i="2"/>
  <c r="H9" i="2"/>
  <c r="I9" i="2"/>
  <c r="A10" i="2"/>
  <c r="I10" i="2"/>
  <c r="A11" i="2"/>
  <c r="D11" i="2"/>
  <c r="E11" i="2"/>
  <c r="H11" i="2"/>
  <c r="I11" i="2"/>
  <c r="K11" i="2"/>
  <c r="L11" i="2"/>
  <c r="A12" i="2"/>
  <c r="H12" i="2"/>
  <c r="I12" i="2"/>
  <c r="A13" i="2"/>
  <c r="D13" i="2"/>
  <c r="E13" i="2"/>
  <c r="H13" i="2"/>
  <c r="I13" i="2"/>
  <c r="A14" i="2"/>
  <c r="D14" i="2"/>
  <c r="E14" i="2"/>
  <c r="H14" i="2"/>
  <c r="I14" i="2"/>
  <c r="B17" i="2"/>
  <c r="C17" i="2"/>
  <c r="D17" i="2"/>
  <c r="E17" i="2"/>
  <c r="G17" i="2"/>
  <c r="H17" i="2"/>
  <c r="J17" i="2"/>
  <c r="L17" i="2"/>
  <c r="B18" i="2"/>
  <c r="D18" i="2"/>
  <c r="E18" i="2"/>
  <c r="H18" i="2"/>
  <c r="J18" i="2"/>
  <c r="L18" i="2"/>
  <c r="B19" i="2"/>
  <c r="D19" i="2"/>
  <c r="E19" i="2"/>
  <c r="H19" i="2"/>
  <c r="J19" i="2"/>
  <c r="L19" i="2"/>
  <c r="B20" i="2"/>
  <c r="D20" i="2"/>
  <c r="E20" i="2"/>
  <c r="H20" i="2"/>
  <c r="L20" i="2"/>
  <c r="B21" i="2"/>
  <c r="D21" i="2"/>
  <c r="E21" i="2"/>
  <c r="H21" i="2"/>
  <c r="L21" i="2"/>
  <c r="B22" i="2"/>
  <c r="D22" i="2"/>
  <c r="E22" i="2"/>
  <c r="L22" i="2"/>
  <c r="B23" i="2"/>
  <c r="D23" i="2"/>
  <c r="E23" i="2"/>
  <c r="B24" i="2"/>
  <c r="D24" i="2"/>
  <c r="E24" i="2"/>
  <c r="B25" i="2"/>
  <c r="D25" i="2"/>
  <c r="E25" i="2"/>
  <c r="B26" i="2"/>
  <c r="D26" i="2"/>
  <c r="E26" i="2"/>
  <c r="H26" i="2"/>
  <c r="J26" i="2"/>
  <c r="L26" i="2"/>
  <c r="B27" i="2"/>
  <c r="D27" i="2"/>
  <c r="E27" i="2"/>
  <c r="H27" i="2"/>
  <c r="B28" i="2"/>
  <c r="D28" i="2"/>
  <c r="E28" i="2"/>
  <c r="H28" i="2"/>
  <c r="E29" i="2"/>
  <c r="H29" i="2"/>
  <c r="L29" i="2"/>
  <c r="H30" i="2"/>
  <c r="L30" i="2"/>
  <c r="B31" i="2"/>
  <c r="D31" i="2"/>
  <c r="E31" i="2"/>
  <c r="H31" i="2"/>
  <c r="L31" i="2"/>
  <c r="B32" i="2"/>
  <c r="E32" i="2"/>
  <c r="B33" i="2"/>
  <c r="D33" i="2"/>
  <c r="E33" i="2"/>
  <c r="B34" i="2"/>
  <c r="D34" i="2"/>
  <c r="E34" i="2"/>
  <c r="L34" i="2"/>
  <c r="B35" i="2"/>
  <c r="D35" i="2"/>
  <c r="E35" i="2"/>
  <c r="B36" i="2"/>
  <c r="D36" i="2"/>
  <c r="E36" i="2"/>
  <c r="B37" i="2"/>
  <c r="D37" i="2"/>
  <c r="E37" i="2"/>
  <c r="H37" i="2"/>
  <c r="L37" i="2"/>
  <c r="B38" i="2"/>
  <c r="D38" i="2"/>
  <c r="E38" i="2"/>
  <c r="H38" i="2"/>
  <c r="L38" i="2"/>
  <c r="B39" i="2"/>
  <c r="D39" i="2"/>
  <c r="E39" i="2"/>
  <c r="H39" i="2"/>
  <c r="L39" i="2"/>
  <c r="B40" i="2"/>
  <c r="D40" i="2"/>
  <c r="E40" i="2"/>
  <c r="H40" i="2"/>
  <c r="L40" i="2"/>
  <c r="B41" i="2"/>
  <c r="D41" i="2"/>
  <c r="E41" i="2"/>
  <c r="H41" i="2"/>
  <c r="L41" i="2"/>
  <c r="B42" i="2"/>
  <c r="D42" i="2"/>
  <c r="E42" i="2"/>
  <c r="H43" i="2"/>
  <c r="L43" i="2"/>
  <c r="E44" i="2"/>
  <c r="H44" i="2"/>
  <c r="L44" i="2"/>
  <c r="H45" i="2"/>
  <c r="L45" i="2"/>
  <c r="K46" i="2"/>
  <c r="L46" i="2"/>
  <c r="A56" i="2"/>
  <c r="A57" i="2"/>
  <c r="D4" i="6"/>
  <c r="K4" i="6"/>
  <c r="F5" i="6"/>
  <c r="F6" i="6"/>
  <c r="A8" i="6"/>
  <c r="D8" i="6"/>
  <c r="E8" i="6"/>
  <c r="H8" i="6"/>
  <c r="I8" i="6"/>
  <c r="A9" i="6"/>
  <c r="D9" i="6"/>
  <c r="H9" i="6"/>
  <c r="I9" i="6"/>
  <c r="A10" i="6"/>
  <c r="H10" i="6"/>
  <c r="I10" i="6"/>
  <c r="A11" i="6"/>
  <c r="D11" i="6"/>
  <c r="E11" i="6"/>
  <c r="H11" i="6"/>
  <c r="I11" i="6"/>
  <c r="A12" i="6"/>
  <c r="H12" i="6"/>
  <c r="I12" i="6"/>
  <c r="A13" i="6"/>
  <c r="D13" i="6"/>
  <c r="E13" i="6"/>
  <c r="H13" i="6"/>
  <c r="I13" i="6"/>
  <c r="A14" i="6"/>
  <c r="D14" i="6"/>
  <c r="E14" i="6"/>
  <c r="H14" i="6"/>
  <c r="I14" i="6"/>
  <c r="B17" i="6"/>
  <c r="C17" i="6"/>
  <c r="D17" i="6"/>
  <c r="E17" i="6"/>
  <c r="G17" i="6"/>
  <c r="H17" i="6"/>
  <c r="J17" i="6"/>
  <c r="L17" i="6"/>
  <c r="B18" i="6"/>
  <c r="D18" i="6"/>
  <c r="E18" i="6"/>
  <c r="H18" i="6"/>
  <c r="J18" i="6"/>
  <c r="L18" i="6"/>
  <c r="B19" i="6"/>
  <c r="D19" i="6"/>
  <c r="E19" i="6"/>
  <c r="H19" i="6"/>
  <c r="J19" i="6"/>
  <c r="L19" i="6"/>
  <c r="B20" i="6"/>
  <c r="D20" i="6"/>
  <c r="E20" i="6"/>
  <c r="H20" i="6"/>
  <c r="L20" i="6"/>
  <c r="B21" i="6"/>
  <c r="D21" i="6"/>
  <c r="E21" i="6"/>
  <c r="H21" i="6"/>
  <c r="L21" i="6"/>
  <c r="B22" i="6"/>
  <c r="D22" i="6"/>
  <c r="E22" i="6"/>
  <c r="L22" i="6"/>
  <c r="B23" i="6"/>
  <c r="D23" i="6"/>
  <c r="E23" i="6"/>
  <c r="B24" i="6"/>
  <c r="D24" i="6"/>
  <c r="E24" i="6"/>
  <c r="B25" i="6"/>
  <c r="D25" i="6"/>
  <c r="E25" i="6"/>
  <c r="B26" i="6"/>
  <c r="D26" i="6"/>
  <c r="E26" i="6"/>
  <c r="H26" i="6"/>
  <c r="J26" i="6"/>
  <c r="L26" i="6"/>
  <c r="B27" i="6"/>
  <c r="D27" i="6"/>
  <c r="E27" i="6"/>
  <c r="H27" i="6"/>
  <c r="B28" i="6"/>
  <c r="D28" i="6"/>
  <c r="E28" i="6"/>
  <c r="H28" i="6"/>
  <c r="E29" i="6"/>
  <c r="H29" i="6"/>
  <c r="L29" i="6"/>
  <c r="H30" i="6"/>
  <c r="L30" i="6"/>
  <c r="B31" i="6"/>
  <c r="D31" i="6"/>
  <c r="E31" i="6"/>
  <c r="H31" i="6"/>
  <c r="L31" i="6"/>
  <c r="B32" i="6"/>
  <c r="E32" i="6"/>
  <c r="B33" i="6"/>
  <c r="D33" i="6"/>
  <c r="E33" i="6"/>
  <c r="B34" i="6"/>
  <c r="D34" i="6"/>
  <c r="E34" i="6"/>
  <c r="L34" i="6"/>
  <c r="B35" i="6"/>
  <c r="D35" i="6"/>
  <c r="E35" i="6"/>
  <c r="B36" i="6"/>
  <c r="D36" i="6"/>
  <c r="E36" i="6"/>
  <c r="B37" i="6"/>
  <c r="D37" i="6"/>
  <c r="E37" i="6"/>
  <c r="H37" i="6"/>
  <c r="L37" i="6"/>
  <c r="B38" i="6"/>
  <c r="D38" i="6"/>
  <c r="E38" i="6"/>
  <c r="H38" i="6"/>
  <c r="L38" i="6"/>
  <c r="B39" i="6"/>
  <c r="D39" i="6"/>
  <c r="E39" i="6"/>
  <c r="H39" i="6"/>
  <c r="L39" i="6"/>
  <c r="B40" i="6"/>
  <c r="D40" i="6"/>
  <c r="E40" i="6"/>
  <c r="H40" i="6"/>
  <c r="L40" i="6"/>
  <c r="B41" i="6"/>
  <c r="D41" i="6"/>
  <c r="E41" i="6"/>
  <c r="H41" i="6"/>
  <c r="L41" i="6"/>
  <c r="B42" i="6"/>
  <c r="D42" i="6"/>
  <c r="E42" i="6"/>
  <c r="H43" i="6"/>
  <c r="L43" i="6"/>
  <c r="E44" i="6"/>
  <c r="H44" i="6"/>
  <c r="L44" i="6"/>
  <c r="H45" i="6"/>
  <c r="L45" i="6"/>
  <c r="K46" i="6"/>
  <c r="L46" i="6"/>
  <c r="A56" i="6"/>
  <c r="A57" i="6"/>
  <c r="D4" i="3"/>
  <c r="K4" i="3"/>
  <c r="F5" i="3"/>
  <c r="F6" i="3"/>
  <c r="A8" i="3"/>
  <c r="D8" i="3"/>
  <c r="E8" i="3"/>
  <c r="H8" i="3"/>
  <c r="I8" i="3"/>
  <c r="A9" i="3"/>
  <c r="D9" i="3"/>
  <c r="I9" i="3"/>
  <c r="A10" i="3"/>
  <c r="I10" i="3"/>
  <c r="A11" i="3"/>
  <c r="D11" i="3"/>
  <c r="E11" i="3"/>
  <c r="H11" i="3"/>
  <c r="I11" i="3"/>
  <c r="K11" i="3"/>
  <c r="L11" i="3"/>
  <c r="A12" i="3"/>
  <c r="H12" i="3"/>
  <c r="I12" i="3"/>
  <c r="A13" i="3"/>
  <c r="D13" i="3"/>
  <c r="E13" i="3"/>
  <c r="H13" i="3"/>
  <c r="I13" i="3"/>
  <c r="A14" i="3"/>
  <c r="D14" i="3"/>
  <c r="E14" i="3"/>
  <c r="H14" i="3"/>
  <c r="I14" i="3"/>
  <c r="B17" i="3"/>
  <c r="C17" i="3"/>
  <c r="D17" i="3"/>
  <c r="E17" i="3"/>
  <c r="G17" i="3"/>
  <c r="H17" i="3"/>
  <c r="J17" i="3"/>
  <c r="L17" i="3"/>
  <c r="B18" i="3"/>
  <c r="D18" i="3"/>
  <c r="E18" i="3"/>
  <c r="G18" i="3"/>
  <c r="H18" i="3"/>
  <c r="J18" i="3"/>
  <c r="L18" i="3"/>
  <c r="B19" i="3"/>
  <c r="D19" i="3"/>
  <c r="E19" i="3"/>
  <c r="G19" i="3"/>
  <c r="H19" i="3"/>
  <c r="J19" i="3"/>
  <c r="L19" i="3"/>
  <c r="B20" i="3"/>
  <c r="D20" i="3"/>
  <c r="E20" i="3"/>
  <c r="G20" i="3"/>
  <c r="H20" i="3"/>
  <c r="J20" i="3"/>
  <c r="L20" i="3"/>
  <c r="B21" i="3"/>
  <c r="D21" i="3"/>
  <c r="E21" i="3"/>
  <c r="G21" i="3"/>
  <c r="H21" i="3"/>
  <c r="L21" i="3"/>
  <c r="B22" i="3"/>
  <c r="D22" i="3"/>
  <c r="E22" i="3"/>
  <c r="L22" i="3"/>
  <c r="B23" i="3"/>
  <c r="D23" i="3"/>
  <c r="E23" i="3"/>
  <c r="B24" i="3"/>
  <c r="D24" i="3"/>
  <c r="E24" i="3"/>
  <c r="B25" i="3"/>
  <c r="D25" i="3"/>
  <c r="E25" i="3"/>
  <c r="B26" i="3"/>
  <c r="D26" i="3"/>
  <c r="E26" i="3"/>
  <c r="H26" i="3"/>
  <c r="J26" i="3"/>
  <c r="L26" i="3"/>
  <c r="B27" i="3"/>
  <c r="D27" i="3"/>
  <c r="E27" i="3"/>
  <c r="H27" i="3"/>
  <c r="L27" i="3"/>
  <c r="B28" i="3"/>
  <c r="D28" i="3"/>
  <c r="E28" i="3"/>
  <c r="H28" i="3"/>
  <c r="L28" i="3"/>
  <c r="E29" i="3"/>
  <c r="H29" i="3"/>
  <c r="L29" i="3"/>
  <c r="H30" i="3"/>
  <c r="L30" i="3"/>
  <c r="B31" i="3"/>
  <c r="D31" i="3"/>
  <c r="E31" i="3"/>
  <c r="H31" i="3"/>
  <c r="L31" i="3"/>
  <c r="B32" i="3"/>
  <c r="D32" i="3"/>
  <c r="E32" i="3"/>
  <c r="B33" i="3"/>
  <c r="D33" i="3"/>
  <c r="E33" i="3"/>
  <c r="B34" i="3"/>
  <c r="D34" i="3"/>
  <c r="E34" i="3"/>
  <c r="L34" i="3"/>
  <c r="B35" i="3"/>
  <c r="D35" i="3"/>
  <c r="E35" i="3"/>
  <c r="B36" i="3"/>
  <c r="D36" i="3"/>
  <c r="E36" i="3"/>
  <c r="B37" i="3"/>
  <c r="D37" i="3"/>
  <c r="E37" i="3"/>
  <c r="H37" i="3"/>
  <c r="L37" i="3"/>
  <c r="B38" i="3"/>
  <c r="D38" i="3"/>
  <c r="E38" i="3"/>
  <c r="H38" i="3"/>
  <c r="L38" i="3"/>
  <c r="B39" i="3"/>
  <c r="D39" i="3"/>
  <c r="E39" i="3"/>
  <c r="H39" i="3"/>
  <c r="L39" i="3"/>
  <c r="B40" i="3"/>
  <c r="D40" i="3"/>
  <c r="E40" i="3"/>
  <c r="H40" i="3"/>
  <c r="L40" i="3"/>
  <c r="B41" i="3"/>
  <c r="D41" i="3"/>
  <c r="E41" i="3"/>
  <c r="H41" i="3"/>
  <c r="L41" i="3"/>
  <c r="B42" i="3"/>
  <c r="D42" i="3"/>
  <c r="E42" i="3"/>
  <c r="H43" i="3"/>
  <c r="L43" i="3"/>
  <c r="E44" i="3"/>
  <c r="H44" i="3"/>
  <c r="L44" i="3"/>
  <c r="H45" i="3"/>
  <c r="L45" i="3"/>
  <c r="K46" i="3"/>
  <c r="L46" i="3"/>
  <c r="A56" i="3"/>
  <c r="A57" i="3"/>
  <c r="D4" i="4"/>
  <c r="K4" i="4"/>
  <c r="F5" i="4"/>
  <c r="F6" i="4"/>
  <c r="A8" i="4"/>
  <c r="D8" i="4"/>
  <c r="E8" i="4"/>
  <c r="H8" i="4"/>
  <c r="I8" i="4"/>
  <c r="A9" i="4"/>
  <c r="D9" i="4"/>
  <c r="H9" i="4"/>
  <c r="I9" i="4"/>
  <c r="A10" i="4"/>
  <c r="I10" i="4"/>
  <c r="A11" i="4"/>
  <c r="D11" i="4"/>
  <c r="E11" i="4"/>
  <c r="H11" i="4"/>
  <c r="I11" i="4"/>
  <c r="K11" i="4"/>
  <c r="L11" i="4"/>
  <c r="A12" i="4"/>
  <c r="H12" i="4"/>
  <c r="I12" i="4"/>
  <c r="A13" i="4"/>
  <c r="D13" i="4"/>
  <c r="E13" i="4"/>
  <c r="H13" i="4"/>
  <c r="I13" i="4"/>
  <c r="A14" i="4"/>
  <c r="D14" i="4"/>
  <c r="E14" i="4"/>
  <c r="H14" i="4"/>
  <c r="I14" i="4"/>
  <c r="B17" i="4"/>
  <c r="C17" i="4"/>
  <c r="D17" i="4"/>
  <c r="E17" i="4"/>
  <c r="G17" i="4"/>
  <c r="H17" i="4"/>
  <c r="J17" i="4"/>
  <c r="L17" i="4"/>
  <c r="B18" i="4"/>
  <c r="D18" i="4"/>
  <c r="E18" i="4"/>
  <c r="H18" i="4"/>
  <c r="J18" i="4"/>
  <c r="L18" i="4"/>
  <c r="B19" i="4"/>
  <c r="D19" i="4"/>
  <c r="E19" i="4"/>
  <c r="H19" i="4"/>
  <c r="J19" i="4"/>
  <c r="L19" i="4"/>
  <c r="B20" i="4"/>
  <c r="D20" i="4"/>
  <c r="E20" i="4"/>
  <c r="H20" i="4"/>
  <c r="L20" i="4"/>
  <c r="B21" i="4"/>
  <c r="D21" i="4"/>
  <c r="E21" i="4"/>
  <c r="H21" i="4"/>
  <c r="L21" i="4"/>
  <c r="B22" i="4"/>
  <c r="D22" i="4"/>
  <c r="E22" i="4"/>
  <c r="L22" i="4"/>
  <c r="B23" i="4"/>
  <c r="D23" i="4"/>
  <c r="E23" i="4"/>
  <c r="B24" i="4"/>
  <c r="D24" i="4"/>
  <c r="E24" i="4"/>
  <c r="B25" i="4"/>
  <c r="D25" i="4"/>
  <c r="E25" i="4"/>
  <c r="B26" i="4"/>
  <c r="D26" i="4"/>
  <c r="E26" i="4"/>
  <c r="H26" i="4"/>
  <c r="J26" i="4"/>
  <c r="L26" i="4"/>
  <c r="B27" i="4"/>
  <c r="D27" i="4"/>
  <c r="E27" i="4"/>
  <c r="H27" i="4"/>
  <c r="B28" i="4"/>
  <c r="D28" i="4"/>
  <c r="E28" i="4"/>
  <c r="H28" i="4"/>
  <c r="E29" i="4"/>
  <c r="H29" i="4"/>
  <c r="L29" i="4"/>
  <c r="H30" i="4"/>
  <c r="L30" i="4"/>
  <c r="B31" i="4"/>
  <c r="D31" i="4"/>
  <c r="E31" i="4"/>
  <c r="H31" i="4"/>
  <c r="L31" i="4"/>
  <c r="B32" i="4"/>
  <c r="E32" i="4"/>
  <c r="B33" i="4"/>
  <c r="D33" i="4"/>
  <c r="E33" i="4"/>
  <c r="B34" i="4"/>
  <c r="D34" i="4"/>
  <c r="E34" i="4"/>
  <c r="L34" i="4"/>
  <c r="B35" i="4"/>
  <c r="D35" i="4"/>
  <c r="E35" i="4"/>
  <c r="B36" i="4"/>
  <c r="D36" i="4"/>
  <c r="E36" i="4"/>
  <c r="B37" i="4"/>
  <c r="D37" i="4"/>
  <c r="E37" i="4"/>
  <c r="H37" i="4"/>
  <c r="L37" i="4"/>
  <c r="B38" i="4"/>
  <c r="D38" i="4"/>
  <c r="E38" i="4"/>
  <c r="H38" i="4"/>
  <c r="L38" i="4"/>
  <c r="B39" i="4"/>
  <c r="D39" i="4"/>
  <c r="E39" i="4"/>
  <c r="H39" i="4"/>
  <c r="L39" i="4"/>
  <c r="B40" i="4"/>
  <c r="D40" i="4"/>
  <c r="E40" i="4"/>
  <c r="H40" i="4"/>
  <c r="L40" i="4"/>
  <c r="B41" i="4"/>
  <c r="D41" i="4"/>
  <c r="E41" i="4"/>
  <c r="H41" i="4"/>
  <c r="L41" i="4"/>
  <c r="B42" i="4"/>
  <c r="D42" i="4"/>
  <c r="E42" i="4"/>
  <c r="H43" i="4"/>
  <c r="L43" i="4"/>
  <c r="E44" i="4"/>
  <c r="H44" i="4"/>
  <c r="L44" i="4"/>
  <c r="H45" i="4"/>
  <c r="L45" i="4"/>
  <c r="K46" i="4"/>
  <c r="L46" i="4"/>
  <c r="A56" i="4"/>
  <c r="A57" i="4"/>
  <c r="D4" i="7"/>
  <c r="K4" i="7"/>
  <c r="F5" i="7"/>
  <c r="F6" i="7"/>
  <c r="A8" i="7"/>
  <c r="D8" i="7"/>
  <c r="E8" i="7"/>
  <c r="H8" i="7"/>
  <c r="I8" i="7"/>
  <c r="A9" i="7"/>
  <c r="D9" i="7"/>
  <c r="H9" i="7"/>
  <c r="I9" i="7"/>
  <c r="A10" i="7"/>
  <c r="H10" i="7"/>
  <c r="I10" i="7"/>
  <c r="A11" i="7"/>
  <c r="D11" i="7"/>
  <c r="E11" i="7"/>
  <c r="H11" i="7"/>
  <c r="I11" i="7"/>
  <c r="A12" i="7"/>
  <c r="H12" i="7"/>
  <c r="I12" i="7"/>
  <c r="A13" i="7"/>
  <c r="D13" i="7"/>
  <c r="E13" i="7"/>
  <c r="H13" i="7"/>
  <c r="I13" i="7"/>
  <c r="A14" i="7"/>
  <c r="D14" i="7"/>
  <c r="E14" i="7"/>
  <c r="H14" i="7"/>
  <c r="I14" i="7"/>
  <c r="B17" i="7"/>
  <c r="C17" i="7"/>
  <c r="D17" i="7"/>
  <c r="E17" i="7"/>
  <c r="G17" i="7"/>
  <c r="H17" i="7"/>
  <c r="J17" i="7"/>
  <c r="L17" i="7"/>
  <c r="B18" i="7"/>
  <c r="D18" i="7"/>
  <c r="E18" i="7"/>
  <c r="H18" i="7"/>
  <c r="J18" i="7"/>
  <c r="L18" i="7"/>
  <c r="B19" i="7"/>
  <c r="D19" i="7"/>
  <c r="E19" i="7"/>
  <c r="H19" i="7"/>
  <c r="J19" i="7"/>
  <c r="L19" i="7"/>
  <c r="B20" i="7"/>
  <c r="D20" i="7"/>
  <c r="E20" i="7"/>
  <c r="H20" i="7"/>
  <c r="L20" i="7"/>
  <c r="B21" i="7"/>
  <c r="D21" i="7"/>
  <c r="E21" i="7"/>
  <c r="H21" i="7"/>
  <c r="L21" i="7"/>
  <c r="B22" i="7"/>
  <c r="D22" i="7"/>
  <c r="E22" i="7"/>
  <c r="L22" i="7"/>
  <c r="B23" i="7"/>
  <c r="D23" i="7"/>
  <c r="E23" i="7"/>
  <c r="B24" i="7"/>
  <c r="D24" i="7"/>
  <c r="E24" i="7"/>
  <c r="B25" i="7"/>
  <c r="D25" i="7"/>
  <c r="E25" i="7"/>
  <c r="B26" i="7"/>
  <c r="D26" i="7"/>
  <c r="E26" i="7"/>
  <c r="H26" i="7"/>
  <c r="J26" i="7"/>
  <c r="L26" i="7"/>
  <c r="B27" i="7"/>
  <c r="D27" i="7"/>
  <c r="E27" i="7"/>
  <c r="H27" i="7"/>
  <c r="B28" i="7"/>
  <c r="D28" i="7"/>
  <c r="E28" i="7"/>
  <c r="H28" i="7"/>
  <c r="E29" i="7"/>
  <c r="H29" i="7"/>
  <c r="L29" i="7"/>
  <c r="H30" i="7"/>
  <c r="L30" i="7"/>
  <c r="B31" i="7"/>
  <c r="D31" i="7"/>
  <c r="E31" i="7"/>
  <c r="H31" i="7"/>
  <c r="L31" i="7"/>
  <c r="B32" i="7"/>
  <c r="E32" i="7"/>
  <c r="B33" i="7"/>
  <c r="D33" i="7"/>
  <c r="E33" i="7"/>
  <c r="B34" i="7"/>
  <c r="D34" i="7"/>
  <c r="E34" i="7"/>
  <c r="L34" i="7"/>
  <c r="B35" i="7"/>
  <c r="D35" i="7"/>
  <c r="E35" i="7"/>
  <c r="B36" i="7"/>
  <c r="D36" i="7"/>
  <c r="E36" i="7"/>
  <c r="B37" i="7"/>
  <c r="D37" i="7"/>
  <c r="E37" i="7"/>
  <c r="H37" i="7"/>
  <c r="L37" i="7"/>
  <c r="B38" i="7"/>
  <c r="D38" i="7"/>
  <c r="E38" i="7"/>
  <c r="H38" i="7"/>
  <c r="L38" i="7"/>
  <c r="B39" i="7"/>
  <c r="D39" i="7"/>
  <c r="E39" i="7"/>
  <c r="H39" i="7"/>
  <c r="L39" i="7"/>
  <c r="B40" i="7"/>
  <c r="D40" i="7"/>
  <c r="E40" i="7"/>
  <c r="H40" i="7"/>
  <c r="L40" i="7"/>
  <c r="B41" i="7"/>
  <c r="D41" i="7"/>
  <c r="E41" i="7"/>
  <c r="H41" i="7"/>
  <c r="L41" i="7"/>
  <c r="B42" i="7"/>
  <c r="D42" i="7"/>
  <c r="E42" i="7"/>
  <c r="H43" i="7"/>
  <c r="L43" i="7"/>
  <c r="E44" i="7"/>
  <c r="H44" i="7"/>
  <c r="L44" i="7"/>
  <c r="H45" i="7"/>
  <c r="L45" i="7"/>
  <c r="K46" i="7"/>
  <c r="L46" i="7"/>
  <c r="A56" i="7"/>
  <c r="A57" i="7"/>
</calcChain>
</file>

<file path=xl/sharedStrings.xml><?xml version="1.0" encoding="utf-8"?>
<sst xmlns="http://schemas.openxmlformats.org/spreadsheetml/2006/main" count="506" uniqueCount="130">
  <si>
    <t>Good Faith Estimate Of Settlement Charges</t>
  </si>
  <si>
    <t>Name(s)</t>
  </si>
  <si>
    <t xml:space="preserve"> </t>
  </si>
  <si>
    <t>Date:</t>
  </si>
  <si>
    <t>Property Address:</t>
  </si>
  <si>
    <t>Loan and Property Information</t>
  </si>
  <si>
    <t>Type of Loan, 1st:</t>
  </si>
  <si>
    <t>Loan Term - 1st</t>
  </si>
  <si>
    <t>Loan Term - 2nd</t>
  </si>
  <si>
    <t>Second Loan Amount</t>
  </si>
  <si>
    <t>Note Rate:</t>
  </si>
  <si>
    <t>Total LTV</t>
  </si>
  <si>
    <t>2nd Lien Rate</t>
  </si>
  <si>
    <t>Closing Date</t>
  </si>
  <si>
    <t>Hazard Ins yr:</t>
  </si>
  <si>
    <t>Taxes yr:</t>
  </si>
  <si>
    <t>Transaction Type</t>
  </si>
  <si>
    <t>Estimated RMCV/Lender Closing Costs</t>
  </si>
  <si>
    <t>Estimated Prepayments &amp; Funds for Escrow Account</t>
  </si>
  <si>
    <t>Days of Interim Interest</t>
  </si>
  <si>
    <t>per day</t>
  </si>
  <si>
    <t>escrow waiver fee</t>
  </si>
  <si>
    <t>per mo</t>
  </si>
  <si>
    <t xml:space="preserve">Appraisal </t>
  </si>
  <si>
    <t>Credit Report</t>
  </si>
  <si>
    <t>Mo Mortgage Insurance</t>
  </si>
  <si>
    <t>HOA fee</t>
  </si>
  <si>
    <t>Underwriting</t>
  </si>
  <si>
    <t>Wire/Funding</t>
  </si>
  <si>
    <t>Tax Service</t>
  </si>
  <si>
    <t>Estimated Monthly Payments</t>
  </si>
  <si>
    <t>Flood Cert</t>
  </si>
  <si>
    <t>Doc Prep Ancillary</t>
  </si>
  <si>
    <t xml:space="preserve">Principal &amp; Interest at </t>
  </si>
  <si>
    <t xml:space="preserve">Delivery </t>
  </si>
  <si>
    <t>Taxes</t>
  </si>
  <si>
    <t>Processing</t>
  </si>
  <si>
    <t>Homeowners Insurance</t>
  </si>
  <si>
    <t>2nd Lien Principal &amp; Interest</t>
  </si>
  <si>
    <t>Estimated Other Closing Costs</t>
  </si>
  <si>
    <t>Mortgage Insurance</t>
  </si>
  <si>
    <t>Lenders Title Policy</t>
  </si>
  <si>
    <t>Condo/HOA fee</t>
  </si>
  <si>
    <t>Owners Title Policy</t>
  </si>
  <si>
    <t>Settlement</t>
  </si>
  <si>
    <t>Recording</t>
  </si>
  <si>
    <t>Tax Certificates</t>
  </si>
  <si>
    <t>Cash To Close Estimate</t>
  </si>
  <si>
    <t>Survey</t>
  </si>
  <si>
    <t>Attorney</t>
  </si>
  <si>
    <t>Closing Costs - Lender</t>
  </si>
  <si>
    <t>Condo Certification</t>
  </si>
  <si>
    <t>Closing Costs - Other</t>
  </si>
  <si>
    <t>2nd lien charges</t>
  </si>
  <si>
    <t>Prepaids</t>
  </si>
  <si>
    <t>HOA Transfer fee</t>
  </si>
  <si>
    <t>Subtotal</t>
  </si>
  <si>
    <t>tbd</t>
  </si>
  <si>
    <t>Borrower</t>
  </si>
  <si>
    <t>Date</t>
  </si>
  <si>
    <t>CoBorrower</t>
  </si>
  <si>
    <t>total loan points</t>
  </si>
  <si>
    <t>RMC Vanguard Mortgage Corporation</t>
  </si>
  <si>
    <t xml:space="preserve">Total points including origination fee = </t>
  </si>
  <si>
    <t xml:space="preserve">less lender credit </t>
  </si>
  <si>
    <t>This form does not cover all items you may be required to pay in cash at settlement.  You may inquire as to the amounts of such other items which you may be required to pay at settlement. For example, deposits in escrow of real estate taxes and insurance.  You may be required to pay additional amounts at closing.  Any application fees deposited with RMC Vanguard are non-refundable.  The above figures are estimates and are subject to change.  Certain of the above estimates based on the amount of the loan and rate applied for may change.</t>
  </si>
  <si>
    <t>This application does not constitute a commitment to make a loan. I hereby acknowledge receipt of a description of the loan plan I am applying for; 'Settlement Information Booklet-HUD Guide for Homebuyers; "The equal Credit Opportunity Act Notice" "The Consumer Handbook on Adjustable 'Rate Mortgages and this Good Faith Estimate of Settlement Costs."</t>
  </si>
  <si>
    <t>Subtotal =</t>
  </si>
  <si>
    <t>Total Estimated Settlement Costs =</t>
  </si>
  <si>
    <t>Total Prepaids  =</t>
  </si>
  <si>
    <t>Total Monthly Payment  =</t>
  </si>
  <si>
    <t>Application Fee</t>
  </si>
  <si>
    <t>year fixed</t>
  </si>
  <si>
    <t>year fixed with escrow account option shown</t>
  </si>
  <si>
    <t>Option 1:</t>
  </si>
  <si>
    <t>Option 2:</t>
  </si>
  <si>
    <t>Option 3:</t>
  </si>
  <si>
    <t>Option 4:</t>
  </si>
  <si>
    <t xml:space="preserve">Option #: </t>
  </si>
  <si>
    <t>DATA ENTRY</t>
  </si>
  <si>
    <t>FOR RMCV USE ONLY</t>
  </si>
  <si>
    <t>Estimate @ 2.5%</t>
  </si>
  <si>
    <t xml:space="preserve"> Option #</t>
  </si>
  <si>
    <t>Points</t>
  </si>
  <si>
    <t>Rate</t>
  </si>
  <si>
    <t xml:space="preserve">Estimate </t>
  </si>
  <si>
    <t/>
  </si>
  <si>
    <t>Closing Cost Deposit</t>
  </si>
  <si>
    <t>Estimated Value of Home</t>
  </si>
  <si>
    <t>Payoff existing loan(s)</t>
  </si>
  <si>
    <t>not reqd</t>
  </si>
  <si>
    <t>use current?</t>
  </si>
  <si>
    <t>less new loan amount</t>
  </si>
  <si>
    <t>*these may vary depending on insurance renewal and tax payments made</t>
  </si>
  <si>
    <t>Current borrower escrow to be refunded after closing</t>
  </si>
  <si>
    <t>Est Mo Hazard Ins*</t>
  </si>
  <si>
    <t>Est Mo Taxes*</t>
  </si>
  <si>
    <t>=</t>
  </si>
  <si>
    <t>Credit on outstanding balance</t>
  </si>
  <si>
    <t>Years Paid on Original Loan</t>
  </si>
  <si>
    <t>Estimated Hazard Insurance</t>
  </si>
  <si>
    <t>Credit Towards Existing Lenders Title Policy</t>
  </si>
  <si>
    <t>Estimated Days of Interim Interest Based on Closing Date</t>
  </si>
  <si>
    <t>Estimated Escrow Deposits for Taxes Based on Funding Date</t>
  </si>
  <si>
    <t>=  Funding date</t>
  </si>
  <si>
    <t>Funding Date (3 days after closing)</t>
  </si>
  <si>
    <t xml:space="preserve">New first loan amount </t>
  </si>
  <si>
    <t>year fixed with escrow account , roll in closing and prepaids</t>
  </si>
  <si>
    <t>year fixed without escrow account, roll in costs and prepaids</t>
  </si>
  <si>
    <t>current 30 day lock</t>
  </si>
  <si>
    <t>rate/term refi</t>
  </si>
  <si>
    <t>Option 5:</t>
  </si>
  <si>
    <t>Option 6:</t>
  </si>
  <si>
    <t>2+3</t>
  </si>
  <si>
    <t>5+6</t>
  </si>
  <si>
    <t>2 loans without escrow account</t>
  </si>
  <si>
    <t>2nd lenders title</t>
  </si>
  <si>
    <t>year fixed without escrow account, loan amts = payoff</t>
  </si>
  <si>
    <t>1 loan with mortgage insurance</t>
  </si>
  <si>
    <t>LO initials:</t>
  </si>
  <si>
    <t>LR</t>
  </si>
  <si>
    <t>Please Select</t>
  </si>
  <si>
    <t>BC</t>
  </si>
  <si>
    <t>BS</t>
  </si>
  <si>
    <t>DB</t>
  </si>
  <si>
    <t>JS</t>
  </si>
  <si>
    <t>OR</t>
  </si>
  <si>
    <t>JB</t>
  </si>
  <si>
    <t>888-852-7645 ext. 6025 Toll free / 713-802-6035 Fax</t>
  </si>
  <si>
    <t>Paul Thomas refi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</si>
</sst>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5" formatCode="&quot;$&quot;#,##0_);\(&quot;$&quot;#,##0\)"/>
    <numFmt numFmtId="7" formatCode="&quot;$&quot;#,##0.00_);\(&quot;$&quot;#,##0.00\)"/>
    <numFmt numFmtId="164" formatCode="0.000%"/>
    <numFmt numFmtId="166" formatCode="General_)"/>
    <numFmt numFmtId="168" formatCode="&quot;$&quot;#\,000.00"/>
    <numFmt numFmtId="169" formatCode="&quot;$&quot;#\,000"/>
    <numFmt numFmtId="172" formatCode=".00"/>
    <numFmt numFmtId="176" formatCode="0.000"/>
    <numFmt numFmtId="177" formatCode="&quot;$&quot;#,##0"/>
    <numFmt numFmtId="179" formatCode="&quot;$&quot;#,##0.00"/>
    <numFmt numFmtId="183" formatCode="mm/dd/yy"/>
    <numFmt numFmtId="184" formatCode="dd\-mmm\-yy"/>
    <numFmt numFmtId="185" formatCode="m/d"/>
  </numFmts>
  <fonts count="19" x14ac:knownFonts="1">
    <font>
      <sz val="12"/>
      <name val="Helv"/>
    </font>
    <font>
      <sz val="12"/>
      <name val="Times New Roman"/>
      <family val="1"/>
    </font>
    <font>
      <u/>
      <sz val="12"/>
      <name val="Times New Roman"/>
      <family val="1"/>
    </font>
    <font>
      <sz val="10"/>
      <name val="Times New Roman"/>
      <family val="1"/>
    </font>
    <font>
      <sz val="8"/>
      <name val="Times New Roman"/>
      <family val="1"/>
    </font>
    <font>
      <b/>
      <sz val="18"/>
      <name val="Times New Roman"/>
    </font>
    <font>
      <sz val="12"/>
      <name val="Times New Roman"/>
    </font>
    <font>
      <sz val="11"/>
      <name val="Times New Roman"/>
      <family val="1"/>
    </font>
    <font>
      <sz val="9"/>
      <name val="Times New Roman"/>
      <family val="1"/>
    </font>
    <font>
      <b/>
      <u/>
      <sz val="12"/>
      <name val="Times New Roman"/>
      <family val="1"/>
    </font>
    <font>
      <b/>
      <i/>
      <sz val="11"/>
      <name val="Times New Roman"/>
      <family val="1"/>
    </font>
    <font>
      <sz val="11"/>
      <name val="Helv"/>
    </font>
    <font>
      <u/>
      <sz val="11"/>
      <name val="Times New Roman"/>
      <family val="1"/>
    </font>
    <font>
      <b/>
      <sz val="12"/>
      <name val="Times New Roman"/>
      <family val="1"/>
    </font>
    <font>
      <b/>
      <sz val="11"/>
      <name val="Times New Roman"/>
      <family val="1"/>
    </font>
    <font>
      <i/>
      <sz val="11"/>
      <name val="Times New Roman"/>
      <family val="1"/>
    </font>
    <font>
      <sz val="12"/>
      <name val="Helv"/>
    </font>
    <font>
      <sz val="12"/>
      <color indexed="10"/>
      <name val="Times New Roman"/>
      <family val="1"/>
    </font>
    <font>
      <sz val="11"/>
      <color indexed="10"/>
      <name val="Times New Roman"/>
      <family val="1"/>
    </font>
  </fonts>
  <fills count="11">
    <fill>
      <patternFill patternType="none"/>
    </fill>
    <fill>
      <patternFill patternType="gray125"/>
    </fill>
    <fill>
      <patternFill patternType="solid">
        <fgColor indexed="65"/>
        <bgColor indexed="64"/>
      </patternFill>
    </fill>
    <fill>
      <patternFill patternType="solid">
        <fgColor indexed="65"/>
        <bgColor indexed="8"/>
      </patternFill>
    </fill>
    <fill>
      <patternFill patternType="solid">
        <fgColor indexed="9"/>
        <bgColor indexed="8"/>
      </patternFill>
    </fill>
    <fill>
      <patternFill patternType="solid">
        <fgColor indexed="11"/>
        <bgColor indexed="64"/>
      </patternFill>
    </fill>
    <fill>
      <patternFill patternType="solid">
        <fgColor indexed="11"/>
        <bgColor indexed="8"/>
      </patternFill>
    </fill>
    <fill>
      <patternFill patternType="solid">
        <fgColor indexed="29"/>
        <bgColor indexed="8"/>
      </patternFill>
    </fill>
    <fill>
      <patternFill patternType="solid">
        <fgColor indexed="9"/>
        <bgColor indexed="64"/>
      </patternFill>
    </fill>
    <fill>
      <patternFill patternType="solid">
        <fgColor indexed="29"/>
        <bgColor indexed="64"/>
      </patternFill>
    </fill>
    <fill>
      <patternFill patternType="solid">
        <fgColor indexed="47"/>
        <bgColor indexed="8"/>
      </patternFill>
    </fill>
  </fills>
  <borders count="40">
    <border>
      <left/>
      <right/>
      <top/>
      <bottom/>
      <diagonal/>
    </border>
    <border>
      <left/>
      <right/>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diagonal/>
    </border>
    <border>
      <left style="thin">
        <color indexed="8"/>
      </left>
      <right/>
      <top/>
      <bottom style="thin">
        <color indexed="8"/>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top/>
      <bottom style="thin">
        <color indexed="8"/>
      </bottom>
      <diagonal/>
    </border>
    <border>
      <left/>
      <right style="medium">
        <color indexed="8"/>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top/>
      <bottom/>
      <diagonal/>
    </border>
    <border>
      <left style="medium">
        <color indexed="8"/>
      </left>
      <right/>
      <top/>
      <bottom style="medium">
        <color indexed="8"/>
      </bottom>
      <diagonal/>
    </border>
    <border>
      <left/>
      <right/>
      <top/>
      <bottom style="medium">
        <color indexed="8"/>
      </bottom>
      <diagonal/>
    </border>
    <border>
      <left style="thin">
        <color indexed="8"/>
      </left>
      <right/>
      <top/>
      <bottom style="medium">
        <color indexed="8"/>
      </bottom>
      <diagonal/>
    </border>
    <border>
      <left/>
      <right style="medium">
        <color indexed="8"/>
      </right>
      <top/>
      <bottom style="medium">
        <color indexed="8"/>
      </bottom>
      <diagonal/>
    </border>
    <border>
      <left/>
      <right style="medium">
        <color indexed="8"/>
      </right>
      <top/>
      <bottom/>
      <diagonal/>
    </border>
    <border>
      <left/>
      <right/>
      <top style="thin">
        <color indexed="8"/>
      </top>
      <bottom style="thin">
        <color indexed="8"/>
      </bottom>
      <diagonal/>
    </border>
    <border>
      <left/>
      <right/>
      <top/>
      <bottom style="double">
        <color indexed="8"/>
      </bottom>
      <diagonal/>
    </border>
    <border>
      <left/>
      <right/>
      <top style="thin">
        <color indexed="8"/>
      </top>
      <bottom style="double">
        <color indexed="8"/>
      </bottom>
      <diagonal/>
    </border>
    <border>
      <left/>
      <right style="medium">
        <color indexed="8"/>
      </right>
      <top/>
      <bottom style="double">
        <color indexed="8"/>
      </bottom>
      <diagonal/>
    </border>
    <border>
      <left style="medium">
        <color indexed="8"/>
      </left>
      <right style="medium">
        <color indexed="8"/>
      </right>
      <top style="medium">
        <color indexed="8"/>
      </top>
      <bottom style="medium">
        <color indexed="8"/>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s>
  <cellStyleXfs count="1">
    <xf numFmtId="166" fontId="0" fillId="0" borderId="0"/>
  </cellStyleXfs>
  <cellXfs count="286">
    <xf numFmtId="166" fontId="0" fillId="0" borderId="0" xfId="0"/>
    <xf numFmtId="166" fontId="5" fillId="2" borderId="0" xfId="0" applyFont="1" applyFill="1" applyAlignment="1">
      <alignment horizontal="centerContinuous"/>
    </xf>
    <xf numFmtId="166" fontId="1" fillId="2" borderId="0" xfId="0" applyFont="1" applyFill="1" applyAlignment="1">
      <alignment horizontal="centerContinuous"/>
    </xf>
    <xf numFmtId="166" fontId="1" fillId="2" borderId="0" xfId="0" applyFont="1" applyFill="1"/>
    <xf numFmtId="166" fontId="1" fillId="2" borderId="0" xfId="0" applyFont="1" applyFill="1" applyAlignment="1">
      <alignment horizontal="left"/>
    </xf>
    <xf numFmtId="166" fontId="1" fillId="2" borderId="1" xfId="0" applyFont="1" applyFill="1" applyBorder="1"/>
    <xf numFmtId="166" fontId="1" fillId="2" borderId="1" xfId="0" applyFont="1" applyFill="1" applyBorder="1" applyAlignment="1">
      <alignment horizontal="left"/>
    </xf>
    <xf numFmtId="166" fontId="3" fillId="2" borderId="0" xfId="0" applyFont="1" applyFill="1"/>
    <xf numFmtId="166" fontId="7" fillId="2" borderId="0" xfId="0" applyFont="1" applyFill="1" applyAlignment="1">
      <alignment horizontal="left"/>
    </xf>
    <xf numFmtId="166" fontId="6" fillId="2" borderId="0" xfId="0" applyFont="1" applyFill="1" applyAlignment="1">
      <alignment horizontal="right"/>
    </xf>
    <xf numFmtId="166" fontId="4" fillId="2" borderId="2" xfId="0" applyFont="1" applyFill="1" applyBorder="1" applyAlignment="1">
      <alignment horizontal="left" vertical="center"/>
    </xf>
    <xf numFmtId="166" fontId="1" fillId="2" borderId="2" xfId="0" applyFont="1" applyFill="1" applyBorder="1" applyAlignment="1">
      <alignment vertical="center"/>
    </xf>
    <xf numFmtId="166" fontId="1" fillId="2" borderId="0" xfId="0" applyFont="1" applyFill="1" applyBorder="1"/>
    <xf numFmtId="166" fontId="3" fillId="2" borderId="0" xfId="0" applyFont="1" applyFill="1" applyBorder="1" applyAlignment="1">
      <alignment horizontal="left"/>
    </xf>
    <xf numFmtId="168" fontId="3" fillId="2" borderId="0" xfId="0" applyNumberFormat="1" applyFont="1" applyFill="1" applyBorder="1" applyProtection="1"/>
    <xf numFmtId="166" fontId="9" fillId="2" borderId="3" xfId="0" applyFont="1" applyFill="1" applyBorder="1" applyAlignment="1">
      <alignment horizontal="left" vertical="center"/>
    </xf>
    <xf numFmtId="166" fontId="2" fillId="2" borderId="4" xfId="0" applyFont="1" applyFill="1" applyBorder="1" applyAlignment="1">
      <alignment vertical="center"/>
    </xf>
    <xf numFmtId="1" fontId="2" fillId="2" borderId="4" xfId="0" applyNumberFormat="1" applyFont="1" applyFill="1" applyBorder="1" applyAlignment="1">
      <alignment vertical="center"/>
    </xf>
    <xf numFmtId="166" fontId="2" fillId="2" borderId="5" xfId="0" applyFont="1" applyFill="1" applyBorder="1" applyAlignment="1">
      <alignment vertical="center"/>
    </xf>
    <xf numFmtId="166" fontId="1" fillId="2" borderId="6" xfId="0" applyFont="1" applyFill="1" applyBorder="1" applyAlignment="1">
      <alignment vertical="center"/>
    </xf>
    <xf numFmtId="166" fontId="3" fillId="2" borderId="7" xfId="0" applyFont="1" applyFill="1" applyBorder="1" applyAlignment="1">
      <alignment vertical="center"/>
    </xf>
    <xf numFmtId="166" fontId="1" fillId="2" borderId="1" xfId="0" applyFont="1" applyFill="1" applyBorder="1" applyAlignment="1">
      <alignment vertical="center"/>
    </xf>
    <xf numFmtId="166" fontId="1" fillId="2" borderId="4" xfId="0" applyFont="1" applyFill="1" applyBorder="1" applyAlignment="1">
      <alignment vertical="center"/>
    </xf>
    <xf numFmtId="166" fontId="3" fillId="2" borderId="0" xfId="0" applyFont="1" applyFill="1" applyBorder="1" applyAlignment="1">
      <alignment vertical="center"/>
    </xf>
    <xf numFmtId="166" fontId="7" fillId="2" borderId="2" xfId="0" applyFont="1" applyFill="1" applyBorder="1" applyAlignment="1">
      <alignment horizontal="left" vertical="center"/>
    </xf>
    <xf numFmtId="166" fontId="7" fillId="2" borderId="2" xfId="0" quotePrefix="1" applyFont="1" applyFill="1" applyBorder="1" applyAlignment="1">
      <alignment horizontal="left" vertical="center"/>
    </xf>
    <xf numFmtId="166" fontId="7" fillId="2" borderId="2" xfId="0" applyFont="1" applyFill="1" applyBorder="1" applyAlignment="1">
      <alignment vertical="center"/>
    </xf>
    <xf numFmtId="166" fontId="7" fillId="2" borderId="0" xfId="0" applyFont="1" applyFill="1" applyBorder="1" applyAlignment="1">
      <alignment vertical="center"/>
    </xf>
    <xf numFmtId="177" fontId="3" fillId="3" borderId="0" xfId="0" applyNumberFormat="1" applyFont="1" applyFill="1" applyBorder="1" applyAlignment="1">
      <alignment vertical="center"/>
    </xf>
    <xf numFmtId="166" fontId="7" fillId="3" borderId="7" xfId="0" applyFont="1" applyFill="1" applyBorder="1" applyAlignment="1">
      <alignment vertical="center"/>
    </xf>
    <xf numFmtId="7" fontId="7" fillId="2" borderId="1" xfId="0" applyNumberFormat="1" applyFont="1" applyFill="1" applyBorder="1" applyAlignment="1" applyProtection="1">
      <alignment vertical="center"/>
    </xf>
    <xf numFmtId="166" fontId="7" fillId="2" borderId="6" xfId="0" applyFont="1" applyFill="1" applyBorder="1" applyAlignment="1">
      <alignment vertical="center"/>
    </xf>
    <xf numFmtId="164" fontId="7" fillId="2" borderId="1" xfId="0" applyNumberFormat="1" applyFont="1" applyFill="1" applyBorder="1" applyAlignment="1" applyProtection="1">
      <alignment vertical="center"/>
    </xf>
    <xf numFmtId="164" fontId="7" fillId="2" borderId="0" xfId="0" applyNumberFormat="1" applyFont="1" applyFill="1" applyBorder="1" applyAlignment="1" applyProtection="1">
      <alignment vertical="center"/>
    </xf>
    <xf numFmtId="166" fontId="12" fillId="2" borderId="7" xfId="0" applyFont="1" applyFill="1" applyBorder="1" applyAlignment="1">
      <alignment vertical="center"/>
    </xf>
    <xf numFmtId="166" fontId="7" fillId="2" borderId="1" xfId="0" applyFont="1" applyFill="1" applyBorder="1" applyAlignment="1">
      <alignment vertical="center"/>
    </xf>
    <xf numFmtId="166" fontId="9" fillId="2" borderId="8" xfId="0" applyFont="1" applyFill="1" applyBorder="1" applyAlignment="1">
      <alignment horizontal="left"/>
    </xf>
    <xf numFmtId="166" fontId="1" fillId="2" borderId="9" xfId="0" applyFont="1" applyFill="1" applyBorder="1"/>
    <xf numFmtId="166" fontId="1" fillId="2" borderId="10" xfId="0" applyFont="1" applyFill="1" applyBorder="1"/>
    <xf numFmtId="166" fontId="1" fillId="2" borderId="11" xfId="0" applyFont="1" applyFill="1" applyBorder="1" applyAlignment="1">
      <alignment horizontal="left"/>
    </xf>
    <xf numFmtId="166" fontId="1" fillId="2" borderId="12" xfId="0" applyFont="1" applyFill="1" applyBorder="1"/>
    <xf numFmtId="166" fontId="9" fillId="2" borderId="13" xfId="0" applyFont="1" applyFill="1" applyBorder="1" applyAlignment="1">
      <alignment horizontal="left" vertical="center"/>
    </xf>
    <xf numFmtId="166" fontId="2" fillId="2" borderId="14" xfId="0" applyFont="1" applyFill="1" applyBorder="1" applyAlignment="1">
      <alignment vertical="center"/>
    </xf>
    <xf numFmtId="166" fontId="1" fillId="2" borderId="15" xfId="0" applyFont="1" applyFill="1" applyBorder="1" applyAlignment="1">
      <alignment vertical="center"/>
    </xf>
    <xf numFmtId="166" fontId="7" fillId="2" borderId="0" xfId="0" applyFont="1" applyFill="1" applyBorder="1" applyAlignment="1">
      <alignment horizontal="left" vertical="center"/>
    </xf>
    <xf numFmtId="166" fontId="7" fillId="2" borderId="0" xfId="0" quotePrefix="1" applyFont="1" applyFill="1" applyBorder="1" applyAlignment="1">
      <alignment horizontal="left" vertical="center"/>
    </xf>
    <xf numFmtId="166" fontId="10" fillId="2" borderId="0" xfId="0" applyFont="1" applyFill="1" applyBorder="1" applyAlignment="1">
      <alignment horizontal="right" vertical="center"/>
    </xf>
    <xf numFmtId="166" fontId="1" fillId="2" borderId="0" xfId="0" applyFont="1" applyFill="1" applyBorder="1" applyAlignment="1">
      <alignment vertical="center"/>
    </xf>
    <xf numFmtId="166" fontId="9" fillId="2" borderId="15" xfId="0" applyFont="1" applyFill="1" applyBorder="1" applyAlignment="1">
      <alignment horizontal="left" vertical="center"/>
    </xf>
    <xf numFmtId="166" fontId="3" fillId="2" borderId="0" xfId="0" applyFont="1" applyFill="1" applyBorder="1" applyAlignment="1">
      <alignment horizontal="left" vertical="center"/>
    </xf>
    <xf numFmtId="177" fontId="7" fillId="2" borderId="0" xfId="0" applyNumberFormat="1" applyFont="1" applyFill="1" applyBorder="1" applyAlignment="1">
      <alignment vertical="center"/>
    </xf>
    <xf numFmtId="166" fontId="8" fillId="2" borderId="0" xfId="0" applyFont="1" applyFill="1" applyBorder="1" applyAlignment="1">
      <alignment vertical="center"/>
    </xf>
    <xf numFmtId="166" fontId="1" fillId="2" borderId="16" xfId="0" applyFont="1" applyFill="1" applyBorder="1" applyAlignment="1">
      <alignment vertical="center"/>
    </xf>
    <xf numFmtId="166" fontId="1" fillId="2" borderId="17" xfId="0" applyFont="1" applyFill="1" applyBorder="1" applyAlignment="1">
      <alignment vertical="center"/>
    </xf>
    <xf numFmtId="166" fontId="1" fillId="2" borderId="18" xfId="0" applyFont="1" applyFill="1" applyBorder="1" applyAlignment="1">
      <alignment vertical="center"/>
    </xf>
    <xf numFmtId="166" fontId="3" fillId="2" borderId="17" xfId="0" applyFont="1" applyFill="1" applyBorder="1" applyAlignment="1">
      <alignment horizontal="left" vertical="center"/>
    </xf>
    <xf numFmtId="168" fontId="3" fillId="2" borderId="19" xfId="0" applyNumberFormat="1" applyFont="1" applyFill="1" applyBorder="1" applyAlignment="1" applyProtection="1">
      <alignment vertical="center"/>
    </xf>
    <xf numFmtId="9" fontId="7" fillId="3" borderId="1" xfId="0" applyNumberFormat="1" applyFont="1" applyFill="1" applyBorder="1" applyAlignment="1" applyProtection="1">
      <alignment vertical="center"/>
    </xf>
    <xf numFmtId="164" fontId="7" fillId="3" borderId="1" xfId="0" applyNumberFormat="1" applyFont="1" applyFill="1" applyBorder="1" applyAlignment="1" applyProtection="1">
      <alignment horizontal="right" vertical="center"/>
    </xf>
    <xf numFmtId="166" fontId="7" fillId="2" borderId="15" xfId="0" applyFont="1" applyFill="1" applyBorder="1" applyAlignment="1">
      <alignment horizontal="left" vertical="center"/>
    </xf>
    <xf numFmtId="166" fontId="7" fillId="3" borderId="1" xfId="0" applyFont="1" applyFill="1" applyBorder="1" applyAlignment="1">
      <alignment horizontal="right" vertical="center"/>
    </xf>
    <xf numFmtId="166" fontId="1" fillId="2" borderId="20" xfId="0" applyFont="1" applyFill="1" applyBorder="1" applyAlignment="1">
      <alignment vertical="center"/>
    </xf>
    <xf numFmtId="166" fontId="7" fillId="3" borderId="1" xfId="0" applyFont="1" applyFill="1" applyBorder="1" applyAlignment="1">
      <alignment vertical="center"/>
    </xf>
    <xf numFmtId="9" fontId="7" fillId="2" borderId="0" xfId="0" applyNumberFormat="1" applyFont="1" applyFill="1" applyBorder="1" applyAlignment="1">
      <alignment vertical="center"/>
    </xf>
    <xf numFmtId="1" fontId="7" fillId="3" borderId="1" xfId="0" applyNumberFormat="1" applyFont="1" applyFill="1" applyBorder="1" applyAlignment="1" applyProtection="1">
      <alignment vertical="center"/>
    </xf>
    <xf numFmtId="166" fontId="6" fillId="2" borderId="1" xfId="0" applyFont="1" applyFill="1" applyBorder="1" applyAlignment="1">
      <alignment horizontal="right"/>
    </xf>
    <xf numFmtId="166" fontId="7" fillId="4" borderId="1" xfId="0" applyFont="1" applyFill="1" applyBorder="1" applyAlignment="1">
      <alignment horizontal="right" vertical="center"/>
    </xf>
    <xf numFmtId="166" fontId="1" fillId="2" borderId="0" xfId="0" applyFont="1" applyFill="1" applyAlignment="1">
      <alignment horizontal="center"/>
    </xf>
    <xf numFmtId="166" fontId="1" fillId="5" borderId="1" xfId="0" applyFont="1" applyFill="1" applyBorder="1"/>
    <xf numFmtId="184" fontId="1" fillId="5" borderId="1" xfId="0" applyNumberFormat="1" applyFont="1" applyFill="1" applyBorder="1" applyAlignment="1">
      <alignment horizontal="left"/>
    </xf>
    <xf numFmtId="166" fontId="1" fillId="5" borderId="1" xfId="0" applyFont="1" applyFill="1" applyBorder="1" applyAlignment="1">
      <alignment horizontal="center"/>
    </xf>
    <xf numFmtId="169" fontId="7" fillId="6" borderId="1" xfId="0" quotePrefix="1" applyNumberFormat="1" applyFont="1" applyFill="1" applyBorder="1" applyAlignment="1" applyProtection="1">
      <alignment horizontal="right" vertical="center"/>
    </xf>
    <xf numFmtId="169" fontId="7" fillId="6" borderId="1" xfId="0" applyNumberFormat="1" applyFont="1" applyFill="1" applyBorder="1" applyAlignment="1" applyProtection="1">
      <alignment vertical="center"/>
    </xf>
    <xf numFmtId="164" fontId="7" fillId="6" borderId="1" xfId="0" applyNumberFormat="1" applyFont="1" applyFill="1" applyBorder="1" applyAlignment="1" applyProtection="1">
      <alignment horizontal="right" vertical="center"/>
    </xf>
    <xf numFmtId="166" fontId="7" fillId="5" borderId="0" xfId="0" applyFont="1" applyFill="1" applyBorder="1" applyAlignment="1">
      <alignment vertical="center"/>
    </xf>
    <xf numFmtId="3" fontId="7" fillId="5" borderId="1" xfId="0" applyNumberFormat="1" applyFont="1" applyFill="1" applyBorder="1" applyAlignment="1">
      <alignment vertical="center"/>
    </xf>
    <xf numFmtId="3" fontId="7" fillId="6" borderId="1" xfId="0" applyNumberFormat="1" applyFont="1" applyFill="1" applyBorder="1" applyAlignment="1">
      <alignment vertical="center"/>
    </xf>
    <xf numFmtId="3" fontId="7" fillId="6" borderId="21" xfId="0" applyNumberFormat="1" applyFont="1" applyFill="1" applyBorder="1" applyAlignment="1">
      <alignment vertical="center"/>
    </xf>
    <xf numFmtId="3" fontId="7" fillId="5" borderId="1" xfId="0" applyNumberFormat="1" applyFont="1" applyFill="1" applyBorder="1" applyAlignment="1">
      <alignment horizontal="right" vertical="center"/>
    </xf>
    <xf numFmtId="164" fontId="7" fillId="7" borderId="1" xfId="0" applyNumberFormat="1" applyFont="1" applyFill="1" applyBorder="1" applyAlignment="1" applyProtection="1">
      <alignment vertical="center"/>
    </xf>
    <xf numFmtId="166" fontId="7" fillId="2" borderId="0" xfId="0" quotePrefix="1" applyFont="1" applyFill="1" applyBorder="1" applyAlignment="1">
      <alignment vertical="center"/>
    </xf>
    <xf numFmtId="177" fontId="7" fillId="4" borderId="1" xfId="0" applyNumberFormat="1" applyFont="1" applyFill="1" applyBorder="1" applyAlignment="1" applyProtection="1">
      <alignment vertical="center"/>
    </xf>
    <xf numFmtId="166" fontId="5" fillId="2" borderId="0" xfId="0" applyFont="1" applyFill="1" applyAlignment="1" applyProtection="1">
      <alignment horizontal="centerContinuous"/>
      <protection hidden="1"/>
    </xf>
    <xf numFmtId="166" fontId="1" fillId="2" borderId="0" xfId="0" applyFont="1" applyFill="1" applyAlignment="1" applyProtection="1">
      <alignment horizontal="centerContinuous"/>
      <protection hidden="1"/>
    </xf>
    <xf numFmtId="166" fontId="1" fillId="2" borderId="0" xfId="0" applyFont="1" applyFill="1" applyAlignment="1" applyProtection="1">
      <alignment horizontal="left"/>
      <protection hidden="1"/>
    </xf>
    <xf numFmtId="166" fontId="1" fillId="2" borderId="0" xfId="0" applyFont="1" applyFill="1" applyProtection="1">
      <protection hidden="1"/>
    </xf>
    <xf numFmtId="166" fontId="1" fillId="2" borderId="1" xfId="0" applyFont="1" applyFill="1" applyBorder="1" applyProtection="1">
      <protection hidden="1"/>
    </xf>
    <xf numFmtId="166" fontId="1" fillId="2" borderId="1" xfId="0" applyFont="1" applyFill="1" applyBorder="1" applyAlignment="1" applyProtection="1">
      <alignment horizontal="left"/>
      <protection hidden="1"/>
    </xf>
    <xf numFmtId="184" fontId="1" fillId="2" borderId="1" xfId="0" applyNumberFormat="1" applyFont="1" applyFill="1" applyBorder="1" applyAlignment="1" applyProtection="1">
      <alignment horizontal="left"/>
      <protection hidden="1"/>
    </xf>
    <xf numFmtId="166" fontId="13" fillId="2" borderId="1" xfId="0" applyFont="1" applyFill="1" applyBorder="1" applyAlignment="1" applyProtection="1">
      <alignment horizontal="right"/>
      <protection hidden="1"/>
    </xf>
    <xf numFmtId="166" fontId="13" fillId="2" borderId="1" xfId="0" applyFont="1" applyFill="1" applyBorder="1" applyAlignment="1" applyProtection="1">
      <alignment horizontal="center"/>
      <protection hidden="1"/>
    </xf>
    <xf numFmtId="166" fontId="13" fillId="2" borderId="1" xfId="0" applyFont="1" applyFill="1" applyBorder="1" applyAlignment="1" applyProtection="1">
      <alignment horizontal="left"/>
      <protection hidden="1"/>
    </xf>
    <xf numFmtId="166" fontId="13" fillId="2" borderId="1" xfId="0" applyFont="1" applyFill="1" applyBorder="1" applyProtection="1">
      <protection hidden="1"/>
    </xf>
    <xf numFmtId="166" fontId="13" fillId="2" borderId="0" xfId="0" applyFont="1" applyFill="1" applyProtection="1">
      <protection hidden="1"/>
    </xf>
    <xf numFmtId="166" fontId="9" fillId="2" borderId="8" xfId="0" applyFont="1" applyFill="1" applyBorder="1" applyAlignment="1" applyProtection="1">
      <alignment horizontal="left"/>
      <protection hidden="1"/>
    </xf>
    <xf numFmtId="166" fontId="1" fillId="2" borderId="9" xfId="0" applyFont="1" applyFill="1" applyBorder="1" applyProtection="1">
      <protection hidden="1"/>
    </xf>
    <xf numFmtId="166" fontId="1" fillId="2" borderId="10" xfId="0" applyFont="1" applyFill="1" applyBorder="1" applyProtection="1">
      <protection hidden="1"/>
    </xf>
    <xf numFmtId="166" fontId="7" fillId="2" borderId="15" xfId="0" applyFont="1" applyFill="1" applyBorder="1" applyAlignment="1" applyProtection="1">
      <alignment horizontal="left" vertical="center"/>
      <protection hidden="1"/>
    </xf>
    <xf numFmtId="166" fontId="7" fillId="2" borderId="0" xfId="0" applyFont="1" applyFill="1" applyBorder="1" applyAlignment="1" applyProtection="1">
      <alignment vertical="center"/>
      <protection hidden="1"/>
    </xf>
    <xf numFmtId="166" fontId="7" fillId="2" borderId="0" xfId="0" applyFont="1" applyFill="1" applyBorder="1" applyAlignment="1" applyProtection="1">
      <alignment horizontal="left" vertical="center"/>
      <protection hidden="1"/>
    </xf>
    <xf numFmtId="166" fontId="7" fillId="2" borderId="1" xfId="0" applyFont="1" applyFill="1" applyBorder="1" applyAlignment="1" applyProtection="1">
      <alignment vertical="center"/>
      <protection hidden="1"/>
    </xf>
    <xf numFmtId="169" fontId="7" fillId="3" borderId="1" xfId="0" quotePrefix="1" applyNumberFormat="1" applyFont="1" applyFill="1" applyBorder="1" applyAlignment="1" applyProtection="1">
      <alignment horizontal="right" vertical="center"/>
      <protection hidden="1"/>
    </xf>
    <xf numFmtId="166" fontId="7" fillId="2" borderId="0" xfId="0" quotePrefix="1" applyFont="1" applyFill="1" applyBorder="1" applyAlignment="1" applyProtection="1">
      <alignment horizontal="left" vertical="center"/>
      <protection hidden="1"/>
    </xf>
    <xf numFmtId="166" fontId="1" fillId="2" borderId="20" xfId="0" applyFont="1" applyFill="1" applyBorder="1" applyAlignment="1" applyProtection="1">
      <alignment vertical="center"/>
      <protection hidden="1"/>
    </xf>
    <xf numFmtId="1" fontId="7" fillId="3" borderId="1" xfId="0" applyNumberFormat="1" applyFont="1" applyFill="1" applyBorder="1" applyAlignment="1" applyProtection="1">
      <alignment vertical="center"/>
      <protection hidden="1"/>
    </xf>
    <xf numFmtId="9" fontId="7" fillId="3" borderId="1" xfId="0" applyNumberFormat="1" applyFont="1" applyFill="1" applyBorder="1" applyAlignment="1" applyProtection="1">
      <alignment vertical="center"/>
      <protection hidden="1"/>
    </xf>
    <xf numFmtId="164" fontId="7" fillId="3" borderId="1" xfId="0" applyNumberFormat="1" applyFont="1" applyFill="1" applyBorder="1" applyAlignment="1" applyProtection="1">
      <alignment horizontal="right" vertical="center"/>
      <protection hidden="1"/>
    </xf>
    <xf numFmtId="177" fontId="7" fillId="3" borderId="1" xfId="0" applyNumberFormat="1" applyFont="1" applyFill="1" applyBorder="1" applyAlignment="1" applyProtection="1">
      <alignment vertical="center"/>
      <protection hidden="1"/>
    </xf>
    <xf numFmtId="166" fontId="1" fillId="2" borderId="11" xfId="0" applyFont="1" applyFill="1" applyBorder="1" applyAlignment="1" applyProtection="1">
      <alignment horizontal="left"/>
      <protection hidden="1"/>
    </xf>
    <xf numFmtId="166" fontId="1" fillId="2" borderId="12" xfId="0" applyFont="1" applyFill="1" applyBorder="1" applyProtection="1">
      <protection hidden="1"/>
    </xf>
    <xf numFmtId="166" fontId="9" fillId="2" borderId="13" xfId="0" applyFont="1" applyFill="1" applyBorder="1" applyAlignment="1" applyProtection="1">
      <alignment horizontal="left" vertical="center"/>
      <protection hidden="1"/>
    </xf>
    <xf numFmtId="166" fontId="2" fillId="2" borderId="4" xfId="0" applyFont="1" applyFill="1" applyBorder="1" applyAlignment="1" applyProtection="1">
      <alignment vertical="center"/>
      <protection hidden="1"/>
    </xf>
    <xf numFmtId="1" fontId="2" fillId="2" borderId="4" xfId="0" applyNumberFormat="1" applyFont="1" applyFill="1" applyBorder="1" applyAlignment="1" applyProtection="1">
      <alignment vertical="center"/>
      <protection hidden="1"/>
    </xf>
    <xf numFmtId="166" fontId="2" fillId="2" borderId="5" xfId="0" applyFont="1" applyFill="1" applyBorder="1" applyAlignment="1" applyProtection="1">
      <alignment vertical="center"/>
      <protection hidden="1"/>
    </xf>
    <xf numFmtId="166" fontId="9" fillId="2" borderId="3" xfId="0" applyFont="1" applyFill="1" applyBorder="1" applyAlignment="1" applyProtection="1">
      <alignment horizontal="left" vertical="center"/>
      <protection hidden="1"/>
    </xf>
    <xf numFmtId="166" fontId="2" fillId="2" borderId="14" xfId="0" applyFont="1" applyFill="1" applyBorder="1" applyAlignment="1" applyProtection="1">
      <alignment vertical="center"/>
      <protection hidden="1"/>
    </xf>
    <xf numFmtId="166" fontId="1" fillId="2" borderId="15" xfId="0" applyFont="1" applyFill="1" applyBorder="1" applyAlignment="1" applyProtection="1">
      <alignment vertical="center"/>
      <protection hidden="1"/>
    </xf>
    <xf numFmtId="3" fontId="7" fillId="2" borderId="1" xfId="0" applyNumberFormat="1" applyFont="1" applyFill="1" applyBorder="1" applyAlignment="1" applyProtection="1">
      <alignment vertical="center"/>
      <protection hidden="1"/>
    </xf>
    <xf numFmtId="166" fontId="7" fillId="2" borderId="2" xfId="0" applyFont="1" applyFill="1" applyBorder="1" applyAlignment="1" applyProtection="1">
      <alignment horizontal="left" vertical="center"/>
      <protection hidden="1"/>
    </xf>
    <xf numFmtId="166" fontId="7" fillId="3" borderId="7" xfId="0" applyFont="1" applyFill="1" applyBorder="1" applyAlignment="1" applyProtection="1">
      <alignment vertical="center"/>
      <protection hidden="1"/>
    </xf>
    <xf numFmtId="172" fontId="7" fillId="3" borderId="1" xfId="0" applyNumberFormat="1" applyFont="1" applyFill="1" applyBorder="1" applyAlignment="1" applyProtection="1">
      <alignment vertical="center"/>
      <protection hidden="1"/>
    </xf>
    <xf numFmtId="166" fontId="7" fillId="2" borderId="6" xfId="0" applyFont="1" applyFill="1" applyBorder="1" applyAlignment="1" applyProtection="1">
      <alignment vertical="center"/>
      <protection hidden="1"/>
    </xf>
    <xf numFmtId="166" fontId="10" fillId="2" borderId="0" xfId="0" applyFont="1" applyFill="1" applyBorder="1" applyAlignment="1" applyProtection="1">
      <alignment horizontal="right" vertical="center"/>
      <protection hidden="1"/>
    </xf>
    <xf numFmtId="166" fontId="1" fillId="2" borderId="1" xfId="0" applyFont="1" applyFill="1" applyBorder="1" applyAlignment="1" applyProtection="1">
      <alignment vertical="center"/>
      <protection hidden="1"/>
    </xf>
    <xf numFmtId="179" fontId="3" fillId="2" borderId="12" xfId="0" applyNumberFormat="1" applyFont="1" applyFill="1" applyBorder="1" applyAlignment="1" applyProtection="1">
      <alignment vertical="center"/>
      <protection hidden="1"/>
    </xf>
    <xf numFmtId="166" fontId="1" fillId="2" borderId="4" xfId="0" applyFont="1" applyFill="1" applyBorder="1" applyAlignment="1" applyProtection="1">
      <alignment vertical="center"/>
      <protection hidden="1"/>
    </xf>
    <xf numFmtId="179" fontId="3" fillId="2" borderId="14" xfId="0" applyNumberFormat="1" applyFont="1" applyFill="1" applyBorder="1" applyAlignment="1" applyProtection="1">
      <alignment vertical="center"/>
      <protection hidden="1"/>
    </xf>
    <xf numFmtId="166" fontId="1" fillId="2" borderId="6" xfId="0" applyFont="1" applyFill="1" applyBorder="1" applyAlignment="1" applyProtection="1">
      <alignment vertical="center"/>
      <protection hidden="1"/>
    </xf>
    <xf numFmtId="166" fontId="1" fillId="2" borderId="0" xfId="0" applyFont="1" applyFill="1" applyBorder="1" applyAlignment="1" applyProtection="1">
      <alignment vertical="center"/>
      <protection hidden="1"/>
    </xf>
    <xf numFmtId="179" fontId="3" fillId="2" borderId="20" xfId="0" applyNumberFormat="1" applyFont="1" applyFill="1" applyBorder="1" applyAlignment="1" applyProtection="1">
      <alignment vertical="center"/>
      <protection hidden="1"/>
    </xf>
    <xf numFmtId="164" fontId="7" fillId="2" borderId="1" xfId="0" applyNumberFormat="1" applyFont="1" applyFill="1" applyBorder="1" applyAlignment="1" applyProtection="1">
      <alignment vertical="center"/>
      <protection hidden="1"/>
    </xf>
    <xf numFmtId="164" fontId="7" fillId="2" borderId="0" xfId="0" applyNumberFormat="1" applyFont="1" applyFill="1" applyBorder="1" applyAlignment="1" applyProtection="1">
      <alignment vertical="center"/>
      <protection hidden="1"/>
    </xf>
    <xf numFmtId="166" fontId="9" fillId="2" borderId="15" xfId="0" applyFont="1" applyFill="1" applyBorder="1" applyAlignment="1" applyProtection="1">
      <alignment horizontal="left" vertical="center"/>
      <protection hidden="1"/>
    </xf>
    <xf numFmtId="166" fontId="3" fillId="2" borderId="0" xfId="0" applyFont="1" applyFill="1" applyBorder="1" applyAlignment="1" applyProtection="1">
      <alignment vertical="center"/>
      <protection hidden="1"/>
    </xf>
    <xf numFmtId="166" fontId="3" fillId="2" borderId="0" xfId="0" applyFont="1" applyFill="1" applyBorder="1" applyAlignment="1" applyProtection="1">
      <alignment horizontal="left" vertical="center"/>
      <protection hidden="1"/>
    </xf>
    <xf numFmtId="177" fontId="3" fillId="3" borderId="0" xfId="0" applyNumberFormat="1" applyFont="1" applyFill="1" applyBorder="1" applyAlignment="1" applyProtection="1">
      <alignment vertical="center"/>
      <protection hidden="1"/>
    </xf>
    <xf numFmtId="166" fontId="4" fillId="2" borderId="2" xfId="0" applyFont="1" applyFill="1" applyBorder="1" applyAlignment="1" applyProtection="1">
      <alignment horizontal="left" vertical="center"/>
      <protection hidden="1"/>
    </xf>
    <xf numFmtId="3" fontId="7" fillId="2" borderId="1" xfId="0" applyNumberFormat="1" applyFont="1" applyFill="1" applyBorder="1" applyAlignment="1" applyProtection="1">
      <alignment horizontal="right" vertical="center"/>
      <protection hidden="1"/>
    </xf>
    <xf numFmtId="179" fontId="11" fillId="0" borderId="14" xfId="0" applyNumberFormat="1" applyFont="1" applyBorder="1" applyAlignment="1" applyProtection="1">
      <alignment vertical="center"/>
      <protection hidden="1"/>
    </xf>
    <xf numFmtId="179" fontId="7" fillId="2" borderId="20" xfId="0" applyNumberFormat="1" applyFont="1" applyFill="1" applyBorder="1" applyAlignment="1" applyProtection="1">
      <alignment vertical="center"/>
      <protection hidden="1"/>
    </xf>
    <xf numFmtId="166" fontId="7" fillId="2" borderId="2" xfId="0" quotePrefix="1" applyFont="1" applyFill="1" applyBorder="1" applyAlignment="1" applyProtection="1">
      <alignment horizontal="left" vertical="center"/>
      <protection hidden="1"/>
    </xf>
    <xf numFmtId="166" fontId="12" fillId="2" borderId="7" xfId="0" applyFont="1" applyFill="1" applyBorder="1" applyAlignment="1" applyProtection="1">
      <alignment vertical="center"/>
      <protection hidden="1"/>
    </xf>
    <xf numFmtId="166" fontId="7" fillId="2" borderId="12" xfId="0" applyFont="1" applyFill="1" applyBorder="1" applyAlignment="1" applyProtection="1">
      <alignment vertical="center"/>
      <protection hidden="1"/>
    </xf>
    <xf numFmtId="166" fontId="3" fillId="2" borderId="14" xfId="0" applyFont="1" applyFill="1" applyBorder="1" applyAlignment="1" applyProtection="1">
      <alignment vertical="center"/>
      <protection hidden="1"/>
    </xf>
    <xf numFmtId="166" fontId="7" fillId="2" borderId="2" xfId="0" applyFont="1" applyFill="1" applyBorder="1" applyAlignment="1" applyProtection="1">
      <alignment vertical="center"/>
      <protection hidden="1"/>
    </xf>
    <xf numFmtId="177" fontId="7" fillId="2" borderId="0" xfId="0" applyNumberFormat="1" applyFont="1" applyFill="1" applyBorder="1" applyAlignment="1" applyProtection="1">
      <alignment vertical="center"/>
      <protection hidden="1"/>
    </xf>
    <xf numFmtId="166" fontId="1" fillId="2" borderId="2" xfId="0" applyFont="1" applyFill="1" applyBorder="1" applyAlignment="1" applyProtection="1">
      <alignment vertical="center"/>
      <protection hidden="1"/>
    </xf>
    <xf numFmtId="166" fontId="8" fillId="2" borderId="0" xfId="0" applyFont="1" applyFill="1" applyBorder="1" applyAlignment="1" applyProtection="1">
      <alignment vertical="center"/>
      <protection hidden="1"/>
    </xf>
    <xf numFmtId="166" fontId="1" fillId="2" borderId="16" xfId="0" applyFont="1" applyFill="1" applyBorder="1" applyAlignment="1" applyProtection="1">
      <alignment vertical="center"/>
      <protection hidden="1"/>
    </xf>
    <xf numFmtId="166" fontId="1" fillId="2" borderId="17" xfId="0" applyFont="1" applyFill="1" applyBorder="1" applyAlignment="1" applyProtection="1">
      <alignment vertical="center"/>
      <protection hidden="1"/>
    </xf>
    <xf numFmtId="166" fontId="1" fillId="2" borderId="0" xfId="0" applyFont="1" applyFill="1" applyBorder="1" applyProtection="1">
      <protection hidden="1"/>
    </xf>
    <xf numFmtId="166" fontId="3" fillId="2" borderId="0" xfId="0" applyFont="1" applyFill="1" applyBorder="1" applyAlignment="1" applyProtection="1">
      <alignment horizontal="left"/>
      <protection hidden="1"/>
    </xf>
    <xf numFmtId="168" fontId="3" fillId="2" borderId="0" xfId="0" applyNumberFormat="1" applyFont="1" applyFill="1" applyBorder="1" applyProtection="1">
      <protection hidden="1"/>
    </xf>
    <xf numFmtId="166" fontId="4" fillId="2" borderId="0" xfId="0" applyFont="1" applyFill="1" applyAlignment="1" applyProtection="1">
      <alignment horizontal="justify" vertical="center" wrapText="1"/>
      <protection hidden="1"/>
    </xf>
    <xf numFmtId="166" fontId="0" fillId="0" borderId="0" xfId="0" applyAlignment="1">
      <alignment horizontal="center"/>
    </xf>
    <xf numFmtId="166" fontId="3" fillId="2" borderId="0" xfId="0" applyFont="1" applyFill="1" applyAlignment="1">
      <alignment horizontal="center"/>
    </xf>
    <xf numFmtId="166" fontId="14" fillId="8" borderId="0" xfId="0" applyFont="1" applyFill="1" applyAlignment="1" applyProtection="1">
      <alignment horizontal="left"/>
      <protection hidden="1"/>
    </xf>
    <xf numFmtId="166" fontId="13" fillId="8" borderId="0" xfId="0" applyFont="1" applyFill="1" applyAlignment="1" applyProtection="1">
      <alignment horizontal="right"/>
      <protection hidden="1"/>
    </xf>
    <xf numFmtId="166" fontId="1" fillId="8" borderId="9" xfId="0" applyFont="1" applyFill="1" applyBorder="1" applyProtection="1">
      <protection hidden="1"/>
    </xf>
    <xf numFmtId="166" fontId="7" fillId="4" borderId="1" xfId="0" applyFont="1" applyFill="1" applyBorder="1" applyAlignment="1" applyProtection="1">
      <alignment horizontal="right" vertical="center"/>
      <protection hidden="1"/>
    </xf>
    <xf numFmtId="166" fontId="7" fillId="8" borderId="0" xfId="0" applyFont="1" applyFill="1" applyBorder="1" applyAlignment="1" applyProtection="1">
      <alignment horizontal="left" vertical="center"/>
      <protection hidden="1"/>
    </xf>
    <xf numFmtId="166" fontId="7" fillId="8" borderId="0" xfId="0" applyFont="1" applyFill="1" applyBorder="1" applyAlignment="1" applyProtection="1">
      <alignment vertical="center"/>
      <protection hidden="1"/>
    </xf>
    <xf numFmtId="166" fontId="7" fillId="4" borderId="1" xfId="0" applyFont="1" applyFill="1" applyBorder="1" applyAlignment="1" applyProtection="1">
      <alignment vertical="center"/>
      <protection hidden="1"/>
    </xf>
    <xf numFmtId="9" fontId="7" fillId="8" borderId="0" xfId="0" applyNumberFormat="1" applyFont="1" applyFill="1" applyBorder="1" applyAlignment="1" applyProtection="1">
      <alignment vertical="center"/>
      <protection hidden="1"/>
    </xf>
    <xf numFmtId="166" fontId="1" fillId="2" borderId="0" xfId="0" applyFont="1" applyFill="1" applyAlignment="1"/>
    <xf numFmtId="3" fontId="1" fillId="2" borderId="0" xfId="0" applyNumberFormat="1" applyFont="1" applyFill="1" applyAlignment="1"/>
    <xf numFmtId="166" fontId="0" fillId="0" borderId="0" xfId="0" quotePrefix="1"/>
    <xf numFmtId="177" fontId="7" fillId="2" borderId="1" xfId="0" quotePrefix="1" applyNumberFormat="1" applyFont="1" applyFill="1" applyBorder="1" applyAlignment="1">
      <alignment vertical="center"/>
    </xf>
    <xf numFmtId="166" fontId="1" fillId="2" borderId="2" xfId="0" quotePrefix="1" applyFont="1" applyFill="1" applyBorder="1" applyAlignment="1">
      <alignment vertical="center"/>
    </xf>
    <xf numFmtId="177" fontId="7" fillId="3" borderId="12" xfId="0" applyNumberFormat="1" applyFont="1" applyFill="1" applyBorder="1" applyAlignment="1" applyProtection="1">
      <alignment horizontal="center" vertical="center"/>
    </xf>
    <xf numFmtId="177" fontId="7" fillId="3" borderId="20" xfId="0" applyNumberFormat="1" applyFont="1" applyFill="1" applyBorder="1" applyAlignment="1" applyProtection="1">
      <alignment horizontal="center" vertical="center"/>
    </xf>
    <xf numFmtId="177" fontId="7" fillId="3" borderId="12" xfId="0" applyNumberFormat="1" applyFont="1" applyFill="1" applyBorder="1" applyAlignment="1" applyProtection="1">
      <alignment horizontal="center" vertical="center"/>
      <protection hidden="1"/>
    </xf>
    <xf numFmtId="5" fontId="7" fillId="2" borderId="1" xfId="0" applyNumberFormat="1" applyFont="1" applyFill="1" applyBorder="1" applyAlignment="1" applyProtection="1">
      <alignment vertical="center"/>
      <protection hidden="1"/>
    </xf>
    <xf numFmtId="177" fontId="7" fillId="2" borderId="22" xfId="0" applyNumberFormat="1" applyFont="1" applyFill="1" applyBorder="1" applyAlignment="1" applyProtection="1">
      <alignment vertical="center"/>
      <protection hidden="1"/>
    </xf>
    <xf numFmtId="177" fontId="7" fillId="3" borderId="23" xfId="0" applyNumberFormat="1" applyFont="1" applyFill="1" applyBorder="1" applyAlignment="1" applyProtection="1">
      <alignment vertical="center"/>
      <protection hidden="1"/>
    </xf>
    <xf numFmtId="164" fontId="14" fillId="4" borderId="1" xfId="0" applyNumberFormat="1" applyFont="1" applyFill="1" applyBorder="1" applyAlignment="1" applyProtection="1">
      <alignment vertical="center"/>
      <protection hidden="1"/>
    </xf>
    <xf numFmtId="3" fontId="7" fillId="3" borderId="12" xfId="0" applyNumberFormat="1" applyFont="1" applyFill="1" applyBorder="1" applyAlignment="1" applyProtection="1">
      <alignment horizontal="center" vertical="center"/>
      <protection hidden="1"/>
    </xf>
    <xf numFmtId="176" fontId="7" fillId="3" borderId="1" xfId="0" applyNumberFormat="1" applyFont="1" applyFill="1" applyBorder="1" applyAlignment="1" applyProtection="1">
      <alignment vertical="center"/>
      <protection hidden="1"/>
    </xf>
    <xf numFmtId="176" fontId="13" fillId="8" borderId="0" xfId="0" applyNumberFormat="1" applyFont="1" applyFill="1" applyAlignment="1" applyProtection="1">
      <alignment horizontal="left"/>
      <protection hidden="1"/>
    </xf>
    <xf numFmtId="176" fontId="1" fillId="5" borderId="0" xfId="0" applyNumberFormat="1" applyFont="1" applyFill="1" applyAlignment="1">
      <alignment horizontal="center"/>
    </xf>
    <xf numFmtId="164" fontId="1" fillId="5" borderId="0" xfId="0" applyNumberFormat="1" applyFont="1" applyFill="1" applyAlignment="1">
      <alignment horizontal="center"/>
    </xf>
    <xf numFmtId="164" fontId="1" fillId="2" borderId="0" xfId="0" applyNumberFormat="1" applyFont="1" applyFill="1" applyAlignment="1">
      <alignment horizontal="center"/>
    </xf>
    <xf numFmtId="176" fontId="1" fillId="9" borderId="0" xfId="0" applyNumberFormat="1" applyFont="1" applyFill="1" applyAlignment="1">
      <alignment horizontal="center"/>
    </xf>
    <xf numFmtId="3" fontId="7" fillId="2" borderId="12" xfId="0" applyNumberFormat="1" applyFont="1" applyFill="1" applyBorder="1" applyAlignment="1" applyProtection="1">
      <alignment horizontal="center" vertical="center"/>
      <protection hidden="1"/>
    </xf>
    <xf numFmtId="177" fontId="7" fillId="2" borderId="24" xfId="0" applyNumberFormat="1" applyFont="1" applyFill="1" applyBorder="1" applyAlignment="1" applyProtection="1">
      <alignment horizontal="center" vertical="center"/>
      <protection hidden="1"/>
    </xf>
    <xf numFmtId="177" fontId="7" fillId="2" borderId="20" xfId="0" applyNumberFormat="1" applyFont="1" applyFill="1" applyBorder="1" applyAlignment="1" applyProtection="1">
      <alignment horizontal="center" vertical="center"/>
      <protection hidden="1"/>
    </xf>
    <xf numFmtId="179" fontId="3" fillId="2" borderId="12" xfId="0" applyNumberFormat="1" applyFont="1" applyFill="1" applyBorder="1" applyAlignment="1" applyProtection="1">
      <alignment horizontal="center" vertical="center"/>
      <protection hidden="1"/>
    </xf>
    <xf numFmtId="179" fontId="3" fillId="2" borderId="14" xfId="0" applyNumberFormat="1" applyFont="1" applyFill="1" applyBorder="1" applyAlignment="1" applyProtection="1">
      <alignment horizontal="center" vertical="center"/>
      <protection hidden="1"/>
    </xf>
    <xf numFmtId="179" fontId="3" fillId="2" borderId="20" xfId="0" applyNumberFormat="1" applyFont="1" applyFill="1" applyBorder="1" applyAlignment="1" applyProtection="1">
      <alignment horizontal="center" vertical="center"/>
      <protection hidden="1"/>
    </xf>
    <xf numFmtId="179" fontId="11" fillId="0" borderId="14" xfId="0" applyNumberFormat="1" applyFont="1" applyBorder="1" applyAlignment="1" applyProtection="1">
      <alignment horizontal="center" vertical="center"/>
      <protection hidden="1"/>
    </xf>
    <xf numFmtId="179" fontId="7" fillId="2" borderId="20" xfId="0" applyNumberFormat="1" applyFont="1" applyFill="1" applyBorder="1" applyAlignment="1" applyProtection="1">
      <alignment horizontal="center" vertical="center"/>
      <protection hidden="1"/>
    </xf>
    <xf numFmtId="166" fontId="7" fillId="2" borderId="12" xfId="0" applyFont="1" applyFill="1" applyBorder="1" applyAlignment="1" applyProtection="1">
      <alignment horizontal="center" vertical="center"/>
      <protection hidden="1"/>
    </xf>
    <xf numFmtId="166" fontId="3" fillId="2" borderId="14" xfId="0" applyFont="1" applyFill="1" applyBorder="1" applyAlignment="1" applyProtection="1">
      <alignment horizontal="center" vertical="center"/>
      <protection hidden="1"/>
    </xf>
    <xf numFmtId="4" fontId="7" fillId="2" borderId="12" xfId="0" applyNumberFormat="1" applyFont="1" applyFill="1" applyBorder="1" applyAlignment="1" applyProtection="1">
      <alignment horizontal="center" vertical="center"/>
    </xf>
    <xf numFmtId="179" fontId="10" fillId="2" borderId="24" xfId="0" applyNumberFormat="1" applyFont="1" applyFill="1" applyBorder="1" applyAlignment="1" applyProtection="1">
      <alignment horizontal="center" vertical="center"/>
    </xf>
    <xf numFmtId="179" fontId="3" fillId="2" borderId="12" xfId="0" applyNumberFormat="1" applyFont="1" applyFill="1" applyBorder="1" applyAlignment="1">
      <alignment horizontal="center" vertical="center"/>
    </xf>
    <xf numFmtId="179" fontId="3" fillId="2" borderId="14" xfId="0" applyNumberFormat="1" applyFont="1" applyFill="1" applyBorder="1" applyAlignment="1">
      <alignment horizontal="center" vertical="center"/>
    </xf>
    <xf numFmtId="179" fontId="3" fillId="2" borderId="20" xfId="0" applyNumberFormat="1" applyFont="1" applyFill="1" applyBorder="1" applyAlignment="1">
      <alignment horizontal="center" vertical="center"/>
    </xf>
    <xf numFmtId="179" fontId="11" fillId="0" borderId="14" xfId="0" applyNumberFormat="1" applyFont="1" applyBorder="1" applyAlignment="1">
      <alignment horizontal="center" vertical="center"/>
    </xf>
    <xf numFmtId="179" fontId="7" fillId="2" borderId="20" xfId="0" applyNumberFormat="1" applyFont="1" applyFill="1" applyBorder="1" applyAlignment="1" applyProtection="1">
      <alignment horizontal="center" vertical="center"/>
    </xf>
    <xf numFmtId="166" fontId="7" fillId="2" borderId="12" xfId="0" applyFont="1" applyFill="1" applyBorder="1" applyAlignment="1">
      <alignment horizontal="center" vertical="center"/>
    </xf>
    <xf numFmtId="166" fontId="3" fillId="2" borderId="14" xfId="0" applyFont="1" applyFill="1" applyBorder="1" applyAlignment="1">
      <alignment horizontal="center" vertical="center"/>
    </xf>
    <xf numFmtId="177" fontId="7" fillId="2" borderId="12" xfId="0" applyNumberFormat="1" applyFont="1" applyFill="1" applyBorder="1" applyAlignment="1" applyProtection="1">
      <alignment horizontal="center" vertical="center"/>
    </xf>
    <xf numFmtId="177" fontId="7" fillId="2" borderId="24" xfId="0" applyNumberFormat="1" applyFont="1" applyFill="1" applyBorder="1" applyAlignment="1" applyProtection="1">
      <alignment horizontal="center" vertical="center"/>
    </xf>
    <xf numFmtId="177" fontId="7" fillId="2" borderId="20" xfId="0" applyNumberFormat="1" applyFont="1" applyFill="1" applyBorder="1" applyAlignment="1" applyProtection="1">
      <alignment horizontal="center" vertical="center"/>
    </xf>
    <xf numFmtId="177" fontId="10" fillId="2" borderId="25" xfId="0" applyNumberFormat="1" applyFont="1" applyFill="1" applyBorder="1" applyAlignment="1" applyProtection="1">
      <alignment horizontal="center" vertical="center"/>
    </xf>
    <xf numFmtId="169" fontId="7" fillId="6" borderId="12" xfId="0" quotePrefix="1" applyNumberFormat="1" applyFont="1" applyFill="1" applyBorder="1" applyAlignment="1" applyProtection="1">
      <alignment horizontal="right" vertical="center"/>
    </xf>
    <xf numFmtId="166" fontId="1" fillId="2" borderId="0" xfId="0" applyFont="1" applyFill="1" applyAlignment="1">
      <alignment horizontal="right"/>
    </xf>
    <xf numFmtId="166" fontId="0" fillId="5" borderId="0" xfId="0" applyFill="1" applyAlignment="1">
      <alignment horizontal="center"/>
    </xf>
    <xf numFmtId="166" fontId="1" fillId="8" borderId="0" xfId="0" applyFont="1" applyFill="1" applyAlignment="1">
      <alignment horizontal="center"/>
    </xf>
    <xf numFmtId="166" fontId="7" fillId="2" borderId="1" xfId="0" applyFont="1" applyFill="1" applyBorder="1" applyAlignment="1">
      <alignment horizontal="right" vertical="center"/>
    </xf>
    <xf numFmtId="177" fontId="1" fillId="2" borderId="0" xfId="0" applyNumberFormat="1" applyFont="1" applyFill="1" applyAlignment="1">
      <alignment horizontal="center"/>
    </xf>
    <xf numFmtId="166" fontId="0" fillId="0" borderId="0" xfId="0" applyAlignment="1">
      <alignment horizontal="right"/>
    </xf>
    <xf numFmtId="166" fontId="0" fillId="0" borderId="15" xfId="0" applyBorder="1" applyAlignment="1">
      <alignment horizontal="left" vertical="center" wrapText="1"/>
    </xf>
    <xf numFmtId="166" fontId="0" fillId="0" borderId="0" xfId="0" applyAlignment="1">
      <alignment horizontal="center" vertical="center"/>
    </xf>
    <xf numFmtId="166" fontId="0" fillId="0" borderId="0" xfId="0" applyBorder="1" applyAlignment="1">
      <alignment horizontal="center" vertical="center" wrapText="1"/>
    </xf>
    <xf numFmtId="3" fontId="7" fillId="9" borderId="1" xfId="0" applyNumberFormat="1" applyFont="1" applyFill="1" applyBorder="1" applyAlignment="1">
      <alignment vertical="center"/>
    </xf>
    <xf numFmtId="166" fontId="0" fillId="9" borderId="0" xfId="0" applyFill="1"/>
    <xf numFmtId="166" fontId="15" fillId="9" borderId="0" xfId="0" applyFont="1" applyFill="1" applyAlignment="1">
      <alignment horizontal="right"/>
    </xf>
    <xf numFmtId="166" fontId="0" fillId="8" borderId="0" xfId="0" applyFill="1"/>
    <xf numFmtId="166" fontId="15" fillId="8" borderId="0" xfId="0" applyFont="1" applyFill="1" applyAlignment="1">
      <alignment horizontal="right"/>
    </xf>
    <xf numFmtId="166" fontId="1" fillId="8" borderId="0" xfId="0" applyFont="1" applyFill="1" applyBorder="1" applyAlignment="1">
      <alignment horizontal="center"/>
    </xf>
    <xf numFmtId="15" fontId="1" fillId="8" borderId="0" xfId="0" applyNumberFormat="1" applyFont="1" applyFill="1" applyAlignment="1">
      <alignment horizontal="center"/>
    </xf>
    <xf numFmtId="183" fontId="7" fillId="6" borderId="1" xfId="0" applyNumberFormat="1" applyFont="1" applyFill="1" applyBorder="1" applyAlignment="1">
      <alignment horizontal="right" vertical="center"/>
    </xf>
    <xf numFmtId="185" fontId="1" fillId="2" borderId="0" xfId="0" applyNumberFormat="1" applyFont="1" applyFill="1" applyAlignment="1">
      <alignment horizontal="center"/>
    </xf>
    <xf numFmtId="3" fontId="1" fillId="2" borderId="0" xfId="0" applyNumberFormat="1" applyFont="1" applyFill="1" applyAlignment="1">
      <alignment horizontal="center"/>
    </xf>
    <xf numFmtId="177" fontId="1" fillId="2" borderId="0" xfId="0" applyNumberFormat="1" applyFont="1" applyFill="1" applyBorder="1" applyAlignment="1"/>
    <xf numFmtId="166" fontId="1" fillId="2" borderId="0" xfId="0" applyFont="1" applyFill="1" applyBorder="1" applyAlignment="1">
      <alignment horizontal="center"/>
    </xf>
    <xf numFmtId="166" fontId="7" fillId="7" borderId="7" xfId="0" applyFont="1" applyFill="1" applyBorder="1" applyAlignment="1">
      <alignment vertical="center"/>
    </xf>
    <xf numFmtId="166" fontId="1" fillId="8" borderId="26" xfId="0" applyFont="1" applyFill="1" applyBorder="1" applyAlignment="1">
      <alignment horizontal="center"/>
    </xf>
    <xf numFmtId="177" fontId="1" fillId="2" borderId="27" xfId="0" applyNumberFormat="1" applyFont="1" applyFill="1" applyBorder="1" applyAlignment="1">
      <alignment horizontal="center"/>
    </xf>
    <xf numFmtId="166" fontId="1" fillId="2" borderId="27" xfId="0" applyFont="1" applyFill="1" applyBorder="1" applyAlignment="1">
      <alignment horizontal="center"/>
    </xf>
    <xf numFmtId="166" fontId="1" fillId="8" borderId="28" xfId="0" applyFont="1" applyFill="1" applyBorder="1" applyAlignment="1">
      <alignment horizontal="center"/>
    </xf>
    <xf numFmtId="166" fontId="1" fillId="8" borderId="29" xfId="0" applyFont="1" applyFill="1" applyBorder="1" applyAlignment="1">
      <alignment horizontal="center"/>
    </xf>
    <xf numFmtId="166" fontId="1" fillId="2" borderId="30" xfId="0" applyFont="1" applyFill="1" applyBorder="1" applyAlignment="1">
      <alignment horizontal="center"/>
    </xf>
    <xf numFmtId="3" fontId="1" fillId="2" borderId="26" xfId="0" applyNumberFormat="1" applyFont="1" applyFill="1" applyBorder="1" applyAlignment="1"/>
    <xf numFmtId="3" fontId="1" fillId="2" borderId="28" xfId="0" applyNumberFormat="1" applyFont="1" applyFill="1" applyBorder="1" applyAlignment="1"/>
    <xf numFmtId="177" fontId="1" fillId="2" borderId="29" xfId="0" applyNumberFormat="1" applyFont="1" applyFill="1" applyBorder="1" applyAlignment="1"/>
    <xf numFmtId="183" fontId="1" fillId="2" borderId="26" xfId="0" applyNumberFormat="1" applyFont="1" applyFill="1" applyBorder="1" applyAlignment="1">
      <alignment horizontal="center"/>
    </xf>
    <xf numFmtId="183" fontId="1" fillId="8" borderId="26" xfId="0" applyNumberFormat="1" applyFont="1" applyFill="1" applyBorder="1" applyAlignment="1">
      <alignment horizontal="center"/>
    </xf>
    <xf numFmtId="183" fontId="1" fillId="8" borderId="28" xfId="0" applyNumberFormat="1" applyFont="1" applyFill="1" applyBorder="1" applyAlignment="1">
      <alignment horizontal="center"/>
    </xf>
    <xf numFmtId="166" fontId="1" fillId="2" borderId="29" xfId="0" applyFont="1" applyFill="1" applyBorder="1" applyAlignment="1">
      <alignment horizontal="center"/>
    </xf>
    <xf numFmtId="183" fontId="1" fillId="9" borderId="31" xfId="0" applyNumberFormat="1" applyFont="1" applyFill="1" applyBorder="1" applyAlignment="1">
      <alignment horizontal="center"/>
    </xf>
    <xf numFmtId="166" fontId="1" fillId="9" borderId="32" xfId="0" applyFont="1" applyFill="1" applyBorder="1" applyAlignment="1">
      <alignment horizontal="center"/>
    </xf>
    <xf numFmtId="166" fontId="16" fillId="8" borderId="15" xfId="0" applyFont="1" applyFill="1" applyBorder="1" applyAlignment="1">
      <alignment horizontal="right" vertical="center" wrapText="1"/>
    </xf>
    <xf numFmtId="166" fontId="16" fillId="8" borderId="0" xfId="0" quotePrefix="1" applyFont="1" applyFill="1" applyBorder="1" applyAlignment="1">
      <alignment horizontal="center" vertical="center" wrapText="1"/>
    </xf>
    <xf numFmtId="177" fontId="16" fillId="9" borderId="0" xfId="0" applyNumberFormat="1" applyFont="1" applyFill="1" applyAlignment="1">
      <alignment horizontal="center" vertical="center"/>
    </xf>
    <xf numFmtId="166" fontId="0" fillId="0" borderId="0" xfId="0" quotePrefix="1" applyAlignment="1">
      <alignment horizontal="center"/>
    </xf>
    <xf numFmtId="166" fontId="1" fillId="9" borderId="33" xfId="0" quotePrefix="1" applyFont="1" applyFill="1" applyBorder="1" applyAlignment="1">
      <alignment horizontal="left"/>
    </xf>
    <xf numFmtId="166" fontId="1" fillId="8" borderId="34" xfId="0" quotePrefix="1" applyFont="1" applyFill="1" applyBorder="1" applyAlignment="1">
      <alignment horizontal="center"/>
    </xf>
    <xf numFmtId="166" fontId="1" fillId="2" borderId="35" xfId="0" applyFont="1" applyFill="1" applyBorder="1" applyAlignment="1">
      <alignment horizontal="center"/>
    </xf>
    <xf numFmtId="183" fontId="1" fillId="8" borderId="36" xfId="0" applyNumberFormat="1" applyFont="1" applyFill="1" applyBorder="1" applyAlignment="1">
      <alignment horizontal="center"/>
    </xf>
    <xf numFmtId="166" fontId="1" fillId="2" borderId="37" xfId="0" applyFont="1" applyFill="1" applyBorder="1" applyAlignment="1">
      <alignment horizontal="center"/>
    </xf>
    <xf numFmtId="176" fontId="7" fillId="7" borderId="1" xfId="0" applyNumberFormat="1" applyFont="1" applyFill="1" applyBorder="1" applyAlignment="1">
      <alignment vertical="center"/>
    </xf>
    <xf numFmtId="172" fontId="7" fillId="6" borderId="1" xfId="0" applyNumberFormat="1" applyFont="1" applyFill="1" applyBorder="1" applyAlignment="1">
      <alignment vertical="center"/>
    </xf>
    <xf numFmtId="177" fontId="10" fillId="7" borderId="23" xfId="0" applyNumberFormat="1" applyFont="1" applyFill="1" applyBorder="1" applyAlignment="1">
      <alignment vertical="center"/>
    </xf>
    <xf numFmtId="177" fontId="10" fillId="9" borderId="22" xfId="0" applyNumberFormat="1" applyFont="1" applyFill="1" applyBorder="1" applyAlignment="1">
      <alignment vertical="center"/>
    </xf>
    <xf numFmtId="183" fontId="1" fillId="2" borderId="0" xfId="0" applyNumberFormat="1" applyFont="1" applyFill="1" applyAlignment="1">
      <alignment horizontal="center"/>
    </xf>
    <xf numFmtId="183" fontId="7" fillId="2" borderId="0" xfId="0" applyNumberFormat="1" applyFont="1" applyFill="1" applyBorder="1" applyAlignment="1">
      <alignment vertical="center"/>
    </xf>
    <xf numFmtId="166" fontId="1" fillId="2" borderId="20" xfId="0" applyFont="1" applyFill="1" applyBorder="1" applyAlignment="1">
      <alignment horizontal="right" vertical="center"/>
    </xf>
    <xf numFmtId="183" fontId="7" fillId="7" borderId="1" xfId="0" applyNumberFormat="1" applyFont="1" applyFill="1" applyBorder="1" applyAlignment="1" applyProtection="1">
      <alignment horizontal="right" vertical="center"/>
    </xf>
    <xf numFmtId="183" fontId="7" fillId="3" borderId="1" xfId="0" applyNumberFormat="1" applyFont="1" applyFill="1" applyBorder="1" applyAlignment="1" applyProtection="1">
      <alignment horizontal="right" vertical="center"/>
      <protection hidden="1"/>
    </xf>
    <xf numFmtId="169" fontId="7" fillId="4" borderId="1" xfId="0" applyNumberFormat="1" applyFont="1" applyFill="1" applyBorder="1" applyAlignment="1" applyProtection="1">
      <alignment vertical="center"/>
    </xf>
    <xf numFmtId="166" fontId="17" fillId="2" borderId="0" xfId="0" applyFont="1" applyFill="1"/>
    <xf numFmtId="3" fontId="7" fillId="8" borderId="1" xfId="0" applyNumberFormat="1" applyFont="1" applyFill="1" applyBorder="1" applyAlignment="1">
      <alignment vertical="center"/>
    </xf>
    <xf numFmtId="166" fontId="17" fillId="2" borderId="20" xfId="0" applyFont="1" applyFill="1" applyBorder="1" applyAlignment="1" applyProtection="1">
      <alignment vertical="center"/>
      <protection hidden="1"/>
    </xf>
    <xf numFmtId="166" fontId="18" fillId="2" borderId="0" xfId="0" applyFont="1" applyFill="1" applyBorder="1" applyAlignment="1" applyProtection="1">
      <alignment vertical="center"/>
      <protection hidden="1"/>
    </xf>
    <xf numFmtId="169" fontId="7" fillId="10" borderId="1" xfId="0" applyNumberFormat="1" applyFont="1" applyFill="1" applyBorder="1" applyAlignment="1" applyProtection="1">
      <alignment vertical="center"/>
    </xf>
    <xf numFmtId="166" fontId="8" fillId="2" borderId="0" xfId="0" applyFont="1" applyFill="1" applyAlignment="1" applyProtection="1">
      <alignment horizontal="justify" vertical="center" wrapText="1"/>
      <protection hidden="1"/>
    </xf>
    <xf numFmtId="166" fontId="1" fillId="2" borderId="0" xfId="0" applyFont="1" applyFill="1" applyAlignment="1" applyProtection="1">
      <alignment horizontal="center" vertical="center"/>
      <protection hidden="1"/>
    </xf>
    <xf numFmtId="166" fontId="5" fillId="2" borderId="0" xfId="0" applyFont="1" applyFill="1" applyAlignment="1">
      <alignment horizontal="center"/>
    </xf>
    <xf numFmtId="166" fontId="1" fillId="5" borderId="0" xfId="0" applyFont="1" applyFill="1" applyAlignment="1" applyProtection="1">
      <alignment horizontal="center"/>
      <protection hidden="1"/>
    </xf>
    <xf numFmtId="166" fontId="0" fillId="0" borderId="34" xfId="0" applyBorder="1" applyAlignment="1">
      <alignment horizontal="center" wrapText="1"/>
    </xf>
    <xf numFmtId="166" fontId="0" fillId="0" borderId="37" xfId="0" applyBorder="1" applyAlignment="1">
      <alignment horizontal="center" wrapText="1"/>
    </xf>
    <xf numFmtId="166" fontId="0" fillId="0" borderId="35" xfId="0" applyBorder="1" applyAlignment="1">
      <alignment horizontal="center" wrapText="1"/>
    </xf>
    <xf numFmtId="3" fontId="1" fillId="2" borderId="38" xfId="0" applyNumberFormat="1" applyFont="1" applyFill="1" applyBorder="1" applyAlignment="1">
      <alignment horizontal="center" wrapText="1"/>
    </xf>
    <xf numFmtId="166" fontId="0" fillId="0" borderId="39" xfId="0" applyBorder="1" applyAlignment="1">
      <alignment horizontal="center" wrapText="1"/>
    </xf>
    <xf numFmtId="166" fontId="0" fillId="0" borderId="26" xfId="0" applyBorder="1" applyAlignment="1">
      <alignment horizontal="center" wrapText="1"/>
    </xf>
    <xf numFmtId="166" fontId="0" fillId="0" borderId="27" xfId="0" applyBorder="1" applyAlignment="1">
      <alignment horizontal="center" wrapText="1"/>
    </xf>
    <xf numFmtId="166" fontId="0" fillId="0" borderId="28" xfId="0" applyBorder="1" applyAlignment="1">
      <alignment horizontal="center" wrapText="1"/>
    </xf>
    <xf numFmtId="166" fontId="0" fillId="0" borderId="30" xfId="0" applyBorder="1" applyAlignment="1">
      <alignment horizontal="center" wrapText="1"/>
    </xf>
    <xf numFmtId="166" fontId="1" fillId="8" borderId="38" xfId="0" applyFont="1" applyFill="1" applyBorder="1" applyAlignment="1">
      <alignment horizontal="center" wrapText="1"/>
    </xf>
    <xf numFmtId="166" fontId="0" fillId="0" borderId="36" xfId="0" applyBorder="1" applyAlignment="1">
      <alignment horizontal="center" wrapText="1"/>
    </xf>
    <xf numFmtId="166" fontId="0" fillId="0" borderId="0" xfId="0" applyBorder="1" applyAlignment="1">
      <alignment horizontal="center" wrapText="1"/>
    </xf>
    <xf numFmtId="166" fontId="0" fillId="0" borderId="29" xfId="0" applyBorder="1" applyAlignment="1">
      <alignment horizontal="center" wrapText="1"/>
    </xf>
    <xf numFmtId="166" fontId="1" fillId="2" borderId="38" xfId="0" applyFont="1" applyFill="1" applyBorder="1" applyAlignment="1">
      <alignment horizontal="center"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pageSetUpPr fitToPage="1"/>
  </sheetPr>
  <dimension ref="A1:O57"/>
  <sheetViews>
    <sheetView showGridLines="0" zoomScale="75" zoomScaleNormal="75" workbookViewId="0">
      <selection activeCell="L43" sqref="L43"/>
    </sheetView>
  </sheetViews>
  <sheetFormatPr defaultColWidth="9.77734375" defaultRowHeight="15.75" x14ac:dyDescent="0.25"/>
  <cols>
    <col min="1" max="1" width="1.77734375" style="85" customWidth="1"/>
    <col min="2" max="2" width="6.77734375" style="85" customWidth="1"/>
    <col min="3" max="3" width="4.88671875" style="85" customWidth="1"/>
    <col min="4" max="4" width="12.77734375" style="85" customWidth="1"/>
    <col min="5" max="5" width="7.77734375" style="85" customWidth="1"/>
    <col min="6" max="7" width="4.77734375" style="85" customWidth="1"/>
    <col min="8" max="8" width="9.77734375" style="85"/>
    <col min="9" max="9" width="6.21875" style="85" customWidth="1"/>
    <col min="10" max="10" width="7.88671875" style="85" customWidth="1"/>
    <col min="11" max="11" width="9.5546875" style="85" customWidth="1"/>
    <col min="12" max="12" width="9.44140625" style="85" customWidth="1"/>
    <col min="13" max="16384" width="9.77734375" style="3"/>
  </cols>
  <sheetData>
    <row r="1" spans="1:14" ht="22.5" x14ac:dyDescent="0.3">
      <c r="A1" s="82" t="s">
        <v>62</v>
      </c>
      <c r="B1" s="83"/>
      <c r="C1" s="83"/>
      <c r="D1" s="83"/>
      <c r="E1" s="83"/>
      <c r="F1" s="83"/>
      <c r="G1" s="83"/>
      <c r="H1" s="83"/>
      <c r="I1" s="83"/>
      <c r="J1" s="83"/>
      <c r="K1" s="83"/>
      <c r="L1" s="83"/>
    </row>
    <row r="2" spans="1:14" ht="18.75" customHeight="1" x14ac:dyDescent="0.3">
      <c r="A2" s="82" t="s">
        <v>0</v>
      </c>
      <c r="B2" s="83"/>
      <c r="C2" s="83"/>
      <c r="D2" s="83"/>
      <c r="E2" s="83"/>
      <c r="F2" s="83"/>
      <c r="G2" s="83"/>
      <c r="H2" s="83"/>
      <c r="I2" s="83"/>
      <c r="J2" s="83"/>
      <c r="K2" s="83"/>
      <c r="L2" s="83"/>
    </row>
    <row r="3" spans="1:14" ht="18.75" customHeight="1" x14ac:dyDescent="0.3">
      <c r="A3" s="82"/>
      <c r="B3" s="83"/>
      <c r="C3" s="83"/>
      <c r="D3" s="83"/>
      <c r="E3" s="83"/>
      <c r="F3" s="83"/>
      <c r="G3" s="83"/>
      <c r="H3" s="83"/>
      <c r="I3" s="83"/>
      <c r="J3" s="83"/>
      <c r="K3" s="83"/>
      <c r="L3" s="83"/>
    </row>
    <row r="4" spans="1:14" x14ac:dyDescent="0.25">
      <c r="A4" s="84" t="s">
        <v>1</v>
      </c>
      <c r="C4" s="86"/>
      <c r="D4" s="86" t="str">
        <f>DataEntry!$D$4</f>
        <v>Paul Thomas refi</v>
      </c>
      <c r="E4" s="86"/>
      <c r="F4" s="86"/>
      <c r="G4" s="87"/>
      <c r="H4" s="86"/>
      <c r="I4" s="86"/>
      <c r="J4" s="86" t="s">
        <v>3</v>
      </c>
      <c r="K4" s="88">
        <f>DataEntry!$K$4</f>
        <v>37133</v>
      </c>
      <c r="L4" s="86" t="s">
        <v>2</v>
      </c>
    </row>
    <row r="5" spans="1:14" x14ac:dyDescent="0.25">
      <c r="A5" s="84" t="s">
        <v>4</v>
      </c>
      <c r="C5" s="86"/>
      <c r="D5" s="86"/>
      <c r="E5" s="89" t="s">
        <v>74</v>
      </c>
      <c r="F5" s="90">
        <f>DataEntry!$F$5</f>
        <v>30</v>
      </c>
      <c r="G5" s="91" t="s">
        <v>107</v>
      </c>
      <c r="H5" s="92"/>
      <c r="I5" s="92"/>
      <c r="J5" s="92"/>
      <c r="K5" s="92"/>
      <c r="L5" s="86"/>
    </row>
    <row r="6" spans="1:14" ht="16.5" customHeight="1" thickBot="1" x14ac:dyDescent="0.3">
      <c r="B6" s="93"/>
      <c r="C6" s="93"/>
      <c r="D6" s="156"/>
      <c r="E6" s="157" t="s">
        <v>63</v>
      </c>
      <c r="F6" s="178">
        <f>DataEntry!$O$8</f>
        <v>0</v>
      </c>
      <c r="G6" s="93"/>
      <c r="H6" s="93" t="s">
        <v>118</v>
      </c>
    </row>
    <row r="7" spans="1:14" x14ac:dyDescent="0.25">
      <c r="A7" s="94" t="s">
        <v>5</v>
      </c>
      <c r="B7" s="95"/>
      <c r="C7" s="95"/>
      <c r="D7" s="158"/>
      <c r="E7" s="158"/>
      <c r="F7" s="158"/>
      <c r="G7" s="95"/>
      <c r="H7" s="95"/>
      <c r="I7" s="95"/>
      <c r="J7" s="95"/>
      <c r="K7" s="95"/>
      <c r="L7" s="96"/>
    </row>
    <row r="8" spans="1:14" x14ac:dyDescent="0.25">
      <c r="A8" s="97" t="str">
        <f>DataEntry!A8</f>
        <v>Type of Loan, 1st:</v>
      </c>
      <c r="B8" s="98"/>
      <c r="C8" s="98"/>
      <c r="D8" s="159">
        <f>DataEntry!D8</f>
        <v>30</v>
      </c>
      <c r="E8" s="160" t="str">
        <f>DataEntry!E8</f>
        <v>year fixed</v>
      </c>
      <c r="F8" s="161"/>
      <c r="G8" s="100"/>
      <c r="H8" s="101">
        <f>DataEntry!H8</f>
        <v>185000</v>
      </c>
      <c r="I8" s="102" t="str">
        <f>DataEntry!I8</f>
        <v>Estimated Value of Home</v>
      </c>
      <c r="J8" s="98"/>
      <c r="K8" s="98"/>
      <c r="L8" s="103"/>
    </row>
    <row r="9" spans="1:14" x14ac:dyDescent="0.25">
      <c r="A9" s="97" t="str">
        <f>DataEntry!A9</f>
        <v>Loan Term - 1st</v>
      </c>
      <c r="B9" s="98"/>
      <c r="C9" s="98"/>
      <c r="D9" s="162">
        <f>DataEntry!D9</f>
        <v>360</v>
      </c>
      <c r="E9" s="161" t="s">
        <v>2</v>
      </c>
      <c r="F9" s="163" t="s">
        <v>2</v>
      </c>
      <c r="G9" s="100"/>
      <c r="H9" s="267">
        <v>166500</v>
      </c>
      <c r="I9" s="102" t="str">
        <f>DataEntry!I9</f>
        <v xml:space="preserve">New first loan amount </v>
      </c>
      <c r="J9" s="98"/>
      <c r="K9" s="98"/>
      <c r="L9" s="103"/>
    </row>
    <row r="10" spans="1:14" x14ac:dyDescent="0.25">
      <c r="A10" s="97" t="str">
        <f>DataEntry!A10</f>
        <v>Loan Term - 2nd</v>
      </c>
      <c r="B10" s="98"/>
      <c r="C10" s="98"/>
      <c r="D10" s="159">
        <v>0</v>
      </c>
      <c r="E10" s="161"/>
      <c r="F10" s="163" t="s">
        <v>2</v>
      </c>
      <c r="G10" s="100"/>
      <c r="H10" s="104">
        <v>0</v>
      </c>
      <c r="I10" s="102" t="str">
        <f>DataEntry!I10</f>
        <v>Second Loan Amount</v>
      </c>
      <c r="J10" s="98"/>
      <c r="K10" s="98"/>
      <c r="L10" s="103"/>
      <c r="N10" s="263"/>
    </row>
    <row r="11" spans="1:14" x14ac:dyDescent="0.25">
      <c r="A11" s="97" t="str">
        <f>DataEntry!A11</f>
        <v>Note Rate:</v>
      </c>
      <c r="B11" s="98"/>
      <c r="C11" s="98"/>
      <c r="D11" s="175">
        <f>DataEntry!$P$8</f>
        <v>6.7500000000000004E-2</v>
      </c>
      <c r="E11" s="161" t="str">
        <f>DataEntry!E11</f>
        <v>current 30 day lock</v>
      </c>
      <c r="F11" s="161"/>
      <c r="G11" s="100"/>
      <c r="H11" s="105">
        <f>H9/H8</f>
        <v>0.9</v>
      </c>
      <c r="I11" s="102" t="str">
        <f>DataEntry!I11</f>
        <v>Total LTV</v>
      </c>
      <c r="J11" s="98"/>
      <c r="K11" s="266" t="str">
        <f>IF(H11&gt;0.901,"TO HIGH!"," ")</f>
        <v xml:space="preserve"> </v>
      </c>
      <c r="L11" s="265" t="str">
        <f>IF(H11&lt;0.801,"TOO LOW!"," ")</f>
        <v xml:space="preserve"> </v>
      </c>
    </row>
    <row r="12" spans="1:14" x14ac:dyDescent="0.25">
      <c r="A12" s="97" t="str">
        <f>DataEntry!A12</f>
        <v>2nd Lien Rate</v>
      </c>
      <c r="B12" s="98"/>
      <c r="C12" s="98"/>
      <c r="D12" s="106">
        <v>0</v>
      </c>
      <c r="E12" s="98"/>
      <c r="F12" s="98"/>
      <c r="G12" s="100"/>
      <c r="H12" s="261">
        <f>DataEntry!H12</f>
        <v>37165</v>
      </c>
      <c r="I12" s="102" t="str">
        <f>DataEntry!I12</f>
        <v>Closing Date</v>
      </c>
      <c r="J12" s="98"/>
      <c r="K12" s="98"/>
      <c r="L12" s="103"/>
    </row>
    <row r="13" spans="1:14" x14ac:dyDescent="0.25">
      <c r="A13" s="97" t="str">
        <f>DataEntry!A13</f>
        <v>Hazard Ins yr:</v>
      </c>
      <c r="B13" s="98"/>
      <c r="C13" s="98"/>
      <c r="D13" s="107">
        <f>DataEntry!D13</f>
        <v>900</v>
      </c>
      <c r="E13" s="98" t="str">
        <f>DataEntry!E13</f>
        <v xml:space="preserve">Estimate </v>
      </c>
      <c r="F13" s="98"/>
      <c r="G13" s="100"/>
      <c r="H13" s="261">
        <f>DataEntry!H13</f>
        <v>37168</v>
      </c>
      <c r="I13" s="102" t="str">
        <f>DataEntry!I13</f>
        <v>Funding Date (3 days after closing)</v>
      </c>
      <c r="J13" s="98"/>
      <c r="K13" s="98"/>
      <c r="L13" s="103"/>
      <c r="M13"/>
      <c r="N13"/>
    </row>
    <row r="14" spans="1:14" x14ac:dyDescent="0.25">
      <c r="A14" s="97" t="str">
        <f>DataEntry!A14</f>
        <v>Taxes yr:</v>
      </c>
      <c r="B14" s="98"/>
      <c r="C14" s="98"/>
      <c r="D14" s="107">
        <f>DataEntry!D14</f>
        <v>4625</v>
      </c>
      <c r="E14" s="98" t="str">
        <f>DataEntry!E14</f>
        <v>Estimate @ 2.5%</v>
      </c>
      <c r="F14" s="98"/>
      <c r="G14" s="100"/>
      <c r="H14" s="106" t="str">
        <f>DataEntry!H14</f>
        <v>rate/term refi</v>
      </c>
      <c r="I14" s="102" t="str">
        <f>DataEntry!I14</f>
        <v>Transaction Type</v>
      </c>
      <c r="J14" s="98"/>
      <c r="K14" s="98"/>
      <c r="L14" s="103"/>
      <c r="M14"/>
      <c r="N14"/>
    </row>
    <row r="15" spans="1:14" ht="9" customHeight="1" x14ac:dyDescent="0.25">
      <c r="A15" s="108" t="s">
        <v>2</v>
      </c>
      <c r="B15" s="86"/>
      <c r="C15" s="86"/>
      <c r="D15" s="86"/>
      <c r="E15" s="86"/>
      <c r="F15" s="86"/>
      <c r="G15" s="86"/>
      <c r="H15" s="86"/>
      <c r="I15" s="86"/>
      <c r="J15" s="86"/>
      <c r="K15" s="86"/>
      <c r="L15" s="109"/>
      <c r="M15"/>
      <c r="N15"/>
    </row>
    <row r="16" spans="1:14" ht="15" customHeight="1" x14ac:dyDescent="0.25">
      <c r="A16" s="110" t="s">
        <v>17</v>
      </c>
      <c r="B16" s="111"/>
      <c r="C16" s="111"/>
      <c r="D16" s="111"/>
      <c r="E16" s="112"/>
      <c r="F16" s="113"/>
      <c r="G16" s="114" t="s">
        <v>18</v>
      </c>
      <c r="H16" s="111"/>
      <c r="I16" s="111"/>
      <c r="J16" s="111"/>
      <c r="K16" s="111"/>
      <c r="L16" s="115"/>
      <c r="M16"/>
      <c r="N16"/>
    </row>
    <row r="17" spans="1:15" ht="13.5" customHeight="1" x14ac:dyDescent="0.25">
      <c r="A17" s="116"/>
      <c r="B17" s="98">
        <f>DataEntry!B17</f>
        <v>801</v>
      </c>
      <c r="C17" s="177">
        <f>F6</f>
        <v>0</v>
      </c>
      <c r="D17" s="99" t="str">
        <f>DataEntry!D17</f>
        <v>total loan points</v>
      </c>
      <c r="E17" s="117">
        <f>C17*H9/100</f>
        <v>0</v>
      </c>
      <c r="F17" s="118"/>
      <c r="G17" s="119">
        <f>DataEntry!G17</f>
        <v>4</v>
      </c>
      <c r="H17" s="99" t="str">
        <f>DataEntry!H17</f>
        <v>Days of Interim Interest</v>
      </c>
      <c r="I17" s="98"/>
      <c r="J17" s="172">
        <f>$H$9*$D$11/365</f>
        <v>30.791095890410958</v>
      </c>
      <c r="K17" s="99" t="s">
        <v>20</v>
      </c>
      <c r="L17" s="183">
        <f>J17*G17</f>
        <v>123.16438356164383</v>
      </c>
      <c r="M17"/>
      <c r="N17"/>
    </row>
    <row r="18" spans="1:15" ht="13.5" customHeight="1" x14ac:dyDescent="0.25">
      <c r="A18" s="116"/>
      <c r="B18" s="98">
        <f>DataEntry!B18</f>
        <v>802</v>
      </c>
      <c r="C18" s="120">
        <v>0</v>
      </c>
      <c r="D18" s="99" t="str">
        <f>DataEntry!D18</f>
        <v>escrow waiver fee</v>
      </c>
      <c r="E18" s="117">
        <f>C18*H9/100</f>
        <v>0</v>
      </c>
      <c r="F18" s="118"/>
      <c r="G18" s="119">
        <f>DataEntry!G18</f>
        <v>11</v>
      </c>
      <c r="H18" s="99" t="str">
        <f>DataEntry!H18</f>
        <v>Est Mo Taxes*</v>
      </c>
      <c r="I18" s="98"/>
      <c r="J18" s="172">
        <f>D14/12</f>
        <v>385.41666666666669</v>
      </c>
      <c r="K18" s="99" t="s">
        <v>22</v>
      </c>
      <c r="L18" s="183">
        <f>G18*J18</f>
        <v>4239.5833333333339</v>
      </c>
      <c r="M18"/>
      <c r="N18"/>
      <c r="O18" s="7"/>
    </row>
    <row r="19" spans="1:15" ht="13.5" customHeight="1" x14ac:dyDescent="0.25">
      <c r="A19" s="116"/>
      <c r="B19" s="98">
        <f>DataEntry!B19</f>
        <v>803</v>
      </c>
      <c r="C19" s="98"/>
      <c r="D19" s="99" t="str">
        <f>DataEntry!D19</f>
        <v xml:space="preserve">Appraisal </v>
      </c>
      <c r="E19" s="117">
        <f>DataEntry!E19</f>
        <v>325</v>
      </c>
      <c r="F19" s="118"/>
      <c r="G19" s="119">
        <f>DataEntry!G19</f>
        <v>4</v>
      </c>
      <c r="H19" s="99" t="str">
        <f>DataEntry!H19</f>
        <v>Est Mo Hazard Ins*</v>
      </c>
      <c r="I19" s="98"/>
      <c r="J19" s="172">
        <f>D13/12</f>
        <v>75</v>
      </c>
      <c r="K19" s="99" t="s">
        <v>22</v>
      </c>
      <c r="L19" s="183">
        <f>G19*J19</f>
        <v>300</v>
      </c>
      <c r="M19" t="s">
        <v>2</v>
      </c>
      <c r="N19"/>
    </row>
    <row r="20" spans="1:15" ht="13.5" customHeight="1" x14ac:dyDescent="0.25">
      <c r="A20" s="116"/>
      <c r="B20" s="98">
        <f>DataEntry!B20</f>
        <v>804</v>
      </c>
      <c r="C20" s="98"/>
      <c r="D20" s="99" t="str">
        <f>DataEntry!D20</f>
        <v>Credit Report</v>
      </c>
      <c r="E20" s="117">
        <f>DataEntry!E20</f>
        <v>50</v>
      </c>
      <c r="F20" s="118"/>
      <c r="G20" s="119">
        <f>DataEntry!G20</f>
        <v>0</v>
      </c>
      <c r="H20" s="99" t="str">
        <f>DataEntry!H20</f>
        <v>Mo Mortgage Insurance</v>
      </c>
      <c r="I20" s="98"/>
      <c r="J20" s="172">
        <f>H9*0.0052/12</f>
        <v>72.149999999999991</v>
      </c>
      <c r="K20" s="99" t="s">
        <v>22</v>
      </c>
      <c r="L20" s="183">
        <f>G20*J20</f>
        <v>0</v>
      </c>
    </row>
    <row r="21" spans="1:15" ht="13.5" customHeight="1" x14ac:dyDescent="0.25">
      <c r="A21" s="116"/>
      <c r="B21" s="98">
        <f>DataEntry!B21</f>
        <v>805</v>
      </c>
      <c r="C21" s="98"/>
      <c r="D21" s="99" t="str">
        <f>DataEntry!D21</f>
        <v>Application Fee</v>
      </c>
      <c r="E21" s="117">
        <f>DataEntry!E21</f>
        <v>0</v>
      </c>
      <c r="F21" s="118"/>
      <c r="G21" s="119">
        <f>DataEntry!G21</f>
        <v>0</v>
      </c>
      <c r="H21" s="99" t="str">
        <f>DataEntry!H21</f>
        <v>HOA fee</v>
      </c>
      <c r="I21" s="98"/>
      <c r="J21" s="172">
        <v>0</v>
      </c>
      <c r="K21" s="99" t="s">
        <v>22</v>
      </c>
      <c r="L21" s="183">
        <f>G21*J21</f>
        <v>0</v>
      </c>
    </row>
    <row r="22" spans="1:15" ht="13.5" customHeight="1" thickBot="1" x14ac:dyDescent="0.3">
      <c r="A22" s="116"/>
      <c r="B22" s="98">
        <f>DataEntry!B22</f>
        <v>828</v>
      </c>
      <c r="C22" s="98"/>
      <c r="D22" s="99" t="str">
        <f>DataEntry!D22</f>
        <v>Underwriting</v>
      </c>
      <c r="E22" s="117">
        <f>DataEntry!E22</f>
        <v>250</v>
      </c>
      <c r="F22" s="118"/>
      <c r="G22" s="121"/>
      <c r="H22" s="99" t="s">
        <v>2</v>
      </c>
      <c r="I22" s="98"/>
      <c r="J22" s="98"/>
      <c r="K22" s="122" t="s">
        <v>69</v>
      </c>
      <c r="L22" s="184">
        <f>SUM(L17:L21)</f>
        <v>4662.7477168949781</v>
      </c>
    </row>
    <row r="23" spans="1:15" ht="13.5" customHeight="1" thickTop="1" x14ac:dyDescent="0.25">
      <c r="A23" s="116"/>
      <c r="B23" s="98">
        <f>DataEntry!B23</f>
        <v>809</v>
      </c>
      <c r="C23" s="98"/>
      <c r="D23" s="99" t="str">
        <f>DataEntry!D23</f>
        <v>Wire/Funding</v>
      </c>
      <c r="E23" s="117">
        <f>DataEntry!E23</f>
        <v>0</v>
      </c>
      <c r="F23" s="118"/>
      <c r="G23" s="20" t="s">
        <v>93</v>
      </c>
      <c r="H23" s="123"/>
      <c r="I23" s="123"/>
      <c r="J23" s="123"/>
      <c r="K23" s="123"/>
      <c r="L23" s="124"/>
    </row>
    <row r="24" spans="1:15" ht="15" customHeight="1" x14ac:dyDescent="0.25">
      <c r="A24" s="116"/>
      <c r="B24" s="98">
        <f>DataEntry!B24</f>
        <v>810</v>
      </c>
      <c r="C24" s="98"/>
      <c r="D24" s="99" t="str">
        <f>DataEntry!D24</f>
        <v>Tax Service</v>
      </c>
      <c r="E24" s="117">
        <f>DataEntry!E24</f>
        <v>110</v>
      </c>
      <c r="F24" s="118" t="s">
        <v>2</v>
      </c>
      <c r="G24" s="114" t="s">
        <v>30</v>
      </c>
      <c r="H24" s="125"/>
      <c r="I24" s="125"/>
      <c r="J24" s="125"/>
      <c r="K24" s="125"/>
      <c r="L24" s="126"/>
    </row>
    <row r="25" spans="1:15" ht="13.5" customHeight="1" x14ac:dyDescent="0.25">
      <c r="A25" s="116"/>
      <c r="B25" s="98">
        <f>DataEntry!B25</f>
        <v>823</v>
      </c>
      <c r="C25" s="98"/>
      <c r="D25" s="99" t="str">
        <f>DataEntry!D25</f>
        <v>Flood Cert</v>
      </c>
      <c r="E25" s="117">
        <f>DataEntry!E25</f>
        <v>35</v>
      </c>
      <c r="F25" s="118" t="s">
        <v>2</v>
      </c>
      <c r="G25" s="127"/>
      <c r="H25" s="128"/>
      <c r="I25" s="128"/>
      <c r="J25" s="128"/>
      <c r="K25" s="128"/>
      <c r="L25" s="129"/>
    </row>
    <row r="26" spans="1:15" ht="13.5" customHeight="1" x14ac:dyDescent="0.25">
      <c r="A26" s="116"/>
      <c r="B26" s="98">
        <f>DataEntry!B26</f>
        <v>827</v>
      </c>
      <c r="C26" s="98"/>
      <c r="D26" s="99" t="str">
        <f>DataEntry!D26</f>
        <v>Doc Prep Ancillary</v>
      </c>
      <c r="E26" s="117">
        <f>DataEntry!E26</f>
        <v>0</v>
      </c>
      <c r="F26" s="118"/>
      <c r="G26" s="121"/>
      <c r="H26" s="99" t="str">
        <f>DataEntry!H26</f>
        <v xml:space="preserve">Principal &amp; Interest at </v>
      </c>
      <c r="I26" s="98"/>
      <c r="J26" s="130">
        <f>D11</f>
        <v>6.7500000000000004E-2</v>
      </c>
      <c r="K26" s="98"/>
      <c r="L26" s="183">
        <f>PMT(D11/12,D9,-H9)</f>
        <v>1079.9158307860762</v>
      </c>
      <c r="M26" s="3" t="s">
        <v>2</v>
      </c>
    </row>
    <row r="27" spans="1:15" ht="13.5" customHeight="1" x14ac:dyDescent="0.25">
      <c r="A27" s="116"/>
      <c r="B27" s="98">
        <f>DataEntry!B27</f>
        <v>1113</v>
      </c>
      <c r="C27" s="98"/>
      <c r="D27" s="99" t="str">
        <f>DataEntry!D27</f>
        <v xml:space="preserve">Delivery </v>
      </c>
      <c r="E27" s="117">
        <f>DataEntry!E27</f>
        <v>50</v>
      </c>
      <c r="F27" s="118"/>
      <c r="G27" s="121"/>
      <c r="H27" s="99" t="str">
        <f>DataEntry!H27</f>
        <v>Taxes</v>
      </c>
      <c r="I27" s="98" t="s">
        <v>2</v>
      </c>
      <c r="J27" s="131"/>
      <c r="K27" s="98"/>
      <c r="L27" s="183">
        <f>J18</f>
        <v>385.41666666666669</v>
      </c>
    </row>
    <row r="28" spans="1:15" ht="13.5" customHeight="1" x14ac:dyDescent="0.25">
      <c r="A28" s="116"/>
      <c r="B28" s="98">
        <f>DataEntry!B28</f>
        <v>816</v>
      </c>
      <c r="C28" s="98" t="s">
        <v>2</v>
      </c>
      <c r="D28" s="99" t="str">
        <f>DataEntry!D28</f>
        <v>Processing</v>
      </c>
      <c r="E28" s="117">
        <f>DataEntry!E28</f>
        <v>175</v>
      </c>
      <c r="F28" s="118"/>
      <c r="G28" s="121"/>
      <c r="H28" s="99" t="str">
        <f>DataEntry!H28</f>
        <v>Homeowners Insurance</v>
      </c>
      <c r="I28" s="98"/>
      <c r="J28" s="98"/>
      <c r="K28" s="98"/>
      <c r="L28" s="183">
        <f>J19</f>
        <v>75</v>
      </c>
    </row>
    <row r="29" spans="1:15" ht="13.5" customHeight="1" thickBot="1" x14ac:dyDescent="0.3">
      <c r="A29" s="116"/>
      <c r="B29" s="98"/>
      <c r="C29" s="98" t="s">
        <v>2</v>
      </c>
      <c r="D29" s="122" t="s">
        <v>67</v>
      </c>
      <c r="E29" s="174">
        <f>SUM(E17:E28)</f>
        <v>995</v>
      </c>
      <c r="F29" s="118"/>
      <c r="G29" s="121"/>
      <c r="H29" s="99" t="str">
        <f>DataEntry!H29</f>
        <v>2nd Lien Principal &amp; Interest</v>
      </c>
      <c r="I29" s="98"/>
      <c r="J29" s="98"/>
      <c r="K29" s="98"/>
      <c r="L29" s="183">
        <f>PMT(D12/12,180,-H10)</f>
        <v>0</v>
      </c>
    </row>
    <row r="30" spans="1:15" ht="15" customHeight="1" thickTop="1" x14ac:dyDescent="0.25">
      <c r="A30" s="132" t="s">
        <v>39</v>
      </c>
      <c r="B30" s="133"/>
      <c r="C30" s="133"/>
      <c r="D30" s="134"/>
      <c r="E30" s="135"/>
      <c r="F30" s="136"/>
      <c r="G30" s="121"/>
      <c r="H30" s="99" t="str">
        <f>DataEntry!H30</f>
        <v>Mortgage Insurance</v>
      </c>
      <c r="I30" s="98"/>
      <c r="J30" s="98"/>
      <c r="K30" s="98"/>
      <c r="L30" s="183">
        <f>J20</f>
        <v>72.149999999999991</v>
      </c>
    </row>
    <row r="31" spans="1:15" ht="13.5" customHeight="1" x14ac:dyDescent="0.25">
      <c r="A31" s="116"/>
      <c r="B31" s="98">
        <f>DataEntry!B31</f>
        <v>1109</v>
      </c>
      <c r="C31" s="98"/>
      <c r="D31" s="99" t="str">
        <f>DataEntry!D31</f>
        <v>Lenders Title Policy</v>
      </c>
      <c r="E31" s="264">
        <f>IF($H$9&lt;100000,(($H$9-100000)*0.00805)+992-$O$14,(($H$9-100000)*0.00628)+992-DataEntry!O14)</f>
        <v>859.33679999999981</v>
      </c>
      <c r="F31" s="118" t="s">
        <v>2</v>
      </c>
      <c r="G31" s="121"/>
      <c r="H31" s="99" t="str">
        <f>DataEntry!H31</f>
        <v>Condo/HOA fee</v>
      </c>
      <c r="I31" s="98"/>
      <c r="J31" s="98"/>
      <c r="K31" s="98"/>
      <c r="L31" s="183">
        <f>J21</f>
        <v>0</v>
      </c>
    </row>
    <row r="32" spans="1:15" ht="13.5" customHeight="1" x14ac:dyDescent="0.25">
      <c r="A32" s="116"/>
      <c r="B32" s="98">
        <f>DataEntry!B32</f>
        <v>1110</v>
      </c>
      <c r="C32" s="98"/>
      <c r="D32" s="99" t="str">
        <f>DataEntry!D32</f>
        <v>Owners Title Policy</v>
      </c>
      <c r="E32" s="137" t="str">
        <f>DataEntry!E32</f>
        <v>not reqd</v>
      </c>
      <c r="F32" s="118" t="s">
        <v>2</v>
      </c>
      <c r="G32" s="121"/>
      <c r="H32" s="99" t="s">
        <v>2</v>
      </c>
      <c r="I32" s="98"/>
      <c r="J32" s="98"/>
      <c r="K32" s="98"/>
      <c r="L32" s="138"/>
    </row>
    <row r="33" spans="1:12" ht="13.5" customHeight="1" x14ac:dyDescent="0.25">
      <c r="A33" s="116"/>
      <c r="B33" s="98">
        <f>DataEntry!B33</f>
        <v>1112</v>
      </c>
      <c r="C33" s="98"/>
      <c r="D33" s="99" t="str">
        <f>DataEntry!D33</f>
        <v>Settlement</v>
      </c>
      <c r="E33" s="117">
        <f>DataEntry!E33</f>
        <v>125</v>
      </c>
      <c r="F33" s="118"/>
      <c r="G33" s="121"/>
      <c r="H33" s="98" t="s">
        <v>2</v>
      </c>
      <c r="I33" s="98"/>
      <c r="J33" s="98"/>
      <c r="K33" s="98"/>
      <c r="L33" s="139"/>
    </row>
    <row r="34" spans="1:12" ht="13.5" customHeight="1" thickBot="1" x14ac:dyDescent="0.3">
      <c r="A34" s="116"/>
      <c r="B34" s="98">
        <f>DataEntry!B34</f>
        <v>1113</v>
      </c>
      <c r="C34" s="98"/>
      <c r="D34" s="99" t="str">
        <f>DataEntry!D34</f>
        <v xml:space="preserve">Delivery </v>
      </c>
      <c r="E34" s="117">
        <f>DataEntry!E34</f>
        <v>50</v>
      </c>
      <c r="F34" s="140"/>
      <c r="G34" s="121"/>
      <c r="H34" s="99" t="s">
        <v>2</v>
      </c>
      <c r="I34" s="98"/>
      <c r="J34" s="98"/>
      <c r="K34" s="122" t="s">
        <v>70</v>
      </c>
      <c r="L34" s="184">
        <f>SUM(L26:L32)</f>
        <v>1612.482497452743</v>
      </c>
    </row>
    <row r="35" spans="1:12" ht="13.5" customHeight="1" thickTop="1" x14ac:dyDescent="0.25">
      <c r="A35" s="116"/>
      <c r="B35" s="98">
        <f>DataEntry!B35</f>
        <v>1201</v>
      </c>
      <c r="C35" s="98"/>
      <c r="D35" s="99" t="str">
        <f>DataEntry!D35</f>
        <v>Recording</v>
      </c>
      <c r="E35" s="117">
        <f>DataEntry!E35</f>
        <v>75</v>
      </c>
      <c r="F35" s="118"/>
      <c r="G35" s="141"/>
      <c r="H35" s="100"/>
      <c r="I35" s="100"/>
      <c r="J35" s="100"/>
      <c r="K35" s="100"/>
      <c r="L35" s="142"/>
    </row>
    <row r="36" spans="1:12" ht="15" customHeight="1" x14ac:dyDescent="0.25">
      <c r="A36" s="116"/>
      <c r="B36" s="98">
        <f>DataEntry!B36</f>
        <v>1204</v>
      </c>
      <c r="C36" s="98"/>
      <c r="D36" s="99" t="str">
        <f>DataEntry!D36</f>
        <v>Tax Certificates</v>
      </c>
      <c r="E36" s="117">
        <f>DataEntry!E36</f>
        <v>0</v>
      </c>
      <c r="F36" s="118"/>
      <c r="G36" s="114" t="s">
        <v>47</v>
      </c>
      <c r="H36" s="125"/>
      <c r="I36" s="125"/>
      <c r="J36" s="125"/>
      <c r="K36" s="125"/>
      <c r="L36" s="143"/>
    </row>
    <row r="37" spans="1:12" ht="13.5" customHeight="1" x14ac:dyDescent="0.25">
      <c r="A37" s="116"/>
      <c r="B37" s="98">
        <f>DataEntry!B37</f>
        <v>1301</v>
      </c>
      <c r="C37" s="98"/>
      <c r="D37" s="99" t="str">
        <f>DataEntry!D37</f>
        <v>Survey</v>
      </c>
      <c r="E37" s="117" t="str">
        <f>DataEntry!E37</f>
        <v>use current?</v>
      </c>
      <c r="F37" s="118"/>
      <c r="G37" s="121"/>
      <c r="H37" s="99" t="str">
        <f>DataEntry!H37</f>
        <v>Payoff existing loan(s)</v>
      </c>
      <c r="I37" s="98"/>
      <c r="J37" s="98"/>
      <c r="K37" s="98"/>
      <c r="L37" s="183">
        <f>DataEntry!L37</f>
        <v>161100</v>
      </c>
    </row>
    <row r="38" spans="1:12" ht="13.5" customHeight="1" x14ac:dyDescent="0.25">
      <c r="A38" s="116"/>
      <c r="B38" s="98" t="str">
        <f>DataEntry!B38</f>
        <v/>
      </c>
      <c r="C38" s="98"/>
      <c r="D38" s="99" t="str">
        <f>DataEntry!D38</f>
        <v>Attorney</v>
      </c>
      <c r="E38" s="117">
        <f>DataEntry!E38</f>
        <v>150</v>
      </c>
      <c r="F38" s="118"/>
      <c r="G38" s="121"/>
      <c r="H38" s="99" t="str">
        <f>DataEntry!H38</f>
        <v>Closing Costs - Lender</v>
      </c>
      <c r="I38" s="98"/>
      <c r="J38" s="98"/>
      <c r="K38" s="98"/>
      <c r="L38" s="183">
        <f>E29</f>
        <v>995</v>
      </c>
    </row>
    <row r="39" spans="1:12" ht="13.5" customHeight="1" x14ac:dyDescent="0.25">
      <c r="A39" s="116"/>
      <c r="B39" s="98" t="str">
        <f>DataEntry!B39</f>
        <v/>
      </c>
      <c r="C39" s="98"/>
      <c r="D39" s="99" t="str">
        <f>DataEntry!D39</f>
        <v>Condo Certification</v>
      </c>
      <c r="E39" s="117">
        <f>DataEntry!E39</f>
        <v>0</v>
      </c>
      <c r="F39" s="144"/>
      <c r="G39" s="121"/>
      <c r="H39" s="99" t="str">
        <f>DataEntry!H39</f>
        <v>Closing Costs - Other</v>
      </c>
      <c r="I39" s="98"/>
      <c r="J39" s="98"/>
      <c r="K39" s="98"/>
      <c r="L39" s="183">
        <f>E44</f>
        <v>1259.3367999999998</v>
      </c>
    </row>
    <row r="40" spans="1:12" ht="13.5" customHeight="1" x14ac:dyDescent="0.25">
      <c r="A40" s="116"/>
      <c r="B40" s="98">
        <f>DataEntry!B40</f>
        <v>1302</v>
      </c>
      <c r="C40" s="98"/>
      <c r="D40" s="99" t="str">
        <f>DataEntry!D40</f>
        <v>2nd lien charges</v>
      </c>
      <c r="E40" s="117">
        <f>DataEntry!E40</f>
        <v>0</v>
      </c>
      <c r="F40" s="144"/>
      <c r="G40" s="121"/>
      <c r="H40" s="99" t="str">
        <f>DataEntry!H40</f>
        <v>Prepaids</v>
      </c>
      <c r="I40" s="98"/>
      <c r="J40" s="98"/>
      <c r="K40" s="98"/>
      <c r="L40" s="183">
        <f>L22</f>
        <v>4662.7477168949781</v>
      </c>
    </row>
    <row r="41" spans="1:12" ht="13.5" customHeight="1" thickBot="1" x14ac:dyDescent="0.3">
      <c r="A41" s="116"/>
      <c r="B41" s="98" t="str">
        <f>DataEntry!B41</f>
        <v/>
      </c>
      <c r="C41" s="98"/>
      <c r="D41" s="99" t="str">
        <f>DataEntry!D41</f>
        <v>HOA Transfer fee</v>
      </c>
      <c r="E41" s="117">
        <f>DataEntry!E41</f>
        <v>0</v>
      </c>
      <c r="F41" s="144"/>
      <c r="G41" s="121"/>
      <c r="H41" s="99" t="str">
        <f>DataEntry!H41</f>
        <v>Subtotal</v>
      </c>
      <c r="I41" s="98"/>
      <c r="J41" s="98"/>
      <c r="K41" s="98"/>
      <c r="L41" s="184">
        <f>SUM(L37:L40)</f>
        <v>168017.08451689497</v>
      </c>
    </row>
    <row r="42" spans="1:12" ht="13.5" customHeight="1" thickTop="1" x14ac:dyDescent="0.25">
      <c r="A42" s="116"/>
      <c r="B42" s="98" t="str">
        <f>DataEntry!B42</f>
        <v/>
      </c>
      <c r="C42" s="98"/>
      <c r="D42" s="99" t="str">
        <f>DataEntry!D42</f>
        <v xml:space="preserve"> </v>
      </c>
      <c r="E42" s="117" t="str">
        <f>DataEntry!E42</f>
        <v/>
      </c>
      <c r="F42" s="144"/>
      <c r="G42" s="121"/>
      <c r="H42" s="99"/>
      <c r="I42" s="98"/>
      <c r="J42" s="98"/>
      <c r="K42" s="98"/>
      <c r="L42" s="185" t="s">
        <v>2</v>
      </c>
    </row>
    <row r="43" spans="1:12" ht="13.5" customHeight="1" x14ac:dyDescent="0.25">
      <c r="A43" s="116"/>
      <c r="B43" s="98"/>
      <c r="C43" s="98"/>
      <c r="D43" s="98"/>
      <c r="E43" s="145"/>
      <c r="F43" s="144"/>
      <c r="G43" s="121"/>
      <c r="H43" s="99" t="str">
        <f>DataEntry!H43</f>
        <v>less new loan amount</v>
      </c>
      <c r="I43" s="98"/>
      <c r="J43" s="98"/>
      <c r="K43" s="98"/>
      <c r="L43" s="171">
        <f>-H9</f>
        <v>-166500</v>
      </c>
    </row>
    <row r="44" spans="1:12" ht="13.5" customHeight="1" thickBot="1" x14ac:dyDescent="0.3">
      <c r="A44" s="116"/>
      <c r="B44" s="99"/>
      <c r="C44" s="98"/>
      <c r="D44" s="122" t="s">
        <v>68</v>
      </c>
      <c r="E44" s="173">
        <f>SUM(E31:E43)</f>
        <v>1259.3367999999998</v>
      </c>
      <c r="F44" s="144"/>
      <c r="G44" s="121"/>
      <c r="H44" s="99" t="str">
        <f>DataEntry!H44</f>
        <v>Closing Cost Deposit</v>
      </c>
      <c r="I44" s="98"/>
      <c r="J44" s="98"/>
      <c r="K44" s="98"/>
      <c r="L44" s="176">
        <f>DataEntry!L44</f>
        <v>-375</v>
      </c>
    </row>
    <row r="45" spans="1:12" ht="13.5" customHeight="1" thickTop="1" thickBot="1" x14ac:dyDescent="0.3">
      <c r="A45" s="116"/>
      <c r="B45" s="128"/>
      <c r="C45" s="128"/>
      <c r="D45" s="128"/>
      <c r="E45" s="128"/>
      <c r="F45" s="146"/>
      <c r="G45" s="121"/>
      <c r="H45" s="99" t="str">
        <f>DataEntry!H45</f>
        <v xml:space="preserve">less lender credit </v>
      </c>
      <c r="I45" s="98"/>
      <c r="J45" s="98"/>
      <c r="K45" s="98"/>
      <c r="L45" s="171" t="str">
        <f>DataEntry!L45</f>
        <v>tbd</v>
      </c>
    </row>
    <row r="46" spans="1:12" ht="17.25" customHeight="1" thickBot="1" x14ac:dyDescent="0.3">
      <c r="A46" s="116"/>
      <c r="B46" s="128"/>
      <c r="C46" s="128"/>
      <c r="D46" s="128" t="s">
        <v>2</v>
      </c>
      <c r="E46" s="147" t="s">
        <v>2</v>
      </c>
      <c r="F46" s="146"/>
      <c r="G46" s="121"/>
      <c r="H46"/>
      <c r="I46" s="219"/>
      <c r="J46" s="219"/>
      <c r="K46" s="220" t="str">
        <f>IF(L46&lt;0,"Cash Due to Owner at Closing =","Cash Due to Mortgage Company at Closing =")</f>
        <v>Cash Due to Mortgage Company at Closing =</v>
      </c>
      <c r="L46" s="205">
        <f>SUM(L41:L45)</f>
        <v>1142.0845168949745</v>
      </c>
    </row>
    <row r="47" spans="1:12" ht="12.95" customHeight="1" thickBot="1" x14ac:dyDescent="0.3">
      <c r="A47" s="148"/>
      <c r="B47" s="149"/>
      <c r="C47" s="149"/>
      <c r="D47" s="149" t="s">
        <v>2</v>
      </c>
      <c r="E47" s="149"/>
      <c r="F47" s="149"/>
      <c r="G47" s="54" t="s">
        <v>94</v>
      </c>
      <c r="H47" s="55"/>
      <c r="I47" s="53"/>
      <c r="J47" s="53"/>
      <c r="K47" s="53"/>
      <c r="L47" s="56"/>
    </row>
    <row r="48" spans="1:12" ht="2.1" customHeight="1" x14ac:dyDescent="0.25">
      <c r="A48" s="150"/>
      <c r="B48" s="150"/>
      <c r="C48" s="150"/>
      <c r="D48" s="150"/>
      <c r="E48" s="150"/>
      <c r="F48" s="150"/>
      <c r="G48" s="150"/>
      <c r="H48" s="151"/>
      <c r="I48" s="150"/>
      <c r="J48" s="150"/>
      <c r="K48" s="150"/>
      <c r="L48" s="152"/>
    </row>
    <row r="49" spans="1:12" ht="60" customHeight="1" x14ac:dyDescent="0.25">
      <c r="A49" s="153" t="s">
        <v>2</v>
      </c>
      <c r="B49" s="153"/>
      <c r="C49" s="268" t="s">
        <v>65</v>
      </c>
      <c r="D49" s="268"/>
      <c r="E49" s="268"/>
      <c r="F49" s="268"/>
      <c r="G49" s="268"/>
      <c r="H49" s="268"/>
      <c r="I49" s="268"/>
      <c r="J49" s="268"/>
      <c r="K49" s="268"/>
      <c r="L49" s="153"/>
    </row>
    <row r="50" spans="1:12" ht="45" customHeight="1" x14ac:dyDescent="0.25">
      <c r="A50" s="153" t="s">
        <v>2</v>
      </c>
      <c r="B50" s="153"/>
      <c r="C50" s="268" t="s">
        <v>66</v>
      </c>
      <c r="D50" s="268"/>
      <c r="E50" s="268"/>
      <c r="F50" s="268"/>
      <c r="G50" s="268"/>
      <c r="H50" s="268"/>
      <c r="I50" s="268"/>
      <c r="J50" s="268"/>
      <c r="K50" s="268"/>
      <c r="L50" s="153"/>
    </row>
    <row r="51" spans="1:12" ht="12" customHeight="1" x14ac:dyDescent="0.25"/>
    <row r="52" spans="1:12" x14ac:dyDescent="0.25">
      <c r="A52" s="84" t="s">
        <v>58</v>
      </c>
      <c r="D52" s="86"/>
      <c r="E52" s="86"/>
      <c r="F52" s="86"/>
      <c r="G52" s="86"/>
      <c r="H52" s="86"/>
      <c r="I52" s="86"/>
      <c r="J52" s="87" t="s">
        <v>59</v>
      </c>
      <c r="K52" s="86"/>
      <c r="L52" s="86"/>
    </row>
    <row r="53" spans="1:12" ht="14.25" customHeight="1" x14ac:dyDescent="0.25"/>
    <row r="54" spans="1:12" x14ac:dyDescent="0.25">
      <c r="A54" s="84" t="s">
        <v>60</v>
      </c>
      <c r="D54" s="86"/>
      <c r="E54" s="86"/>
      <c r="F54" s="86"/>
      <c r="G54" s="86"/>
      <c r="H54" s="86"/>
      <c r="I54" s="86"/>
      <c r="J54" s="87" t="s">
        <v>59</v>
      </c>
      <c r="K54" s="86"/>
      <c r="L54" s="86"/>
    </row>
    <row r="55" spans="1:12" ht="9.75" customHeight="1" x14ac:dyDescent="0.25"/>
    <row r="56" spans="1:12" x14ac:dyDescent="0.25">
      <c r="A56" s="269" t="str">
        <f>DataEntry!$A$52</f>
        <v>Estimate provided by Linda Rhoden.  Phone# 713-802-6025</v>
      </c>
      <c r="B56" s="269"/>
      <c r="C56" s="269"/>
      <c r="D56" s="269"/>
      <c r="E56" s="269"/>
      <c r="F56" s="269"/>
      <c r="G56" s="269"/>
      <c r="H56" s="269"/>
      <c r="I56" s="269"/>
      <c r="J56" s="269"/>
      <c r="K56" s="269"/>
      <c r="L56" s="269"/>
    </row>
    <row r="57" spans="1:12" x14ac:dyDescent="0.25">
      <c r="A57" s="269" t="str">
        <f>DataEntry!$A$53</f>
        <v>888-852-7645 ext. 6025 Toll free / 713-802-6035 Fax</v>
      </c>
      <c r="B57" s="269"/>
      <c r="C57" s="269"/>
      <c r="D57" s="269"/>
      <c r="E57" s="269"/>
      <c r="F57" s="269"/>
      <c r="G57" s="269"/>
      <c r="H57" s="269"/>
      <c r="I57" s="269"/>
      <c r="J57" s="269"/>
      <c r="K57" s="269"/>
      <c r="L57" s="269"/>
    </row>
  </sheetData>
  <mergeCells count="4">
    <mergeCell ref="C49:K49"/>
    <mergeCell ref="C50:K50"/>
    <mergeCell ref="A56:L56"/>
    <mergeCell ref="A57:L57"/>
  </mergeCells>
  <phoneticPr fontId="0" type="noConversion"/>
  <printOptions horizontalCentered="1" gridLinesSet="0"/>
  <pageMargins left="0.35" right="0.17" top="0.5" bottom="0.28999999999999998" header="0.5" footer="0.5"/>
  <pageSetup scale="83"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pageSetUpPr fitToPage="1"/>
  </sheetPr>
  <dimension ref="A1:O57"/>
  <sheetViews>
    <sheetView showGridLines="0" zoomScale="75" zoomScaleNormal="75" workbookViewId="0">
      <selection activeCell="H11" sqref="H11"/>
    </sheetView>
  </sheetViews>
  <sheetFormatPr defaultColWidth="9.77734375" defaultRowHeight="15.75" x14ac:dyDescent="0.25"/>
  <cols>
    <col min="1" max="1" width="1.77734375" style="85" customWidth="1"/>
    <col min="2" max="2" width="6.77734375" style="85" customWidth="1"/>
    <col min="3" max="3" width="4.6640625" style="85" customWidth="1"/>
    <col min="4" max="4" width="12.77734375" style="85" customWidth="1"/>
    <col min="5" max="5" width="7.77734375" style="85" customWidth="1"/>
    <col min="6" max="7" width="4.77734375" style="85" customWidth="1"/>
    <col min="8" max="8" width="9.77734375" style="85"/>
    <col min="9" max="9" width="6.21875" style="85" customWidth="1"/>
    <col min="10" max="10" width="7.88671875" style="85" customWidth="1"/>
    <col min="11" max="11" width="9.5546875" style="85" customWidth="1"/>
    <col min="12" max="12" width="9.109375" style="85" customWidth="1"/>
    <col min="13" max="16384" width="9.77734375" style="3"/>
  </cols>
  <sheetData>
    <row r="1" spans="1:14" ht="22.5" x14ac:dyDescent="0.3">
      <c r="A1" s="82" t="s">
        <v>62</v>
      </c>
      <c r="B1" s="83"/>
      <c r="C1" s="83"/>
      <c r="D1" s="83"/>
      <c r="E1" s="83"/>
      <c r="F1" s="83"/>
      <c r="G1" s="83"/>
      <c r="H1" s="83"/>
      <c r="I1" s="83"/>
      <c r="J1" s="83"/>
      <c r="K1" s="83"/>
      <c r="L1" s="83"/>
    </row>
    <row r="2" spans="1:14" ht="18.75" customHeight="1" x14ac:dyDescent="0.3">
      <c r="A2" s="82" t="s">
        <v>0</v>
      </c>
      <c r="B2" s="83"/>
      <c r="C2" s="83"/>
      <c r="D2" s="83"/>
      <c r="E2" s="83"/>
      <c r="F2" s="83"/>
      <c r="G2" s="83"/>
      <c r="H2" s="83"/>
      <c r="I2" s="83"/>
      <c r="J2" s="83"/>
      <c r="K2" s="83"/>
      <c r="L2" s="83"/>
    </row>
    <row r="3" spans="1:14" ht="18.75" customHeight="1" x14ac:dyDescent="0.3">
      <c r="A3" s="82"/>
      <c r="B3" s="83"/>
      <c r="C3" s="83"/>
      <c r="D3" s="83"/>
      <c r="E3" s="83"/>
      <c r="F3" s="83"/>
      <c r="G3" s="83"/>
      <c r="H3" s="83"/>
      <c r="I3" s="83"/>
      <c r="J3" s="83"/>
      <c r="K3" s="83"/>
      <c r="L3" s="83"/>
    </row>
    <row r="4" spans="1:14" x14ac:dyDescent="0.25">
      <c r="A4" s="84" t="s">
        <v>1</v>
      </c>
      <c r="C4" s="86"/>
      <c r="D4" s="86" t="str">
        <f>DataEntry!$D$4</f>
        <v>Paul Thomas refi</v>
      </c>
      <c r="E4" s="86"/>
      <c r="F4" s="86"/>
      <c r="G4" s="87"/>
      <c r="H4" s="86"/>
      <c r="I4" s="86"/>
      <c r="J4" s="86" t="s">
        <v>3</v>
      </c>
      <c r="K4" s="88">
        <f>DataEntry!$K$4</f>
        <v>37133</v>
      </c>
      <c r="L4" s="86" t="s">
        <v>2</v>
      </c>
    </row>
    <row r="5" spans="1:14" x14ac:dyDescent="0.25">
      <c r="A5" s="84" t="s">
        <v>4</v>
      </c>
      <c r="C5" s="86"/>
      <c r="D5" s="86"/>
      <c r="E5" s="89" t="s">
        <v>75</v>
      </c>
      <c r="F5" s="90">
        <f>DataEntry!$F$5</f>
        <v>30</v>
      </c>
      <c r="G5" s="91" t="s">
        <v>108</v>
      </c>
      <c r="H5" s="92"/>
      <c r="I5" s="92"/>
      <c r="J5" s="92"/>
      <c r="K5" s="92"/>
      <c r="L5" s="86"/>
    </row>
    <row r="6" spans="1:14" ht="16.5" customHeight="1" thickBot="1" x14ac:dyDescent="0.3">
      <c r="B6" s="93"/>
      <c r="C6" s="93"/>
      <c r="D6" s="156"/>
      <c r="E6" s="157" t="s">
        <v>63</v>
      </c>
      <c r="F6" s="178">
        <f>DataEntry!$O$9</f>
        <v>0</v>
      </c>
      <c r="G6" s="93"/>
      <c r="H6" s="93" t="s">
        <v>115</v>
      </c>
    </row>
    <row r="7" spans="1:14" x14ac:dyDescent="0.25">
      <c r="A7" s="94" t="s">
        <v>5</v>
      </c>
      <c r="B7" s="95"/>
      <c r="C7" s="95"/>
      <c r="D7" s="158"/>
      <c r="E7" s="158"/>
      <c r="F7" s="158"/>
      <c r="G7" s="95"/>
      <c r="H7" s="95"/>
      <c r="I7" s="95"/>
      <c r="J7" s="95"/>
      <c r="K7" s="95"/>
      <c r="L7" s="96"/>
    </row>
    <row r="8" spans="1:14" x14ac:dyDescent="0.25">
      <c r="A8" s="97" t="str">
        <f>DataEntry!A8</f>
        <v>Type of Loan, 1st:</v>
      </c>
      <c r="B8" s="98"/>
      <c r="C8" s="98"/>
      <c r="D8" s="159">
        <f>DataEntry!D8</f>
        <v>30</v>
      </c>
      <c r="E8" s="160" t="str">
        <f>DataEntry!E8</f>
        <v>year fixed</v>
      </c>
      <c r="F8" s="161"/>
      <c r="G8" s="100"/>
      <c r="H8" s="101">
        <f>DataEntry!H8</f>
        <v>185000</v>
      </c>
      <c r="I8" s="102" t="str">
        <f>DataEntry!I8</f>
        <v>Estimated Value of Home</v>
      </c>
      <c r="J8" s="98"/>
      <c r="K8" s="98"/>
      <c r="L8" s="103"/>
    </row>
    <row r="9" spans="1:14" x14ac:dyDescent="0.25">
      <c r="A9" s="97" t="str">
        <f>DataEntry!A9</f>
        <v>Loan Term - 1st</v>
      </c>
      <c r="B9" s="98"/>
      <c r="C9" s="98"/>
      <c r="D9" s="162">
        <f>DataEntry!D9</f>
        <v>360</v>
      </c>
      <c r="E9" s="161" t="s">
        <v>2</v>
      </c>
      <c r="F9" s="163" t="s">
        <v>2</v>
      </c>
      <c r="G9" s="100"/>
      <c r="H9" s="262">
        <f>0.8*H8</f>
        <v>148000</v>
      </c>
      <c r="I9" s="102" t="str">
        <f>DataEntry!I9</f>
        <v xml:space="preserve">New first loan amount </v>
      </c>
      <c r="J9" s="98"/>
      <c r="K9" s="98"/>
      <c r="L9" s="103"/>
    </row>
    <row r="10" spans="1:14" x14ac:dyDescent="0.25">
      <c r="A10" s="97" t="str">
        <f>DataEntry!A10</f>
        <v>Loan Term - 2nd</v>
      </c>
      <c r="B10" s="98"/>
      <c r="C10" s="98"/>
      <c r="D10" s="159">
        <v>180</v>
      </c>
      <c r="E10" s="161"/>
      <c r="F10" s="163" t="s">
        <v>2</v>
      </c>
      <c r="G10" s="100"/>
      <c r="H10" s="267">
        <v>15700</v>
      </c>
      <c r="I10" s="102" t="str">
        <f>DataEntry!I10</f>
        <v>Second Loan Amount</v>
      </c>
      <c r="J10" s="98"/>
      <c r="K10" s="98"/>
      <c r="L10" s="103"/>
    </row>
    <row r="11" spans="1:14" x14ac:dyDescent="0.25">
      <c r="A11" s="97" t="str">
        <f>DataEntry!A11</f>
        <v>Note Rate:</v>
      </c>
      <c r="B11" s="98"/>
      <c r="C11" s="98"/>
      <c r="D11" s="175">
        <f>DataEntry!$P$9</f>
        <v>6.7500000000000004E-2</v>
      </c>
      <c r="E11" s="161" t="str">
        <f>DataEntry!E11</f>
        <v>current 30 day lock</v>
      </c>
      <c r="F11" s="161"/>
      <c r="G11" s="100"/>
      <c r="H11" s="105">
        <f>(H9+H10)/H8</f>
        <v>0.88486486486486482</v>
      </c>
      <c r="I11" s="102" t="str">
        <f>DataEntry!I11</f>
        <v>Total LTV</v>
      </c>
      <c r="J11" s="98"/>
      <c r="K11" s="266" t="str">
        <f>IF(H11&gt;0.901,"TO HIGH!"," ")</f>
        <v xml:space="preserve"> </v>
      </c>
      <c r="L11" s="265" t="str">
        <f>IF(H11&lt;0.801,"TOO LOW!"," ")</f>
        <v xml:space="preserve"> </v>
      </c>
    </row>
    <row r="12" spans="1:14" x14ac:dyDescent="0.25">
      <c r="A12" s="97" t="str">
        <f>DataEntry!A12</f>
        <v>2nd Lien Rate</v>
      </c>
      <c r="B12" s="98"/>
      <c r="C12" s="98"/>
      <c r="D12" s="106">
        <v>8.9899999999999994E-2</v>
      </c>
      <c r="E12" s="98"/>
      <c r="F12" s="98"/>
      <c r="G12" s="100"/>
      <c r="H12" s="261">
        <f>DataEntry!H12</f>
        <v>37165</v>
      </c>
      <c r="I12" s="102" t="str">
        <f>DataEntry!I12</f>
        <v>Closing Date</v>
      </c>
      <c r="J12" s="98"/>
      <c r="K12" s="98"/>
      <c r="L12" s="103"/>
    </row>
    <row r="13" spans="1:14" x14ac:dyDescent="0.25">
      <c r="A13" s="97" t="str">
        <f>DataEntry!A13</f>
        <v>Hazard Ins yr:</v>
      </c>
      <c r="B13" s="98"/>
      <c r="C13" s="98"/>
      <c r="D13" s="107">
        <f>DataEntry!D13</f>
        <v>900</v>
      </c>
      <c r="E13" s="98" t="str">
        <f>DataEntry!E13</f>
        <v xml:space="preserve">Estimate </v>
      </c>
      <c r="F13" s="98"/>
      <c r="G13" s="100"/>
      <c r="H13" s="261">
        <f>DataEntry!H13</f>
        <v>37168</v>
      </c>
      <c r="I13" s="102" t="str">
        <f>DataEntry!I13</f>
        <v>Funding Date (3 days after closing)</v>
      </c>
      <c r="J13" s="98"/>
      <c r="K13" s="98"/>
      <c r="L13" s="103"/>
      <c r="M13"/>
      <c r="N13"/>
    </row>
    <row r="14" spans="1:14" x14ac:dyDescent="0.25">
      <c r="A14" s="97" t="str">
        <f>DataEntry!A14</f>
        <v>Taxes yr:</v>
      </c>
      <c r="B14" s="98"/>
      <c r="C14" s="98"/>
      <c r="D14" s="107">
        <f>DataEntry!D14</f>
        <v>4625</v>
      </c>
      <c r="E14" s="98" t="str">
        <f>DataEntry!E14</f>
        <v>Estimate @ 2.5%</v>
      </c>
      <c r="F14" s="98"/>
      <c r="G14" s="100"/>
      <c r="H14" s="106" t="str">
        <f>DataEntry!H14</f>
        <v>rate/term refi</v>
      </c>
      <c r="I14" s="102" t="str">
        <f>DataEntry!I14</f>
        <v>Transaction Type</v>
      </c>
      <c r="J14" s="98"/>
      <c r="K14" s="98"/>
      <c r="L14" s="103"/>
      <c r="M14"/>
      <c r="N14"/>
    </row>
    <row r="15" spans="1:14" ht="9" customHeight="1" x14ac:dyDescent="0.25">
      <c r="A15" s="108" t="s">
        <v>2</v>
      </c>
      <c r="B15" s="86"/>
      <c r="C15" s="86"/>
      <c r="D15" s="86"/>
      <c r="E15" s="86"/>
      <c r="F15" s="86"/>
      <c r="G15" s="86"/>
      <c r="H15" s="86"/>
      <c r="I15" s="86"/>
      <c r="J15" s="86"/>
      <c r="K15" s="86"/>
      <c r="L15" s="109"/>
      <c r="M15"/>
      <c r="N15"/>
    </row>
    <row r="16" spans="1:14" ht="15" customHeight="1" x14ac:dyDescent="0.25">
      <c r="A16" s="110" t="s">
        <v>17</v>
      </c>
      <c r="B16" s="111"/>
      <c r="C16" s="111"/>
      <c r="D16" s="111"/>
      <c r="E16" s="112"/>
      <c r="F16" s="113"/>
      <c r="G16" s="114" t="s">
        <v>18</v>
      </c>
      <c r="H16" s="111"/>
      <c r="I16" s="111"/>
      <c r="J16" s="111"/>
      <c r="K16" s="111"/>
      <c r="L16" s="115"/>
      <c r="M16"/>
      <c r="N16"/>
    </row>
    <row r="17" spans="1:15" ht="13.5" customHeight="1" x14ac:dyDescent="0.25">
      <c r="A17" s="116"/>
      <c r="B17" s="98">
        <f>DataEntry!B17</f>
        <v>801</v>
      </c>
      <c r="C17" s="177">
        <f>F6</f>
        <v>0</v>
      </c>
      <c r="D17" s="99" t="str">
        <f>DataEntry!D17</f>
        <v>total loan points</v>
      </c>
      <c r="E17" s="117">
        <f>C17*H9/100</f>
        <v>0</v>
      </c>
      <c r="F17" s="118"/>
      <c r="G17" s="119">
        <f>DataEntry!G17</f>
        <v>4</v>
      </c>
      <c r="H17" s="99" t="str">
        <f>DataEntry!H17</f>
        <v>Days of Interim Interest</v>
      </c>
      <c r="I17" s="98"/>
      <c r="J17" s="172">
        <f>$H$9*$D$11/365</f>
        <v>27.36986301369863</v>
      </c>
      <c r="K17" s="99" t="s">
        <v>20</v>
      </c>
      <c r="L17" s="183">
        <f>J17*G17</f>
        <v>109.47945205479452</v>
      </c>
      <c r="M17"/>
      <c r="N17"/>
    </row>
    <row r="18" spans="1:15" ht="13.5" customHeight="1" x14ac:dyDescent="0.25">
      <c r="A18" s="116"/>
      <c r="B18" s="98">
        <f>DataEntry!B18</f>
        <v>802</v>
      </c>
      <c r="C18" s="120">
        <v>0.25</v>
      </c>
      <c r="D18" s="99" t="str">
        <f>DataEntry!D18</f>
        <v>escrow waiver fee</v>
      </c>
      <c r="E18" s="117">
        <f>C18*H9/100</f>
        <v>370</v>
      </c>
      <c r="F18" s="118"/>
      <c r="G18" s="119">
        <v>0</v>
      </c>
      <c r="H18" s="99" t="str">
        <f>DataEntry!H18</f>
        <v>Est Mo Taxes*</v>
      </c>
      <c r="I18" s="98"/>
      <c r="J18" s="172">
        <f>D14/12</f>
        <v>385.41666666666669</v>
      </c>
      <c r="K18" s="99" t="s">
        <v>22</v>
      </c>
      <c r="L18" s="183">
        <f>G18*J18</f>
        <v>0</v>
      </c>
      <c r="M18"/>
      <c r="N18"/>
      <c r="O18" s="7"/>
    </row>
    <row r="19" spans="1:15" ht="13.5" customHeight="1" x14ac:dyDescent="0.25">
      <c r="A19" s="116"/>
      <c r="B19" s="98">
        <f>DataEntry!B19</f>
        <v>803</v>
      </c>
      <c r="C19" s="98"/>
      <c r="D19" s="99" t="str">
        <f>DataEntry!D19</f>
        <v xml:space="preserve">Appraisal </v>
      </c>
      <c r="E19" s="117">
        <f>DataEntry!E19</f>
        <v>325</v>
      </c>
      <c r="F19" s="118"/>
      <c r="G19" s="119">
        <v>0</v>
      </c>
      <c r="H19" s="99" t="str">
        <f>DataEntry!H19</f>
        <v>Est Mo Hazard Ins*</v>
      </c>
      <c r="I19" s="98"/>
      <c r="J19" s="172">
        <f>D13/12</f>
        <v>75</v>
      </c>
      <c r="K19" s="99" t="s">
        <v>22</v>
      </c>
      <c r="L19" s="183">
        <f>G19*J19</f>
        <v>0</v>
      </c>
      <c r="M19" t="s">
        <v>2</v>
      </c>
      <c r="N19"/>
    </row>
    <row r="20" spans="1:15" ht="13.5" customHeight="1" x14ac:dyDescent="0.25">
      <c r="A20" s="116"/>
      <c r="B20" s="98">
        <f>DataEntry!B20</f>
        <v>804</v>
      </c>
      <c r="C20" s="98"/>
      <c r="D20" s="99" t="str">
        <f>DataEntry!D20</f>
        <v>Credit Report</v>
      </c>
      <c r="E20" s="117">
        <f>DataEntry!E20</f>
        <v>50</v>
      </c>
      <c r="F20" s="118"/>
      <c r="G20" s="119">
        <v>0</v>
      </c>
      <c r="H20" s="99" t="str">
        <f>DataEntry!H20</f>
        <v>Mo Mortgage Insurance</v>
      </c>
      <c r="I20" s="98"/>
      <c r="J20" s="172">
        <v>0</v>
      </c>
      <c r="K20" s="99" t="s">
        <v>22</v>
      </c>
      <c r="L20" s="183">
        <f>G20*J20</f>
        <v>0</v>
      </c>
    </row>
    <row r="21" spans="1:15" ht="13.5" customHeight="1" x14ac:dyDescent="0.25">
      <c r="A21" s="116"/>
      <c r="B21" s="98">
        <f>DataEntry!B21</f>
        <v>805</v>
      </c>
      <c r="C21" s="98"/>
      <c r="D21" s="99" t="str">
        <f>DataEntry!D21</f>
        <v>Application Fee</v>
      </c>
      <c r="E21" s="117">
        <f>DataEntry!E21</f>
        <v>0</v>
      </c>
      <c r="F21" s="118"/>
      <c r="G21" s="119">
        <v>0</v>
      </c>
      <c r="H21" s="99" t="str">
        <f>DataEntry!H21</f>
        <v>HOA fee</v>
      </c>
      <c r="I21" s="98"/>
      <c r="J21" s="172">
        <v>0</v>
      </c>
      <c r="K21" s="99" t="s">
        <v>22</v>
      </c>
      <c r="L21" s="183">
        <f>G21*J21</f>
        <v>0</v>
      </c>
    </row>
    <row r="22" spans="1:15" ht="13.5" customHeight="1" thickBot="1" x14ac:dyDescent="0.3">
      <c r="A22" s="116"/>
      <c r="B22" s="98">
        <f>DataEntry!B22</f>
        <v>828</v>
      </c>
      <c r="C22" s="98"/>
      <c r="D22" s="99" t="str">
        <f>DataEntry!D22</f>
        <v>Underwriting</v>
      </c>
      <c r="E22" s="117">
        <f>DataEntry!E22</f>
        <v>250</v>
      </c>
      <c r="F22" s="118"/>
      <c r="G22" s="121"/>
      <c r="H22" s="99" t="s">
        <v>2</v>
      </c>
      <c r="I22" s="98"/>
      <c r="J22" s="98"/>
      <c r="K22" s="122" t="s">
        <v>69</v>
      </c>
      <c r="L22" s="184">
        <f>SUM(L17:L21)</f>
        <v>109.47945205479452</v>
      </c>
    </row>
    <row r="23" spans="1:15" ht="13.5" customHeight="1" thickTop="1" x14ac:dyDescent="0.25">
      <c r="A23" s="116"/>
      <c r="B23" s="98">
        <f>DataEntry!B23</f>
        <v>809</v>
      </c>
      <c r="C23" s="98"/>
      <c r="D23" s="99" t="str">
        <f>DataEntry!D23</f>
        <v>Wire/Funding</v>
      </c>
      <c r="E23" s="117">
        <f>DataEntry!E23</f>
        <v>0</v>
      </c>
      <c r="F23" s="118"/>
      <c r="G23" s="20" t="s">
        <v>93</v>
      </c>
      <c r="H23" s="123"/>
      <c r="I23" s="123"/>
      <c r="J23" s="123"/>
      <c r="K23" s="123"/>
      <c r="L23" s="186"/>
    </row>
    <row r="24" spans="1:15" ht="15" customHeight="1" x14ac:dyDescent="0.25">
      <c r="A24" s="116"/>
      <c r="B24" s="98">
        <f>DataEntry!B24</f>
        <v>810</v>
      </c>
      <c r="C24" s="98"/>
      <c r="D24" s="99" t="str">
        <f>DataEntry!D24</f>
        <v>Tax Service</v>
      </c>
      <c r="E24" s="117">
        <f>DataEntry!E24</f>
        <v>110</v>
      </c>
      <c r="F24" s="118" t="s">
        <v>2</v>
      </c>
      <c r="G24" s="114" t="s">
        <v>30</v>
      </c>
      <c r="H24" s="125"/>
      <c r="I24" s="125"/>
      <c r="J24" s="125"/>
      <c r="K24" s="125"/>
      <c r="L24" s="187"/>
    </row>
    <row r="25" spans="1:15" ht="13.5" customHeight="1" x14ac:dyDescent="0.25">
      <c r="A25" s="116"/>
      <c r="B25" s="98">
        <f>DataEntry!B25</f>
        <v>823</v>
      </c>
      <c r="C25" s="98"/>
      <c r="D25" s="99" t="str">
        <f>DataEntry!D25</f>
        <v>Flood Cert</v>
      </c>
      <c r="E25" s="117">
        <f>DataEntry!E25</f>
        <v>35</v>
      </c>
      <c r="F25" s="118" t="s">
        <v>2</v>
      </c>
      <c r="G25" s="127"/>
      <c r="H25" s="128"/>
      <c r="I25" s="128"/>
      <c r="J25" s="128"/>
      <c r="K25" s="128"/>
      <c r="L25" s="188"/>
    </row>
    <row r="26" spans="1:15" ht="13.5" customHeight="1" x14ac:dyDescent="0.25">
      <c r="A26" s="116"/>
      <c r="B26" s="98">
        <f>DataEntry!B26</f>
        <v>827</v>
      </c>
      <c r="C26" s="98"/>
      <c r="D26" s="99" t="str">
        <f>DataEntry!D26</f>
        <v>Doc Prep Ancillary</v>
      </c>
      <c r="E26" s="117">
        <f>DataEntry!E26</f>
        <v>0</v>
      </c>
      <c r="F26" s="118"/>
      <c r="G26" s="121"/>
      <c r="H26" s="99" t="str">
        <f>DataEntry!H26</f>
        <v xml:space="preserve">Principal &amp; Interest at </v>
      </c>
      <c r="I26" s="98"/>
      <c r="J26" s="130">
        <f>D11</f>
        <v>6.7500000000000004E-2</v>
      </c>
      <c r="K26" s="98"/>
      <c r="L26" s="183">
        <f>PMT(D11/12,D9,-H9)</f>
        <v>959.92518292095656</v>
      </c>
      <c r="M26" s="3" t="s">
        <v>2</v>
      </c>
    </row>
    <row r="27" spans="1:15" ht="13.5" customHeight="1" x14ac:dyDescent="0.25">
      <c r="A27" s="116"/>
      <c r="B27" s="98">
        <f>DataEntry!B27</f>
        <v>1113</v>
      </c>
      <c r="C27" s="98"/>
      <c r="D27" s="99" t="str">
        <f>DataEntry!D27</f>
        <v xml:space="preserve">Delivery </v>
      </c>
      <c r="E27" s="117">
        <f>DataEntry!E27</f>
        <v>50</v>
      </c>
      <c r="F27" s="118"/>
      <c r="G27" s="121"/>
      <c r="H27" s="99" t="str">
        <f>DataEntry!H27</f>
        <v>Taxes</v>
      </c>
      <c r="I27" s="98" t="s">
        <v>2</v>
      </c>
      <c r="J27" s="131"/>
      <c r="K27" s="98"/>
      <c r="L27" s="183">
        <v>0</v>
      </c>
    </row>
    <row r="28" spans="1:15" ht="13.5" customHeight="1" x14ac:dyDescent="0.25">
      <c r="A28" s="116"/>
      <c r="B28" s="98">
        <f>DataEntry!B28</f>
        <v>816</v>
      </c>
      <c r="C28" s="98" t="s">
        <v>2</v>
      </c>
      <c r="D28" s="99" t="str">
        <f>DataEntry!D28</f>
        <v>Processing</v>
      </c>
      <c r="E28" s="117">
        <f>DataEntry!E28</f>
        <v>175</v>
      </c>
      <c r="F28" s="118"/>
      <c r="G28" s="121"/>
      <c r="H28" s="99" t="str">
        <f>DataEntry!H28</f>
        <v>Homeowners Insurance</v>
      </c>
      <c r="I28" s="98"/>
      <c r="J28" s="98"/>
      <c r="K28" s="98"/>
      <c r="L28" s="183">
        <v>0</v>
      </c>
    </row>
    <row r="29" spans="1:15" ht="13.5" customHeight="1" thickBot="1" x14ac:dyDescent="0.3">
      <c r="A29" s="116"/>
      <c r="B29" s="98"/>
      <c r="C29" s="98" t="s">
        <v>2</v>
      </c>
      <c r="D29" s="122" t="s">
        <v>67</v>
      </c>
      <c r="E29" s="174">
        <f>SUM(E17:E28)</f>
        <v>1365</v>
      </c>
      <c r="F29" s="118"/>
      <c r="G29" s="121"/>
      <c r="H29" s="99" t="str">
        <f>DataEntry!H29</f>
        <v>2nd Lien Principal &amp; Interest</v>
      </c>
      <c r="I29" s="98"/>
      <c r="J29" s="98"/>
      <c r="K29" s="98"/>
      <c r="L29" s="183">
        <f>PMT(D12/12,180,-H10)</f>
        <v>159.14647109753733</v>
      </c>
    </row>
    <row r="30" spans="1:15" ht="15" customHeight="1" thickTop="1" x14ac:dyDescent="0.25">
      <c r="A30" s="132" t="s">
        <v>39</v>
      </c>
      <c r="B30" s="133"/>
      <c r="C30" s="133"/>
      <c r="D30" s="134"/>
      <c r="E30" s="135"/>
      <c r="F30" s="136"/>
      <c r="G30" s="121"/>
      <c r="H30" s="99" t="str">
        <f>DataEntry!H30</f>
        <v>Mortgage Insurance</v>
      </c>
      <c r="I30" s="98"/>
      <c r="J30" s="98"/>
      <c r="K30" s="98"/>
      <c r="L30" s="183">
        <f>J20</f>
        <v>0</v>
      </c>
    </row>
    <row r="31" spans="1:15" ht="13.5" customHeight="1" x14ac:dyDescent="0.25">
      <c r="A31" s="116"/>
      <c r="B31" s="98">
        <f>DataEntry!B31</f>
        <v>1109</v>
      </c>
      <c r="C31" s="98"/>
      <c r="D31" s="99" t="str">
        <f>DataEntry!D31</f>
        <v>Lenders Title Policy</v>
      </c>
      <c r="E31" s="264">
        <f>IF($H$9&lt;100000,(($H$9-100000)*0.00805)+992-$O$14,(($H$9-100000)*0.00628)+992-DataEntry!O14)</f>
        <v>743.15679999999998</v>
      </c>
      <c r="F31" s="118" t="s">
        <v>2</v>
      </c>
      <c r="G31" s="121"/>
      <c r="H31" s="99" t="str">
        <f>DataEntry!H31</f>
        <v>Condo/HOA fee</v>
      </c>
      <c r="I31" s="98"/>
      <c r="J31" s="98"/>
      <c r="K31" s="98"/>
      <c r="L31" s="183">
        <f>J21</f>
        <v>0</v>
      </c>
    </row>
    <row r="32" spans="1:15" ht="13.5" customHeight="1" x14ac:dyDescent="0.25">
      <c r="A32" s="116"/>
      <c r="B32" s="98">
        <f>DataEntry!B32</f>
        <v>1110</v>
      </c>
      <c r="C32" s="98"/>
      <c r="D32" s="99" t="s">
        <v>116</v>
      </c>
      <c r="E32" s="264">
        <f>IF($H$10&lt;100000,(($H$10-100000)*0.00805)+992,(($H$10-100000)*0.00628)+992)</f>
        <v>313.38499999999999</v>
      </c>
      <c r="F32" s="118" t="s">
        <v>2</v>
      </c>
      <c r="G32" s="121"/>
      <c r="H32" s="99" t="s">
        <v>2</v>
      </c>
      <c r="I32" s="98"/>
      <c r="J32" s="98"/>
      <c r="K32" s="98"/>
      <c r="L32" s="189"/>
    </row>
    <row r="33" spans="1:12" ht="13.5" customHeight="1" x14ac:dyDescent="0.25">
      <c r="A33" s="116"/>
      <c r="B33" s="98">
        <f>DataEntry!B33</f>
        <v>1112</v>
      </c>
      <c r="C33" s="98"/>
      <c r="D33" s="99" t="str">
        <f>DataEntry!D33</f>
        <v>Settlement</v>
      </c>
      <c r="E33" s="117">
        <f>DataEntry!E33</f>
        <v>125</v>
      </c>
      <c r="F33" s="118"/>
      <c r="G33" s="121"/>
      <c r="H33" s="98" t="s">
        <v>2</v>
      </c>
      <c r="I33" s="98"/>
      <c r="J33" s="98"/>
      <c r="K33" s="98"/>
      <c r="L33" s="190"/>
    </row>
    <row r="34" spans="1:12" ht="13.5" customHeight="1" thickBot="1" x14ac:dyDescent="0.3">
      <c r="A34" s="116"/>
      <c r="B34" s="98">
        <f>DataEntry!B34</f>
        <v>1113</v>
      </c>
      <c r="C34" s="98"/>
      <c r="D34" s="99" t="str">
        <f>DataEntry!D34</f>
        <v xml:space="preserve">Delivery </v>
      </c>
      <c r="E34" s="117">
        <f>DataEntry!E34</f>
        <v>50</v>
      </c>
      <c r="F34" s="140"/>
      <c r="G34" s="121"/>
      <c r="H34" s="99" t="s">
        <v>2</v>
      </c>
      <c r="I34" s="98"/>
      <c r="J34" s="98"/>
      <c r="K34" s="122" t="s">
        <v>70</v>
      </c>
      <c r="L34" s="184">
        <f>SUM(L26:L32)</f>
        <v>1119.071654018494</v>
      </c>
    </row>
    <row r="35" spans="1:12" ht="13.5" customHeight="1" thickTop="1" x14ac:dyDescent="0.25">
      <c r="A35" s="116"/>
      <c r="B35" s="98">
        <f>DataEntry!B35</f>
        <v>1201</v>
      </c>
      <c r="C35" s="98"/>
      <c r="D35" s="99" t="str">
        <f>DataEntry!D35</f>
        <v>Recording</v>
      </c>
      <c r="E35" s="117">
        <f>DataEntry!E35</f>
        <v>75</v>
      </c>
      <c r="F35" s="118"/>
      <c r="G35" s="141"/>
      <c r="H35" s="100"/>
      <c r="I35" s="100"/>
      <c r="J35" s="100"/>
      <c r="K35" s="100"/>
      <c r="L35" s="191"/>
    </row>
    <row r="36" spans="1:12" ht="15" customHeight="1" x14ac:dyDescent="0.25">
      <c r="A36" s="116"/>
      <c r="B36" s="98">
        <f>DataEntry!B36</f>
        <v>1204</v>
      </c>
      <c r="C36" s="98"/>
      <c r="D36" s="99" t="str">
        <f>DataEntry!D36</f>
        <v>Tax Certificates</v>
      </c>
      <c r="E36" s="117">
        <f>DataEntry!E36</f>
        <v>0</v>
      </c>
      <c r="F36" s="118"/>
      <c r="G36" s="114" t="s">
        <v>47</v>
      </c>
      <c r="H36" s="125"/>
      <c r="I36" s="125"/>
      <c r="J36" s="125"/>
      <c r="K36" s="125"/>
      <c r="L36" s="192"/>
    </row>
    <row r="37" spans="1:12" ht="13.5" customHeight="1" x14ac:dyDescent="0.25">
      <c r="A37" s="116"/>
      <c r="B37" s="98">
        <f>DataEntry!B37</f>
        <v>1301</v>
      </c>
      <c r="C37" s="98"/>
      <c r="D37" s="99" t="str">
        <f>DataEntry!D37</f>
        <v>Survey</v>
      </c>
      <c r="E37" s="117" t="str">
        <f>DataEntry!E37</f>
        <v>use current?</v>
      </c>
      <c r="F37" s="118"/>
      <c r="G37" s="121"/>
      <c r="H37" s="99" t="str">
        <f>DataEntry!H37</f>
        <v>Payoff existing loan(s)</v>
      </c>
      <c r="I37" s="98"/>
      <c r="J37" s="98"/>
      <c r="K37" s="98"/>
      <c r="L37" s="183">
        <f>DataEntry!L37</f>
        <v>161100</v>
      </c>
    </row>
    <row r="38" spans="1:12" ht="13.5" customHeight="1" x14ac:dyDescent="0.25">
      <c r="A38" s="116"/>
      <c r="B38" s="98" t="str">
        <f>DataEntry!B38</f>
        <v/>
      </c>
      <c r="C38" s="98"/>
      <c r="D38" s="99" t="str">
        <f>DataEntry!D38</f>
        <v>Attorney</v>
      </c>
      <c r="E38" s="117">
        <f>DataEntry!E38</f>
        <v>150</v>
      </c>
      <c r="F38" s="118"/>
      <c r="G38" s="121"/>
      <c r="H38" s="99" t="str">
        <f>DataEntry!H38</f>
        <v>Closing Costs - Lender</v>
      </c>
      <c r="I38" s="98"/>
      <c r="J38" s="98"/>
      <c r="K38" s="98"/>
      <c r="L38" s="183">
        <f>E29</f>
        <v>1365</v>
      </c>
    </row>
    <row r="39" spans="1:12" ht="13.5" customHeight="1" x14ac:dyDescent="0.25">
      <c r="A39" s="116"/>
      <c r="B39" s="98" t="str">
        <f>DataEntry!B39</f>
        <v/>
      </c>
      <c r="C39" s="98"/>
      <c r="D39" s="99" t="str">
        <f>DataEntry!D39</f>
        <v>Condo Certification</v>
      </c>
      <c r="E39" s="117">
        <f>DataEntry!E39</f>
        <v>0</v>
      </c>
      <c r="F39" s="144"/>
      <c r="G39" s="121"/>
      <c r="H39" s="99" t="str">
        <f>DataEntry!H39</f>
        <v>Closing Costs - Other</v>
      </c>
      <c r="I39" s="98"/>
      <c r="J39" s="98"/>
      <c r="K39" s="98"/>
      <c r="L39" s="183">
        <f>E44</f>
        <v>1456.5418</v>
      </c>
    </row>
    <row r="40" spans="1:12" ht="13.5" customHeight="1" x14ac:dyDescent="0.25">
      <c r="A40" s="116"/>
      <c r="B40" s="98">
        <f>DataEntry!B40</f>
        <v>1302</v>
      </c>
      <c r="C40" s="98"/>
      <c r="D40" s="99" t="str">
        <f>DataEntry!D40</f>
        <v>2nd lien charges</v>
      </c>
      <c r="E40" s="117">
        <f>DataEntry!E40</f>
        <v>0</v>
      </c>
      <c r="F40" s="144"/>
      <c r="G40" s="121"/>
      <c r="H40" s="99" t="str">
        <f>DataEntry!H40</f>
        <v>Prepaids</v>
      </c>
      <c r="I40" s="98"/>
      <c r="J40" s="98"/>
      <c r="K40" s="98"/>
      <c r="L40" s="183">
        <f>L22</f>
        <v>109.47945205479452</v>
      </c>
    </row>
    <row r="41" spans="1:12" ht="13.5" customHeight="1" thickBot="1" x14ac:dyDescent="0.3">
      <c r="A41" s="116"/>
      <c r="B41" s="98" t="str">
        <f>DataEntry!B41</f>
        <v/>
      </c>
      <c r="C41" s="98"/>
      <c r="D41" s="99" t="str">
        <f>DataEntry!D41</f>
        <v>HOA Transfer fee</v>
      </c>
      <c r="E41" s="117">
        <f>DataEntry!E41</f>
        <v>0</v>
      </c>
      <c r="F41" s="144"/>
      <c r="G41" s="121"/>
      <c r="H41" s="99" t="str">
        <f>DataEntry!H41</f>
        <v>Subtotal</v>
      </c>
      <c r="I41" s="98"/>
      <c r="J41" s="98"/>
      <c r="K41" s="98"/>
      <c r="L41" s="184">
        <f>SUM(L37:L40)</f>
        <v>164031.02125205481</v>
      </c>
    </row>
    <row r="42" spans="1:12" ht="13.5" customHeight="1" thickTop="1" x14ac:dyDescent="0.25">
      <c r="A42" s="116"/>
      <c r="B42" s="98" t="str">
        <f>DataEntry!B42</f>
        <v/>
      </c>
      <c r="C42" s="98"/>
      <c r="D42" s="99" t="str">
        <f>DataEntry!D42</f>
        <v xml:space="preserve"> </v>
      </c>
      <c r="E42" s="117" t="str">
        <f>DataEntry!E42</f>
        <v/>
      </c>
      <c r="F42" s="144"/>
      <c r="G42" s="121"/>
      <c r="H42" s="99"/>
      <c r="I42" s="98"/>
      <c r="J42" s="98"/>
      <c r="K42" s="98"/>
      <c r="L42" s="185" t="s">
        <v>2</v>
      </c>
    </row>
    <row r="43" spans="1:12" ht="13.5" customHeight="1" x14ac:dyDescent="0.25">
      <c r="A43" s="116"/>
      <c r="B43" s="98"/>
      <c r="C43" s="98"/>
      <c r="D43" s="98"/>
      <c r="E43" s="145"/>
      <c r="F43" s="144"/>
      <c r="G43" s="121"/>
      <c r="H43" s="99" t="str">
        <f>DataEntry!H43</f>
        <v>less new loan amount</v>
      </c>
      <c r="I43" s="98"/>
      <c r="J43" s="98"/>
      <c r="K43" s="98"/>
      <c r="L43" s="171">
        <f>-H9-H10</f>
        <v>-163700</v>
      </c>
    </row>
    <row r="44" spans="1:12" ht="13.5" customHeight="1" thickBot="1" x14ac:dyDescent="0.3">
      <c r="A44" s="116"/>
      <c r="B44" s="99"/>
      <c r="C44" s="98"/>
      <c r="D44" s="122" t="s">
        <v>68</v>
      </c>
      <c r="E44" s="173">
        <f>SUM(E31:E43)</f>
        <v>1456.5418</v>
      </c>
      <c r="F44" s="144"/>
      <c r="G44" s="121"/>
      <c r="H44" s="99" t="str">
        <f>DataEntry!H44</f>
        <v>Closing Cost Deposit</v>
      </c>
      <c r="I44" s="98"/>
      <c r="J44" s="98"/>
      <c r="K44" s="98"/>
      <c r="L44" s="176">
        <f>DataEntry!L44</f>
        <v>-375</v>
      </c>
    </row>
    <row r="45" spans="1:12" ht="13.5" customHeight="1" thickTop="1" thickBot="1" x14ac:dyDescent="0.3">
      <c r="A45" s="116"/>
      <c r="B45" s="128"/>
      <c r="C45" s="128"/>
      <c r="D45" s="128"/>
      <c r="E45" s="128"/>
      <c r="F45" s="146"/>
      <c r="G45" s="121"/>
      <c r="H45" s="99" t="str">
        <f>DataEntry!H45</f>
        <v xml:space="preserve">less lender credit </v>
      </c>
      <c r="I45" s="98"/>
      <c r="J45" s="98"/>
      <c r="K45" s="98"/>
      <c r="L45" s="171" t="str">
        <f>DataEntry!L45</f>
        <v>tbd</v>
      </c>
    </row>
    <row r="46" spans="1:12" ht="17.25" customHeight="1" thickBot="1" x14ac:dyDescent="0.3">
      <c r="A46" s="116"/>
      <c r="B46" s="128"/>
      <c r="C46" s="128"/>
      <c r="D46" s="128" t="s">
        <v>2</v>
      </c>
      <c r="E46" s="147" t="s">
        <v>2</v>
      </c>
      <c r="F46" s="146"/>
      <c r="G46" s="121"/>
      <c r="H46"/>
      <c r="I46" s="219"/>
      <c r="J46" s="219"/>
      <c r="K46" s="220" t="str">
        <f>IF(L46&lt;0,"Cash Due to Owner at Closing =","Cash Due to Mortgage Company at Closing =")</f>
        <v>Cash Due to Owner at Closing =</v>
      </c>
      <c r="L46" s="205">
        <f>SUM(L41:L45)</f>
        <v>-43.978747945191571</v>
      </c>
    </row>
    <row r="47" spans="1:12" ht="12.95" customHeight="1" thickBot="1" x14ac:dyDescent="0.3">
      <c r="A47" s="148"/>
      <c r="B47" s="149"/>
      <c r="C47" s="149"/>
      <c r="D47" s="149" t="s">
        <v>2</v>
      </c>
      <c r="E47" s="149"/>
      <c r="F47" s="149"/>
      <c r="G47" s="54" t="s">
        <v>94</v>
      </c>
      <c r="H47" s="55"/>
      <c r="I47" s="53"/>
      <c r="J47" s="53"/>
      <c r="K47" s="53"/>
      <c r="L47" s="56"/>
    </row>
    <row r="48" spans="1:12" ht="2.1" customHeight="1" x14ac:dyDescent="0.25">
      <c r="A48" s="150"/>
      <c r="B48" s="150"/>
      <c r="C48" s="150"/>
      <c r="D48" s="150"/>
      <c r="E48" s="150"/>
      <c r="F48" s="150"/>
      <c r="G48" s="150"/>
      <c r="H48" s="151"/>
      <c r="I48" s="150"/>
      <c r="J48" s="150"/>
      <c r="K48" s="150"/>
      <c r="L48" s="152"/>
    </row>
    <row r="49" spans="1:12" ht="60" customHeight="1" x14ac:dyDescent="0.25">
      <c r="A49" s="153" t="s">
        <v>2</v>
      </c>
      <c r="B49" s="153"/>
      <c r="C49" s="268" t="s">
        <v>65</v>
      </c>
      <c r="D49" s="268"/>
      <c r="E49" s="268"/>
      <c r="F49" s="268"/>
      <c r="G49" s="268"/>
      <c r="H49" s="268"/>
      <c r="I49" s="268"/>
      <c r="J49" s="268"/>
      <c r="K49" s="268"/>
      <c r="L49" s="153"/>
    </row>
    <row r="50" spans="1:12" ht="45" customHeight="1" x14ac:dyDescent="0.25">
      <c r="A50" s="153" t="s">
        <v>2</v>
      </c>
      <c r="B50" s="153"/>
      <c r="C50" s="268" t="s">
        <v>66</v>
      </c>
      <c r="D50" s="268"/>
      <c r="E50" s="268"/>
      <c r="F50" s="268"/>
      <c r="G50" s="268"/>
      <c r="H50" s="268"/>
      <c r="I50" s="268"/>
      <c r="J50" s="268"/>
      <c r="K50" s="268"/>
      <c r="L50" s="153"/>
    </row>
    <row r="51" spans="1:12" ht="12" customHeight="1" x14ac:dyDescent="0.25"/>
    <row r="52" spans="1:12" x14ac:dyDescent="0.25">
      <c r="A52" s="84" t="s">
        <v>58</v>
      </c>
      <c r="D52" s="86"/>
      <c r="E52" s="86"/>
      <c r="F52" s="86"/>
      <c r="G52" s="86"/>
      <c r="H52" s="86"/>
      <c r="I52" s="86"/>
      <c r="J52" s="87" t="s">
        <v>59</v>
      </c>
      <c r="K52" s="86"/>
      <c r="L52" s="86"/>
    </row>
    <row r="53" spans="1:12" ht="14.25" customHeight="1" x14ac:dyDescent="0.25"/>
    <row r="54" spans="1:12" x14ac:dyDescent="0.25">
      <c r="A54" s="84" t="s">
        <v>60</v>
      </c>
      <c r="D54" s="86"/>
      <c r="E54" s="86"/>
      <c r="F54" s="86"/>
      <c r="G54" s="86"/>
      <c r="H54" s="86"/>
      <c r="I54" s="86"/>
      <c r="J54" s="87" t="s">
        <v>59</v>
      </c>
      <c r="K54" s="86"/>
      <c r="L54" s="86"/>
    </row>
    <row r="55" spans="1:12" ht="9.75" customHeight="1" x14ac:dyDescent="0.25"/>
    <row r="56" spans="1:12" x14ac:dyDescent="0.25">
      <c r="A56" s="269" t="str">
        <f>DataEntry!$A$52</f>
        <v>Estimate provided by Linda Rhoden.  Phone# 713-802-6025</v>
      </c>
      <c r="B56" s="269"/>
      <c r="C56" s="269"/>
      <c r="D56" s="269"/>
      <c r="E56" s="269"/>
      <c r="F56" s="269"/>
      <c r="G56" s="269"/>
      <c r="H56" s="269"/>
      <c r="I56" s="269"/>
      <c r="J56" s="269"/>
      <c r="K56" s="269"/>
      <c r="L56" s="269"/>
    </row>
    <row r="57" spans="1:12" x14ac:dyDescent="0.25">
      <c r="A57" s="269" t="str">
        <f>DataEntry!$A$53</f>
        <v>888-852-7645 ext. 6025 Toll free / 713-802-6035 Fax</v>
      </c>
      <c r="B57" s="269"/>
      <c r="C57" s="269"/>
      <c r="D57" s="269"/>
      <c r="E57" s="269"/>
      <c r="F57" s="269"/>
      <c r="G57" s="269"/>
      <c r="H57" s="269"/>
      <c r="I57" s="269"/>
      <c r="J57" s="269"/>
      <c r="K57" s="269"/>
      <c r="L57" s="269"/>
    </row>
  </sheetData>
  <mergeCells count="4">
    <mergeCell ref="A56:L56"/>
    <mergeCell ref="A57:L57"/>
    <mergeCell ref="C49:K49"/>
    <mergeCell ref="C50:K50"/>
  </mergeCells>
  <phoneticPr fontId="0" type="noConversion"/>
  <printOptions horizontalCentered="1" gridLinesSet="0"/>
  <pageMargins left="0.35" right="0.17" top="0.5" bottom="0.28999999999999998" header="0.5" footer="0.5"/>
  <pageSetup scale="84"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pageSetUpPr fitToPage="1"/>
  </sheetPr>
  <dimension ref="A1:O57"/>
  <sheetViews>
    <sheetView showGridLines="0" topLeftCell="C1" zoomScale="75" zoomScaleNormal="75" workbookViewId="0">
      <selection activeCell="E31" sqref="E31"/>
    </sheetView>
  </sheetViews>
  <sheetFormatPr defaultColWidth="9.77734375" defaultRowHeight="15.75" x14ac:dyDescent="0.25"/>
  <cols>
    <col min="1" max="1" width="1.77734375" style="85" customWidth="1"/>
    <col min="2" max="2" width="6.77734375" style="85" customWidth="1"/>
    <col min="3" max="3" width="4.6640625" style="85" customWidth="1"/>
    <col min="4" max="4" width="12.77734375" style="85" customWidth="1"/>
    <col min="5" max="5" width="7.77734375" style="85" customWidth="1"/>
    <col min="6" max="7" width="4.77734375" style="85" customWidth="1"/>
    <col min="8" max="8" width="9.77734375" style="85"/>
    <col min="9" max="9" width="6.21875" style="85" customWidth="1"/>
    <col min="10" max="10" width="7.88671875" style="85" customWidth="1"/>
    <col min="11" max="11" width="9.5546875" style="85" customWidth="1"/>
    <col min="12" max="12" width="9.109375" style="85" customWidth="1"/>
    <col min="13" max="16384" width="9.77734375" style="3"/>
  </cols>
  <sheetData>
    <row r="1" spans="1:14" ht="22.5" x14ac:dyDescent="0.3">
      <c r="A1" s="82" t="s">
        <v>62</v>
      </c>
      <c r="B1" s="83"/>
      <c r="C1" s="83"/>
      <c r="D1" s="83"/>
      <c r="E1" s="83"/>
      <c r="F1" s="83"/>
      <c r="G1" s="83"/>
      <c r="H1" s="83"/>
      <c r="I1" s="83"/>
      <c r="J1" s="83"/>
      <c r="K1" s="83"/>
      <c r="L1" s="83"/>
    </row>
    <row r="2" spans="1:14" ht="18.75" customHeight="1" x14ac:dyDescent="0.3">
      <c r="A2" s="82" t="s">
        <v>0</v>
      </c>
      <c r="B2" s="83"/>
      <c r="C2" s="83"/>
      <c r="D2" s="83"/>
      <c r="E2" s="83"/>
      <c r="F2" s="83"/>
      <c r="G2" s="83"/>
      <c r="H2" s="83"/>
      <c r="I2" s="83"/>
      <c r="J2" s="83"/>
      <c r="K2" s="83"/>
      <c r="L2" s="83"/>
    </row>
    <row r="3" spans="1:14" ht="18.75" customHeight="1" x14ac:dyDescent="0.3">
      <c r="A3" s="82"/>
      <c r="B3" s="83"/>
      <c r="C3" s="83"/>
      <c r="D3" s="83"/>
      <c r="E3" s="83"/>
      <c r="F3" s="83"/>
      <c r="G3" s="83"/>
      <c r="H3" s="83"/>
      <c r="I3" s="83"/>
      <c r="J3" s="83"/>
      <c r="K3" s="83"/>
      <c r="L3" s="83"/>
    </row>
    <row r="4" spans="1:14" x14ac:dyDescent="0.25">
      <c r="A4" s="84" t="s">
        <v>1</v>
      </c>
      <c r="C4" s="86"/>
      <c r="D4" s="86" t="str">
        <f>DataEntry!$D$4</f>
        <v>Paul Thomas refi</v>
      </c>
      <c r="E4" s="86"/>
      <c r="F4" s="86"/>
      <c r="G4" s="87"/>
      <c r="H4" s="86"/>
      <c r="I4" s="86"/>
      <c r="J4" s="86" t="s">
        <v>3</v>
      </c>
      <c r="K4" s="88">
        <f>DataEntry!$K$4</f>
        <v>37133</v>
      </c>
      <c r="L4" s="86" t="s">
        <v>2</v>
      </c>
    </row>
    <row r="5" spans="1:14" x14ac:dyDescent="0.25">
      <c r="A5" s="84" t="s">
        <v>4</v>
      </c>
      <c r="C5" s="86"/>
      <c r="D5" s="86"/>
      <c r="E5" s="89" t="s">
        <v>76</v>
      </c>
      <c r="F5" s="90">
        <f>DataEntry!$F$5</f>
        <v>30</v>
      </c>
      <c r="G5" s="91" t="s">
        <v>117</v>
      </c>
      <c r="H5" s="92"/>
      <c r="I5" s="92"/>
      <c r="J5" s="92"/>
      <c r="K5" s="92"/>
      <c r="L5" s="86"/>
    </row>
    <row r="6" spans="1:14" ht="16.5" customHeight="1" thickBot="1" x14ac:dyDescent="0.3">
      <c r="B6" s="93"/>
      <c r="C6" s="93"/>
      <c r="D6" s="156"/>
      <c r="E6" s="157" t="s">
        <v>63</v>
      </c>
      <c r="F6" s="178">
        <f>DataEntry!$O$9</f>
        <v>0</v>
      </c>
      <c r="G6" s="93"/>
      <c r="H6" s="93" t="s">
        <v>115</v>
      </c>
    </row>
    <row r="7" spans="1:14" x14ac:dyDescent="0.25">
      <c r="A7" s="94" t="s">
        <v>5</v>
      </c>
      <c r="B7" s="95"/>
      <c r="C7" s="95"/>
      <c r="D7" s="158"/>
      <c r="E7" s="158"/>
      <c r="F7" s="158"/>
      <c r="G7" s="95"/>
      <c r="H7" s="95"/>
      <c r="I7" s="95"/>
      <c r="J7" s="95"/>
      <c r="K7" s="95"/>
      <c r="L7" s="96"/>
    </row>
    <row r="8" spans="1:14" x14ac:dyDescent="0.25">
      <c r="A8" s="97" t="str">
        <f>DataEntry!A8</f>
        <v>Type of Loan, 1st:</v>
      </c>
      <c r="B8" s="98"/>
      <c r="C8" s="98"/>
      <c r="D8" s="159">
        <f>DataEntry!D8</f>
        <v>30</v>
      </c>
      <c r="E8" s="160" t="str">
        <f>DataEntry!E8</f>
        <v>year fixed</v>
      </c>
      <c r="F8" s="161"/>
      <c r="G8" s="100"/>
      <c r="H8" s="101">
        <f>DataEntry!H8</f>
        <v>185000</v>
      </c>
      <c r="I8" s="102" t="str">
        <f>DataEntry!I8</f>
        <v>Estimated Value of Home</v>
      </c>
      <c r="J8" s="98"/>
      <c r="K8" s="98"/>
      <c r="L8" s="103"/>
    </row>
    <row r="9" spans="1:14" x14ac:dyDescent="0.25">
      <c r="A9" s="97" t="str">
        <f>DataEntry!A9</f>
        <v>Loan Term - 1st</v>
      </c>
      <c r="B9" s="98"/>
      <c r="C9" s="98"/>
      <c r="D9" s="162">
        <f>DataEntry!D9</f>
        <v>360</v>
      </c>
      <c r="E9" s="161" t="s">
        <v>2</v>
      </c>
      <c r="F9" s="163" t="s">
        <v>2</v>
      </c>
      <c r="G9" s="100"/>
      <c r="H9" s="262">
        <f>0.8*H8</f>
        <v>148000</v>
      </c>
      <c r="I9" s="102" t="str">
        <f>DataEntry!I9</f>
        <v xml:space="preserve">New first loan amount </v>
      </c>
      <c r="J9" s="98"/>
      <c r="K9" s="98"/>
      <c r="L9" s="103"/>
    </row>
    <row r="10" spans="1:14" x14ac:dyDescent="0.25">
      <c r="A10" s="97" t="str">
        <f>DataEntry!A10</f>
        <v>Loan Term - 2nd</v>
      </c>
      <c r="B10" s="98"/>
      <c r="C10" s="98"/>
      <c r="D10" s="159">
        <v>180</v>
      </c>
      <c r="E10" s="161"/>
      <c r="F10" s="163" t="s">
        <v>2</v>
      </c>
      <c r="G10" s="100"/>
      <c r="H10" s="262">
        <f>L37-H9</f>
        <v>13100</v>
      </c>
      <c r="I10" s="102" t="str">
        <f>DataEntry!I10</f>
        <v>Second Loan Amount</v>
      </c>
      <c r="J10" s="98"/>
      <c r="K10" s="98"/>
      <c r="L10" s="103"/>
    </row>
    <row r="11" spans="1:14" x14ac:dyDescent="0.25">
      <c r="A11" s="97" t="str">
        <f>DataEntry!A11</f>
        <v>Note Rate:</v>
      </c>
      <c r="B11" s="98"/>
      <c r="C11" s="98"/>
      <c r="D11" s="175">
        <f>DataEntry!$P$9</f>
        <v>6.7500000000000004E-2</v>
      </c>
      <c r="E11" s="161" t="str">
        <f>DataEntry!E11</f>
        <v>current 30 day lock</v>
      </c>
      <c r="F11" s="161"/>
      <c r="G11" s="100"/>
      <c r="H11" s="105">
        <f>(H9+H10)/H8</f>
        <v>0.8708108108108108</v>
      </c>
      <c r="I11" s="102" t="str">
        <f>DataEntry!I11</f>
        <v>Total LTV</v>
      </c>
      <c r="J11" s="98"/>
      <c r="K11" s="98"/>
      <c r="L11" s="103"/>
    </row>
    <row r="12" spans="1:14" x14ac:dyDescent="0.25">
      <c r="A12" s="97" t="str">
        <f>DataEntry!A12</f>
        <v>2nd Lien Rate</v>
      </c>
      <c r="B12" s="98"/>
      <c r="C12" s="98"/>
      <c r="D12" s="106">
        <v>8.9899999999999994E-2</v>
      </c>
      <c r="E12" s="98"/>
      <c r="F12" s="98"/>
      <c r="G12" s="100"/>
      <c r="H12" s="261">
        <f>DataEntry!H12</f>
        <v>37165</v>
      </c>
      <c r="I12" s="102" t="str">
        <f>DataEntry!I12</f>
        <v>Closing Date</v>
      </c>
      <c r="J12" s="98"/>
      <c r="K12" s="98"/>
      <c r="L12" s="103"/>
    </row>
    <row r="13" spans="1:14" x14ac:dyDescent="0.25">
      <c r="A13" s="97" t="str">
        <f>DataEntry!A13</f>
        <v>Hazard Ins yr:</v>
      </c>
      <c r="B13" s="98"/>
      <c r="C13" s="98"/>
      <c r="D13" s="107">
        <f>DataEntry!D13</f>
        <v>900</v>
      </c>
      <c r="E13" s="98" t="str">
        <f>DataEntry!E13</f>
        <v xml:space="preserve">Estimate </v>
      </c>
      <c r="F13" s="98"/>
      <c r="G13" s="100"/>
      <c r="H13" s="261">
        <f>DataEntry!H13</f>
        <v>37168</v>
      </c>
      <c r="I13" s="102" t="str">
        <f>DataEntry!I13</f>
        <v>Funding Date (3 days after closing)</v>
      </c>
      <c r="J13" s="98"/>
      <c r="K13" s="98"/>
      <c r="L13" s="103"/>
      <c r="M13"/>
      <c r="N13"/>
    </row>
    <row r="14" spans="1:14" x14ac:dyDescent="0.25">
      <c r="A14" s="97" t="str">
        <f>DataEntry!A14</f>
        <v>Taxes yr:</v>
      </c>
      <c r="B14" s="98"/>
      <c r="C14" s="98"/>
      <c r="D14" s="107">
        <f>DataEntry!D14</f>
        <v>4625</v>
      </c>
      <c r="E14" s="98" t="str">
        <f>DataEntry!E14</f>
        <v>Estimate @ 2.5%</v>
      </c>
      <c r="F14" s="98"/>
      <c r="G14" s="100"/>
      <c r="H14" s="106" t="str">
        <f>DataEntry!H14</f>
        <v>rate/term refi</v>
      </c>
      <c r="I14" s="102" t="str">
        <f>DataEntry!I14</f>
        <v>Transaction Type</v>
      </c>
      <c r="J14" s="98"/>
      <c r="K14" s="98"/>
      <c r="L14" s="103"/>
      <c r="M14"/>
      <c r="N14"/>
    </row>
    <row r="15" spans="1:14" ht="9" customHeight="1" x14ac:dyDescent="0.25">
      <c r="A15" s="108" t="s">
        <v>2</v>
      </c>
      <c r="B15" s="86"/>
      <c r="C15" s="86"/>
      <c r="D15" s="86"/>
      <c r="E15" s="86"/>
      <c r="F15" s="86"/>
      <c r="G15" s="86"/>
      <c r="H15" s="86"/>
      <c r="I15" s="86"/>
      <c r="J15" s="86"/>
      <c r="K15" s="86"/>
      <c r="L15" s="109"/>
      <c r="M15"/>
      <c r="N15"/>
    </row>
    <row r="16" spans="1:14" ht="15" customHeight="1" x14ac:dyDescent="0.25">
      <c r="A16" s="110" t="s">
        <v>17</v>
      </c>
      <c r="B16" s="111"/>
      <c r="C16" s="111"/>
      <c r="D16" s="111"/>
      <c r="E16" s="112"/>
      <c r="F16" s="113"/>
      <c r="G16" s="114" t="s">
        <v>18</v>
      </c>
      <c r="H16" s="111"/>
      <c r="I16" s="111"/>
      <c r="J16" s="111"/>
      <c r="K16" s="111"/>
      <c r="L16" s="115"/>
      <c r="M16"/>
      <c r="N16"/>
    </row>
    <row r="17" spans="1:15" ht="13.5" customHeight="1" x14ac:dyDescent="0.25">
      <c r="A17" s="116"/>
      <c r="B17" s="98">
        <f>DataEntry!B17</f>
        <v>801</v>
      </c>
      <c r="C17" s="177">
        <f>F6</f>
        <v>0</v>
      </c>
      <c r="D17" s="99" t="str">
        <f>DataEntry!D17</f>
        <v>total loan points</v>
      </c>
      <c r="E17" s="117">
        <f>C17*H9/100</f>
        <v>0</v>
      </c>
      <c r="F17" s="118"/>
      <c r="G17" s="119">
        <f>DataEntry!G17</f>
        <v>4</v>
      </c>
      <c r="H17" s="99" t="str">
        <f>DataEntry!H17</f>
        <v>Days of Interim Interest</v>
      </c>
      <c r="I17" s="98"/>
      <c r="J17" s="172">
        <f>$H$9*$D$11/365</f>
        <v>27.36986301369863</v>
      </c>
      <c r="K17" s="99" t="s">
        <v>20</v>
      </c>
      <c r="L17" s="183">
        <f>J17*G17</f>
        <v>109.47945205479452</v>
      </c>
      <c r="M17"/>
      <c r="N17"/>
    </row>
    <row r="18" spans="1:15" ht="13.5" customHeight="1" x14ac:dyDescent="0.25">
      <c r="A18" s="116"/>
      <c r="B18" s="98">
        <f>DataEntry!B18</f>
        <v>802</v>
      </c>
      <c r="C18" s="120">
        <v>0.25</v>
      </c>
      <c r="D18" s="99" t="str">
        <f>DataEntry!D18</f>
        <v>escrow waiver fee</v>
      </c>
      <c r="E18" s="117">
        <f>C18*H9/100</f>
        <v>370</v>
      </c>
      <c r="F18" s="118"/>
      <c r="G18" s="119">
        <v>0</v>
      </c>
      <c r="H18" s="99" t="str">
        <f>DataEntry!H18</f>
        <v>Est Mo Taxes*</v>
      </c>
      <c r="I18" s="98"/>
      <c r="J18" s="172">
        <f>D14/12</f>
        <v>385.41666666666669</v>
      </c>
      <c r="K18" s="99" t="s">
        <v>22</v>
      </c>
      <c r="L18" s="183">
        <f>G18*J18</f>
        <v>0</v>
      </c>
      <c r="M18"/>
      <c r="N18"/>
      <c r="O18" s="7"/>
    </row>
    <row r="19" spans="1:15" ht="13.5" customHeight="1" x14ac:dyDescent="0.25">
      <c r="A19" s="116"/>
      <c r="B19" s="98">
        <f>DataEntry!B19</f>
        <v>803</v>
      </c>
      <c r="C19" s="98"/>
      <c r="D19" s="99" t="str">
        <f>DataEntry!D19</f>
        <v xml:space="preserve">Appraisal </v>
      </c>
      <c r="E19" s="117">
        <f>DataEntry!E19</f>
        <v>325</v>
      </c>
      <c r="F19" s="118"/>
      <c r="G19" s="119">
        <v>0</v>
      </c>
      <c r="H19" s="99" t="str">
        <f>DataEntry!H19</f>
        <v>Est Mo Hazard Ins*</v>
      </c>
      <c r="I19" s="98"/>
      <c r="J19" s="172">
        <f>D13/12</f>
        <v>75</v>
      </c>
      <c r="K19" s="99" t="s">
        <v>22</v>
      </c>
      <c r="L19" s="183">
        <f>G19*J19</f>
        <v>0</v>
      </c>
      <c r="M19" t="s">
        <v>2</v>
      </c>
      <c r="N19"/>
    </row>
    <row r="20" spans="1:15" ht="13.5" customHeight="1" x14ac:dyDescent="0.25">
      <c r="A20" s="116"/>
      <c r="B20" s="98">
        <f>DataEntry!B20</f>
        <v>804</v>
      </c>
      <c r="C20" s="98"/>
      <c r="D20" s="99" t="str">
        <f>DataEntry!D20</f>
        <v>Credit Report</v>
      </c>
      <c r="E20" s="117">
        <f>DataEntry!E20</f>
        <v>50</v>
      </c>
      <c r="F20" s="118"/>
      <c r="G20" s="119">
        <v>0</v>
      </c>
      <c r="H20" s="99" t="str">
        <f>DataEntry!H20</f>
        <v>Mo Mortgage Insurance</v>
      </c>
      <c r="I20" s="98"/>
      <c r="J20" s="172">
        <v>0</v>
      </c>
      <c r="K20" s="99" t="s">
        <v>22</v>
      </c>
      <c r="L20" s="183">
        <f>G20*J20</f>
        <v>0</v>
      </c>
    </row>
    <row r="21" spans="1:15" ht="13.5" customHeight="1" x14ac:dyDescent="0.25">
      <c r="A21" s="116"/>
      <c r="B21" s="98">
        <f>DataEntry!B21</f>
        <v>805</v>
      </c>
      <c r="C21" s="98"/>
      <c r="D21" s="99" t="str">
        <f>DataEntry!D21</f>
        <v>Application Fee</v>
      </c>
      <c r="E21" s="117">
        <f>DataEntry!E21</f>
        <v>0</v>
      </c>
      <c r="F21" s="118"/>
      <c r="G21" s="119">
        <v>0</v>
      </c>
      <c r="H21" s="99" t="str">
        <f>DataEntry!H21</f>
        <v>HOA fee</v>
      </c>
      <c r="I21" s="98"/>
      <c r="J21" s="172">
        <v>0</v>
      </c>
      <c r="K21" s="99" t="s">
        <v>22</v>
      </c>
      <c r="L21" s="183">
        <f>G21*J21</f>
        <v>0</v>
      </c>
    </row>
    <row r="22" spans="1:15" ht="13.5" customHeight="1" thickBot="1" x14ac:dyDescent="0.3">
      <c r="A22" s="116"/>
      <c r="B22" s="98">
        <f>DataEntry!B22</f>
        <v>828</v>
      </c>
      <c r="C22" s="98"/>
      <c r="D22" s="99" t="str">
        <f>DataEntry!D22</f>
        <v>Underwriting</v>
      </c>
      <c r="E22" s="117">
        <f>DataEntry!E22</f>
        <v>250</v>
      </c>
      <c r="F22" s="118"/>
      <c r="G22" s="121"/>
      <c r="H22" s="99" t="s">
        <v>2</v>
      </c>
      <c r="I22" s="98"/>
      <c r="J22" s="98"/>
      <c r="K22" s="122" t="s">
        <v>69</v>
      </c>
      <c r="L22" s="184">
        <f>SUM(L17:L21)</f>
        <v>109.47945205479452</v>
      </c>
    </row>
    <row r="23" spans="1:15" ht="13.5" customHeight="1" thickTop="1" x14ac:dyDescent="0.25">
      <c r="A23" s="116"/>
      <c r="B23" s="98">
        <f>DataEntry!B23</f>
        <v>809</v>
      </c>
      <c r="C23" s="98"/>
      <c r="D23" s="99" t="str">
        <f>DataEntry!D23</f>
        <v>Wire/Funding</v>
      </c>
      <c r="E23" s="117">
        <f>DataEntry!E23</f>
        <v>0</v>
      </c>
      <c r="F23" s="118"/>
      <c r="G23" s="20" t="s">
        <v>93</v>
      </c>
      <c r="H23" s="123"/>
      <c r="I23" s="123"/>
      <c r="J23" s="123"/>
      <c r="K23" s="123"/>
      <c r="L23" s="186"/>
    </row>
    <row r="24" spans="1:15" ht="15" customHeight="1" x14ac:dyDescent="0.25">
      <c r="A24" s="116"/>
      <c r="B24" s="98">
        <f>DataEntry!B24</f>
        <v>810</v>
      </c>
      <c r="C24" s="98"/>
      <c r="D24" s="99" t="str">
        <f>DataEntry!D24</f>
        <v>Tax Service</v>
      </c>
      <c r="E24" s="117">
        <f>DataEntry!E24</f>
        <v>110</v>
      </c>
      <c r="F24" s="118" t="s">
        <v>2</v>
      </c>
      <c r="G24" s="114" t="s">
        <v>30</v>
      </c>
      <c r="H24" s="125"/>
      <c r="I24" s="125"/>
      <c r="J24" s="125"/>
      <c r="K24" s="125"/>
      <c r="L24" s="187"/>
    </row>
    <row r="25" spans="1:15" ht="13.5" customHeight="1" x14ac:dyDescent="0.25">
      <c r="A25" s="116"/>
      <c r="B25" s="98">
        <f>DataEntry!B25</f>
        <v>823</v>
      </c>
      <c r="C25" s="98"/>
      <c r="D25" s="99" t="str">
        <f>DataEntry!D25</f>
        <v>Flood Cert</v>
      </c>
      <c r="E25" s="117">
        <f>DataEntry!E25</f>
        <v>35</v>
      </c>
      <c r="F25" s="118" t="s">
        <v>2</v>
      </c>
      <c r="G25" s="127"/>
      <c r="H25" s="128"/>
      <c r="I25" s="128"/>
      <c r="J25" s="128"/>
      <c r="K25" s="128"/>
      <c r="L25" s="188"/>
    </row>
    <row r="26" spans="1:15" ht="13.5" customHeight="1" x14ac:dyDescent="0.25">
      <c r="A26" s="116"/>
      <c r="B26" s="98">
        <f>DataEntry!B26</f>
        <v>827</v>
      </c>
      <c r="C26" s="98"/>
      <c r="D26" s="99" t="str">
        <f>DataEntry!D26</f>
        <v>Doc Prep Ancillary</v>
      </c>
      <c r="E26" s="117">
        <f>DataEntry!E26</f>
        <v>0</v>
      </c>
      <c r="F26" s="118"/>
      <c r="G26" s="121"/>
      <c r="H26" s="99" t="str">
        <f>DataEntry!H26</f>
        <v xml:space="preserve">Principal &amp; Interest at </v>
      </c>
      <c r="I26" s="98"/>
      <c r="J26" s="130">
        <f>D11</f>
        <v>6.7500000000000004E-2</v>
      </c>
      <c r="K26" s="98"/>
      <c r="L26" s="183">
        <f>PMT(D11/12,D9,-H9)</f>
        <v>959.92518292095656</v>
      </c>
      <c r="M26" s="3" t="s">
        <v>2</v>
      </c>
    </row>
    <row r="27" spans="1:15" ht="13.5" customHeight="1" x14ac:dyDescent="0.25">
      <c r="A27" s="116"/>
      <c r="B27" s="98">
        <f>DataEntry!B27</f>
        <v>1113</v>
      </c>
      <c r="C27" s="98"/>
      <c r="D27" s="99" t="str">
        <f>DataEntry!D27</f>
        <v xml:space="preserve">Delivery </v>
      </c>
      <c r="E27" s="117">
        <f>DataEntry!E27</f>
        <v>50</v>
      </c>
      <c r="F27" s="118"/>
      <c r="G27" s="121"/>
      <c r="H27" s="99" t="str">
        <f>DataEntry!H27</f>
        <v>Taxes</v>
      </c>
      <c r="I27" s="98" t="s">
        <v>2</v>
      </c>
      <c r="J27" s="131"/>
      <c r="K27" s="98"/>
      <c r="L27" s="183">
        <v>0</v>
      </c>
    </row>
    <row r="28" spans="1:15" ht="13.5" customHeight="1" x14ac:dyDescent="0.25">
      <c r="A28" s="116"/>
      <c r="B28" s="98">
        <f>DataEntry!B28</f>
        <v>816</v>
      </c>
      <c r="C28" s="98" t="s">
        <v>2</v>
      </c>
      <c r="D28" s="99" t="str">
        <f>DataEntry!D28</f>
        <v>Processing</v>
      </c>
      <c r="E28" s="117">
        <f>DataEntry!E28</f>
        <v>175</v>
      </c>
      <c r="F28" s="118"/>
      <c r="G28" s="121"/>
      <c r="H28" s="99" t="str">
        <f>DataEntry!H28</f>
        <v>Homeowners Insurance</v>
      </c>
      <c r="I28" s="98"/>
      <c r="J28" s="98"/>
      <c r="K28" s="98"/>
      <c r="L28" s="183">
        <v>0</v>
      </c>
    </row>
    <row r="29" spans="1:15" ht="13.5" customHeight="1" thickBot="1" x14ac:dyDescent="0.3">
      <c r="A29" s="116"/>
      <c r="B29" s="98"/>
      <c r="C29" s="98" t="s">
        <v>2</v>
      </c>
      <c r="D29" s="122" t="s">
        <v>67</v>
      </c>
      <c r="E29" s="174">
        <f>SUM(E17:E28)</f>
        <v>1365</v>
      </c>
      <c r="F29" s="118"/>
      <c r="G29" s="121"/>
      <c r="H29" s="99" t="str">
        <f>DataEntry!H29</f>
        <v>2nd Lien Principal &amp; Interest</v>
      </c>
      <c r="I29" s="98"/>
      <c r="J29" s="98"/>
      <c r="K29" s="98"/>
      <c r="L29" s="183">
        <f>PMT(D12/12,180,-H10)</f>
        <v>132.79100454635281</v>
      </c>
    </row>
    <row r="30" spans="1:15" ht="15" customHeight="1" thickTop="1" x14ac:dyDescent="0.25">
      <c r="A30" s="132" t="s">
        <v>39</v>
      </c>
      <c r="B30" s="133"/>
      <c r="C30" s="133"/>
      <c r="D30" s="134"/>
      <c r="E30" s="135"/>
      <c r="F30" s="136"/>
      <c r="G30" s="121"/>
      <c r="H30" s="99" t="str">
        <f>DataEntry!H30</f>
        <v>Mortgage Insurance</v>
      </c>
      <c r="I30" s="98"/>
      <c r="J30" s="98"/>
      <c r="K30" s="98"/>
      <c r="L30" s="183">
        <f>J20</f>
        <v>0</v>
      </c>
    </row>
    <row r="31" spans="1:15" ht="13.5" customHeight="1" x14ac:dyDescent="0.25">
      <c r="A31" s="116"/>
      <c r="B31" s="98">
        <f>DataEntry!B31</f>
        <v>1109</v>
      </c>
      <c r="C31" s="98"/>
      <c r="D31" s="99" t="str">
        <f>DataEntry!D31</f>
        <v>Lenders Title Policy</v>
      </c>
      <c r="E31" s="264">
        <f>IF($H$9&lt;100000,(($H$9-100000)*0.00805)+992-$O$14,(($H$9-100000)*0.00628)+992-DataEntry!O14)</f>
        <v>743.15679999999998</v>
      </c>
      <c r="F31" s="118" t="s">
        <v>2</v>
      </c>
      <c r="G31" s="121"/>
      <c r="H31" s="99" t="str">
        <f>DataEntry!H31</f>
        <v>Condo/HOA fee</v>
      </c>
      <c r="I31" s="98"/>
      <c r="J31" s="98"/>
      <c r="K31" s="98"/>
      <c r="L31" s="183">
        <f>J21</f>
        <v>0</v>
      </c>
    </row>
    <row r="32" spans="1:15" ht="13.5" customHeight="1" x14ac:dyDescent="0.25">
      <c r="A32" s="116"/>
      <c r="B32" s="98">
        <f>DataEntry!B32</f>
        <v>1110</v>
      </c>
      <c r="C32" s="98"/>
      <c r="D32" s="99" t="s">
        <v>116</v>
      </c>
      <c r="E32" s="264">
        <f>IF($H$10&lt;100000,(($H$10-100000)*0.00805)+992,(($H$10-100000)*0.00628)+992)</f>
        <v>292.45500000000004</v>
      </c>
      <c r="F32" s="118" t="s">
        <v>2</v>
      </c>
      <c r="G32" s="121"/>
      <c r="H32" s="99" t="s">
        <v>2</v>
      </c>
      <c r="I32" s="98"/>
      <c r="J32" s="98"/>
      <c r="K32" s="98"/>
      <c r="L32" s="189"/>
    </row>
    <row r="33" spans="1:12" ht="13.5" customHeight="1" x14ac:dyDescent="0.25">
      <c r="A33" s="116"/>
      <c r="B33" s="98">
        <f>DataEntry!B33</f>
        <v>1112</v>
      </c>
      <c r="C33" s="98"/>
      <c r="D33" s="99" t="str">
        <f>DataEntry!D33</f>
        <v>Settlement</v>
      </c>
      <c r="E33" s="117">
        <f>DataEntry!E33</f>
        <v>125</v>
      </c>
      <c r="F33" s="118"/>
      <c r="G33" s="121"/>
      <c r="H33" s="98" t="s">
        <v>2</v>
      </c>
      <c r="I33" s="98"/>
      <c r="J33" s="98"/>
      <c r="K33" s="98"/>
      <c r="L33" s="190"/>
    </row>
    <row r="34" spans="1:12" ht="13.5" customHeight="1" thickBot="1" x14ac:dyDescent="0.3">
      <c r="A34" s="116"/>
      <c r="B34" s="98">
        <f>DataEntry!B34</f>
        <v>1113</v>
      </c>
      <c r="C34" s="98"/>
      <c r="D34" s="99" t="str">
        <f>DataEntry!D34</f>
        <v xml:space="preserve">Delivery </v>
      </c>
      <c r="E34" s="117">
        <f>DataEntry!E34</f>
        <v>50</v>
      </c>
      <c r="F34" s="140"/>
      <c r="G34" s="121"/>
      <c r="H34" s="99" t="s">
        <v>2</v>
      </c>
      <c r="I34" s="98"/>
      <c r="J34" s="98"/>
      <c r="K34" s="122" t="s">
        <v>70</v>
      </c>
      <c r="L34" s="184">
        <f>SUM(L26:L32)</f>
        <v>1092.7161874673093</v>
      </c>
    </row>
    <row r="35" spans="1:12" ht="13.5" customHeight="1" thickTop="1" x14ac:dyDescent="0.25">
      <c r="A35" s="116"/>
      <c r="B35" s="98">
        <f>DataEntry!B35</f>
        <v>1201</v>
      </c>
      <c r="C35" s="98"/>
      <c r="D35" s="99" t="str">
        <f>DataEntry!D35</f>
        <v>Recording</v>
      </c>
      <c r="E35" s="117">
        <f>DataEntry!E35</f>
        <v>75</v>
      </c>
      <c r="F35" s="118"/>
      <c r="G35" s="141"/>
      <c r="H35" s="100"/>
      <c r="I35" s="100"/>
      <c r="J35" s="100"/>
      <c r="K35" s="100"/>
      <c r="L35" s="191"/>
    </row>
    <row r="36" spans="1:12" ht="15" customHeight="1" x14ac:dyDescent="0.25">
      <c r="A36" s="116"/>
      <c r="B36" s="98">
        <f>DataEntry!B36</f>
        <v>1204</v>
      </c>
      <c r="C36" s="98"/>
      <c r="D36" s="99" t="str">
        <f>DataEntry!D36</f>
        <v>Tax Certificates</v>
      </c>
      <c r="E36" s="117">
        <f>DataEntry!E36</f>
        <v>0</v>
      </c>
      <c r="F36" s="118"/>
      <c r="G36" s="114" t="s">
        <v>47</v>
      </c>
      <c r="H36" s="125"/>
      <c r="I36" s="125"/>
      <c r="J36" s="125"/>
      <c r="K36" s="125"/>
      <c r="L36" s="192"/>
    </row>
    <row r="37" spans="1:12" ht="13.5" customHeight="1" x14ac:dyDescent="0.25">
      <c r="A37" s="116"/>
      <c r="B37" s="98">
        <f>DataEntry!B37</f>
        <v>1301</v>
      </c>
      <c r="C37" s="98"/>
      <c r="D37" s="99" t="str">
        <f>DataEntry!D37</f>
        <v>Survey</v>
      </c>
      <c r="E37" s="117" t="str">
        <f>DataEntry!E37</f>
        <v>use current?</v>
      </c>
      <c r="F37" s="118"/>
      <c r="G37" s="121"/>
      <c r="H37" s="99" t="str">
        <f>DataEntry!H37</f>
        <v>Payoff existing loan(s)</v>
      </c>
      <c r="I37" s="98"/>
      <c r="J37" s="98"/>
      <c r="K37" s="98"/>
      <c r="L37" s="183">
        <f>DataEntry!L37</f>
        <v>161100</v>
      </c>
    </row>
    <row r="38" spans="1:12" ht="13.5" customHeight="1" x14ac:dyDescent="0.25">
      <c r="A38" s="116"/>
      <c r="B38" s="98" t="str">
        <f>DataEntry!B38</f>
        <v/>
      </c>
      <c r="C38" s="98"/>
      <c r="D38" s="99" t="str">
        <f>DataEntry!D38</f>
        <v>Attorney</v>
      </c>
      <c r="E38" s="117">
        <f>DataEntry!E38</f>
        <v>150</v>
      </c>
      <c r="F38" s="118"/>
      <c r="G38" s="121"/>
      <c r="H38" s="99" t="str">
        <f>DataEntry!H38</f>
        <v>Closing Costs - Lender</v>
      </c>
      <c r="I38" s="98"/>
      <c r="J38" s="98"/>
      <c r="K38" s="98"/>
      <c r="L38" s="183">
        <f>E29</f>
        <v>1365</v>
      </c>
    </row>
    <row r="39" spans="1:12" ht="13.5" customHeight="1" x14ac:dyDescent="0.25">
      <c r="A39" s="116"/>
      <c r="B39" s="98" t="str">
        <f>DataEntry!B39</f>
        <v/>
      </c>
      <c r="C39" s="98"/>
      <c r="D39" s="99" t="str">
        <f>DataEntry!D39</f>
        <v>Condo Certification</v>
      </c>
      <c r="E39" s="117">
        <f>DataEntry!E39</f>
        <v>0</v>
      </c>
      <c r="F39" s="144"/>
      <c r="G39" s="121"/>
      <c r="H39" s="99" t="str">
        <f>DataEntry!H39</f>
        <v>Closing Costs - Other</v>
      </c>
      <c r="I39" s="98"/>
      <c r="J39" s="98"/>
      <c r="K39" s="98"/>
      <c r="L39" s="183">
        <f>E44</f>
        <v>1435.6118000000001</v>
      </c>
    </row>
    <row r="40" spans="1:12" ht="13.5" customHeight="1" x14ac:dyDescent="0.25">
      <c r="A40" s="116"/>
      <c r="B40" s="98">
        <f>DataEntry!B40</f>
        <v>1302</v>
      </c>
      <c r="C40" s="98"/>
      <c r="D40" s="99" t="str">
        <f>DataEntry!D40</f>
        <v>2nd lien charges</v>
      </c>
      <c r="E40" s="117">
        <f>DataEntry!E40</f>
        <v>0</v>
      </c>
      <c r="F40" s="144"/>
      <c r="G40" s="121"/>
      <c r="H40" s="99" t="str">
        <f>DataEntry!H40</f>
        <v>Prepaids</v>
      </c>
      <c r="I40" s="98"/>
      <c r="J40" s="98"/>
      <c r="K40" s="98"/>
      <c r="L40" s="183">
        <f>L22</f>
        <v>109.47945205479452</v>
      </c>
    </row>
    <row r="41" spans="1:12" ht="13.5" customHeight="1" thickBot="1" x14ac:dyDescent="0.3">
      <c r="A41" s="116"/>
      <c r="B41" s="98" t="str">
        <f>DataEntry!B41</f>
        <v/>
      </c>
      <c r="C41" s="98"/>
      <c r="D41" s="99" t="str">
        <f>DataEntry!D41</f>
        <v>HOA Transfer fee</v>
      </c>
      <c r="E41" s="117">
        <f>DataEntry!E41</f>
        <v>0</v>
      </c>
      <c r="F41" s="144"/>
      <c r="G41" s="121"/>
      <c r="H41" s="99" t="str">
        <f>DataEntry!H41</f>
        <v>Subtotal</v>
      </c>
      <c r="I41" s="98"/>
      <c r="J41" s="98"/>
      <c r="K41" s="98"/>
      <c r="L41" s="184">
        <f>SUM(L37:L40)</f>
        <v>164010.09125205482</v>
      </c>
    </row>
    <row r="42" spans="1:12" ht="13.5" customHeight="1" thickTop="1" x14ac:dyDescent="0.25">
      <c r="A42" s="116"/>
      <c r="B42" s="98" t="str">
        <f>DataEntry!B42</f>
        <v/>
      </c>
      <c r="C42" s="98"/>
      <c r="D42" s="99" t="str">
        <f>DataEntry!D42</f>
        <v xml:space="preserve"> </v>
      </c>
      <c r="E42" s="117" t="str">
        <f>DataEntry!E42</f>
        <v/>
      </c>
      <c r="F42" s="144"/>
      <c r="G42" s="121"/>
      <c r="H42" s="99"/>
      <c r="I42" s="98"/>
      <c r="J42" s="98"/>
      <c r="K42" s="98"/>
      <c r="L42" s="185" t="s">
        <v>2</v>
      </c>
    </row>
    <row r="43" spans="1:12" ht="13.5" customHeight="1" x14ac:dyDescent="0.25">
      <c r="A43" s="116"/>
      <c r="B43" s="98"/>
      <c r="C43" s="98"/>
      <c r="D43" s="98"/>
      <c r="E43" s="145"/>
      <c r="F43" s="144"/>
      <c r="G43" s="121"/>
      <c r="H43" s="99" t="str">
        <f>DataEntry!H43</f>
        <v>less new loan amount</v>
      </c>
      <c r="I43" s="98"/>
      <c r="J43" s="98"/>
      <c r="K43" s="98"/>
      <c r="L43" s="171">
        <f>-H9-H10</f>
        <v>-161100</v>
      </c>
    </row>
    <row r="44" spans="1:12" ht="13.5" customHeight="1" thickBot="1" x14ac:dyDescent="0.3">
      <c r="A44" s="116"/>
      <c r="B44" s="99"/>
      <c r="C44" s="98"/>
      <c r="D44" s="122" t="s">
        <v>68</v>
      </c>
      <c r="E44" s="173">
        <f>SUM(E31:E43)</f>
        <v>1435.6118000000001</v>
      </c>
      <c r="F44" s="144"/>
      <c r="G44" s="121"/>
      <c r="H44" s="99" t="str">
        <f>DataEntry!H44</f>
        <v>Closing Cost Deposit</v>
      </c>
      <c r="I44" s="98"/>
      <c r="J44" s="98"/>
      <c r="K44" s="98"/>
      <c r="L44" s="176">
        <f>DataEntry!L44</f>
        <v>-375</v>
      </c>
    </row>
    <row r="45" spans="1:12" ht="13.5" customHeight="1" thickTop="1" thickBot="1" x14ac:dyDescent="0.3">
      <c r="A45" s="116"/>
      <c r="B45" s="128"/>
      <c r="C45" s="128"/>
      <c r="D45" s="128"/>
      <c r="E45" s="128"/>
      <c r="F45" s="146"/>
      <c r="G45" s="121"/>
      <c r="H45" s="99" t="str">
        <f>DataEntry!H45</f>
        <v xml:space="preserve">less lender credit </v>
      </c>
      <c r="I45" s="98"/>
      <c r="J45" s="98"/>
      <c r="K45" s="98"/>
      <c r="L45" s="171" t="str">
        <f>DataEntry!L45</f>
        <v>tbd</v>
      </c>
    </row>
    <row r="46" spans="1:12" ht="17.25" customHeight="1" thickBot="1" x14ac:dyDescent="0.3">
      <c r="A46" s="116"/>
      <c r="B46" s="128"/>
      <c r="C46" s="128"/>
      <c r="D46" s="128" t="s">
        <v>2</v>
      </c>
      <c r="E46" s="147" t="s">
        <v>2</v>
      </c>
      <c r="F46" s="146"/>
      <c r="G46" s="121"/>
      <c r="H46"/>
      <c r="I46" s="219"/>
      <c r="J46" s="219"/>
      <c r="K46" s="220" t="str">
        <f>IF(L46&lt;0,"Cash Due to Owner at Closing =","Cash Due to Mortgage Company at Closing =")</f>
        <v>Cash Due to Mortgage Company at Closing =</v>
      </c>
      <c r="L46" s="205">
        <f>SUM(L41:L45)</f>
        <v>2535.0912520548154</v>
      </c>
    </row>
    <row r="47" spans="1:12" ht="12.95" customHeight="1" thickBot="1" x14ac:dyDescent="0.3">
      <c r="A47" s="148"/>
      <c r="B47" s="149"/>
      <c r="C47" s="149"/>
      <c r="D47" s="149" t="s">
        <v>2</v>
      </c>
      <c r="E47" s="149"/>
      <c r="F47" s="149"/>
      <c r="G47" s="54" t="s">
        <v>94</v>
      </c>
      <c r="H47" s="55"/>
      <c r="I47" s="53"/>
      <c r="J47" s="53"/>
      <c r="K47" s="53"/>
      <c r="L47" s="56"/>
    </row>
    <row r="48" spans="1:12" ht="2.1" customHeight="1" x14ac:dyDescent="0.25">
      <c r="A48" s="150"/>
      <c r="B48" s="150"/>
      <c r="C48" s="150"/>
      <c r="D48" s="150"/>
      <c r="E48" s="150"/>
      <c r="F48" s="150"/>
      <c r="G48" s="150"/>
      <c r="H48" s="151"/>
      <c r="I48" s="150"/>
      <c r="J48" s="150"/>
      <c r="K48" s="150"/>
      <c r="L48" s="152"/>
    </row>
    <row r="49" spans="1:12" ht="60" customHeight="1" x14ac:dyDescent="0.25">
      <c r="A49" s="153" t="s">
        <v>2</v>
      </c>
      <c r="B49" s="153"/>
      <c r="C49" s="268" t="s">
        <v>65</v>
      </c>
      <c r="D49" s="268"/>
      <c r="E49" s="268"/>
      <c r="F49" s="268"/>
      <c r="G49" s="268"/>
      <c r="H49" s="268"/>
      <c r="I49" s="268"/>
      <c r="J49" s="268"/>
      <c r="K49" s="268"/>
      <c r="L49" s="153"/>
    </row>
    <row r="50" spans="1:12" ht="45" customHeight="1" x14ac:dyDescent="0.25">
      <c r="A50" s="153" t="s">
        <v>2</v>
      </c>
      <c r="B50" s="153"/>
      <c r="C50" s="268" t="s">
        <v>66</v>
      </c>
      <c r="D50" s="268"/>
      <c r="E50" s="268"/>
      <c r="F50" s="268"/>
      <c r="G50" s="268"/>
      <c r="H50" s="268"/>
      <c r="I50" s="268"/>
      <c r="J50" s="268"/>
      <c r="K50" s="268"/>
      <c r="L50" s="153"/>
    </row>
    <row r="51" spans="1:12" ht="12" customHeight="1" x14ac:dyDescent="0.25"/>
    <row r="52" spans="1:12" x14ac:dyDescent="0.25">
      <c r="A52" s="84" t="s">
        <v>58</v>
      </c>
      <c r="D52" s="86"/>
      <c r="E52" s="86"/>
      <c r="F52" s="86"/>
      <c r="G52" s="86"/>
      <c r="H52" s="86"/>
      <c r="I52" s="86"/>
      <c r="J52" s="87" t="s">
        <v>59</v>
      </c>
      <c r="K52" s="86"/>
      <c r="L52" s="86"/>
    </row>
    <row r="53" spans="1:12" ht="14.25" customHeight="1" x14ac:dyDescent="0.25"/>
    <row r="54" spans="1:12" x14ac:dyDescent="0.25">
      <c r="A54" s="84" t="s">
        <v>60</v>
      </c>
      <c r="D54" s="86"/>
      <c r="E54" s="86"/>
      <c r="F54" s="86"/>
      <c r="G54" s="86"/>
      <c r="H54" s="86"/>
      <c r="I54" s="86"/>
      <c r="J54" s="87" t="s">
        <v>59</v>
      </c>
      <c r="K54" s="86"/>
      <c r="L54" s="86"/>
    </row>
    <row r="55" spans="1:12" ht="9.75" customHeight="1" x14ac:dyDescent="0.25"/>
    <row r="56" spans="1:12" x14ac:dyDescent="0.25">
      <c r="A56" s="269" t="str">
        <f>DataEntry!$A$52</f>
        <v>Estimate provided by Linda Rhoden.  Phone# 713-802-6025</v>
      </c>
      <c r="B56" s="269"/>
      <c r="C56" s="269"/>
      <c r="D56" s="269"/>
      <c r="E56" s="269"/>
      <c r="F56" s="269"/>
      <c r="G56" s="269"/>
      <c r="H56" s="269"/>
      <c r="I56" s="269"/>
      <c r="J56" s="269"/>
      <c r="K56" s="269"/>
      <c r="L56" s="269"/>
    </row>
    <row r="57" spans="1:12" x14ac:dyDescent="0.25">
      <c r="A57" s="269" t="str">
        <f>DataEntry!$A$53</f>
        <v>888-852-7645 ext. 6025 Toll free / 713-802-6035 Fax</v>
      </c>
      <c r="B57" s="269"/>
      <c r="C57" s="269"/>
      <c r="D57" s="269"/>
      <c r="E57" s="269"/>
      <c r="F57" s="269"/>
      <c r="G57" s="269"/>
      <c r="H57" s="269"/>
      <c r="I57" s="269"/>
      <c r="J57" s="269"/>
      <c r="K57" s="269"/>
      <c r="L57" s="269"/>
    </row>
  </sheetData>
  <sheetProtection password="CCCA" sheet="1" objects="1" scenarios="1"/>
  <mergeCells count="4">
    <mergeCell ref="A56:L56"/>
    <mergeCell ref="A57:L57"/>
    <mergeCell ref="C49:K49"/>
    <mergeCell ref="C50:K50"/>
  </mergeCells>
  <phoneticPr fontId="0" type="noConversion"/>
  <printOptions horizontalCentered="1" gridLinesSet="0"/>
  <pageMargins left="0.35" right="0.17" top="0.5" bottom="0.28999999999999998" header="0.5" footer="0.5"/>
  <pageSetup scale="84"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pageSetUpPr fitToPage="1"/>
  </sheetPr>
  <dimension ref="A1:O57"/>
  <sheetViews>
    <sheetView showGridLines="0" topLeftCell="A7" zoomScale="75" zoomScaleNormal="75" workbookViewId="0">
      <selection activeCell="H10" sqref="H10"/>
    </sheetView>
  </sheetViews>
  <sheetFormatPr defaultColWidth="9.77734375" defaultRowHeight="15.75" x14ac:dyDescent="0.25"/>
  <cols>
    <col min="1" max="1" width="1.77734375" style="85" customWidth="1"/>
    <col min="2" max="2" width="6.77734375" style="85" customWidth="1"/>
    <col min="3" max="3" width="4.88671875" style="85" customWidth="1"/>
    <col min="4" max="4" width="12.77734375" style="85" customWidth="1"/>
    <col min="5" max="5" width="7.77734375" style="85" customWidth="1"/>
    <col min="6" max="7" width="4.77734375" style="85" customWidth="1"/>
    <col min="8" max="8" width="9.77734375" style="85"/>
    <col min="9" max="9" width="6.21875" style="85" customWidth="1"/>
    <col min="10" max="10" width="7.88671875" style="85" customWidth="1"/>
    <col min="11" max="11" width="9.5546875" style="85" customWidth="1"/>
    <col min="12" max="12" width="9.44140625" style="85" customWidth="1"/>
    <col min="13" max="16384" width="9.77734375" style="3"/>
  </cols>
  <sheetData>
    <row r="1" spans="1:14" ht="22.5" x14ac:dyDescent="0.3">
      <c r="A1" s="82" t="s">
        <v>62</v>
      </c>
      <c r="B1" s="83"/>
      <c r="C1" s="83"/>
      <c r="D1" s="83"/>
      <c r="E1" s="83"/>
      <c r="F1" s="83"/>
      <c r="G1" s="83"/>
      <c r="H1" s="83"/>
      <c r="I1" s="83"/>
      <c r="J1" s="83"/>
      <c r="K1" s="83"/>
      <c r="L1" s="83"/>
    </row>
    <row r="2" spans="1:14" ht="18.75" customHeight="1" x14ac:dyDescent="0.3">
      <c r="A2" s="82" t="s">
        <v>0</v>
      </c>
      <c r="B2" s="83"/>
      <c r="C2" s="83"/>
      <c r="D2" s="83"/>
      <c r="E2" s="83"/>
      <c r="F2" s="83"/>
      <c r="G2" s="83"/>
      <c r="H2" s="83"/>
      <c r="I2" s="83"/>
      <c r="J2" s="83"/>
      <c r="K2" s="83"/>
      <c r="L2" s="83"/>
    </row>
    <row r="3" spans="1:14" ht="18.75" customHeight="1" x14ac:dyDescent="0.3">
      <c r="A3" s="82"/>
      <c r="B3" s="83"/>
      <c r="C3" s="83"/>
      <c r="D3" s="83"/>
      <c r="E3" s="83"/>
      <c r="F3" s="83"/>
      <c r="G3" s="83"/>
      <c r="H3" s="83"/>
      <c r="I3" s="83"/>
      <c r="J3" s="83"/>
      <c r="K3" s="83"/>
      <c r="L3" s="83"/>
    </row>
    <row r="4" spans="1:14" x14ac:dyDescent="0.25">
      <c r="A4" s="84" t="s">
        <v>1</v>
      </c>
      <c r="C4" s="86"/>
      <c r="D4" s="86" t="str">
        <f>DataEntry!$D$4</f>
        <v>Paul Thomas refi</v>
      </c>
      <c r="E4" s="86"/>
      <c r="F4" s="86"/>
      <c r="G4" s="87"/>
      <c r="H4" s="86"/>
      <c r="I4" s="86"/>
      <c r="J4" s="86" t="s">
        <v>3</v>
      </c>
      <c r="K4" s="88">
        <f>DataEntry!$K$4</f>
        <v>37133</v>
      </c>
      <c r="L4" s="86" t="s">
        <v>2</v>
      </c>
    </row>
    <row r="5" spans="1:14" x14ac:dyDescent="0.25">
      <c r="A5" s="84" t="s">
        <v>4</v>
      </c>
      <c r="C5" s="86"/>
      <c r="D5" s="86"/>
      <c r="E5" s="89" t="s">
        <v>77</v>
      </c>
      <c r="F5" s="90">
        <f>DataEntry!$F$5</f>
        <v>30</v>
      </c>
      <c r="G5" s="91" t="s">
        <v>107</v>
      </c>
      <c r="H5" s="92"/>
      <c r="I5" s="92"/>
      <c r="J5" s="92"/>
      <c r="K5" s="92"/>
      <c r="L5" s="86"/>
    </row>
    <row r="6" spans="1:14" ht="16.5" customHeight="1" thickBot="1" x14ac:dyDescent="0.3">
      <c r="B6" s="93"/>
      <c r="C6" s="93"/>
      <c r="D6" s="156"/>
      <c r="E6" s="157" t="s">
        <v>63</v>
      </c>
      <c r="F6" s="178">
        <f>DataEntry!$O$10</f>
        <v>1</v>
      </c>
      <c r="G6" s="93"/>
      <c r="H6" s="93" t="s">
        <v>118</v>
      </c>
    </row>
    <row r="7" spans="1:14" x14ac:dyDescent="0.25">
      <c r="A7" s="94" t="s">
        <v>5</v>
      </c>
      <c r="B7" s="95"/>
      <c r="C7" s="95"/>
      <c r="D7" s="158"/>
      <c r="E7" s="158"/>
      <c r="F7" s="158"/>
      <c r="G7" s="95"/>
      <c r="H7" s="95"/>
      <c r="I7" s="95"/>
      <c r="J7" s="95"/>
      <c r="K7" s="95"/>
      <c r="L7" s="96"/>
    </row>
    <row r="8" spans="1:14" x14ac:dyDescent="0.25">
      <c r="A8" s="97" t="str">
        <f>DataEntry!A8</f>
        <v>Type of Loan, 1st:</v>
      </c>
      <c r="B8" s="98"/>
      <c r="C8" s="98"/>
      <c r="D8" s="159">
        <f>DataEntry!D8</f>
        <v>30</v>
      </c>
      <c r="E8" s="160" t="str">
        <f>DataEntry!E8</f>
        <v>year fixed</v>
      </c>
      <c r="F8" s="161"/>
      <c r="G8" s="100"/>
      <c r="H8" s="101">
        <f>DataEntry!H8</f>
        <v>185000</v>
      </c>
      <c r="I8" s="102" t="str">
        <f>DataEntry!I8</f>
        <v>Estimated Value of Home</v>
      </c>
      <c r="J8" s="98"/>
      <c r="K8" s="98"/>
      <c r="L8" s="103"/>
    </row>
    <row r="9" spans="1:14" x14ac:dyDescent="0.25">
      <c r="A9" s="97" t="str">
        <f>DataEntry!A9</f>
        <v>Loan Term - 1st</v>
      </c>
      <c r="B9" s="98"/>
      <c r="C9" s="98"/>
      <c r="D9" s="162">
        <f>DataEntry!D9</f>
        <v>360</v>
      </c>
      <c r="E9" s="161" t="s">
        <v>2</v>
      </c>
      <c r="F9" s="163" t="s">
        <v>2</v>
      </c>
      <c r="G9" s="100"/>
      <c r="H9" s="267">
        <v>166500</v>
      </c>
      <c r="I9" s="102" t="str">
        <f>DataEntry!I9</f>
        <v xml:space="preserve">New first loan amount </v>
      </c>
      <c r="J9" s="98"/>
      <c r="K9" s="98"/>
      <c r="L9" s="103"/>
    </row>
    <row r="10" spans="1:14" x14ac:dyDescent="0.25">
      <c r="A10" s="97" t="str">
        <f>DataEntry!A10</f>
        <v>Loan Term - 2nd</v>
      </c>
      <c r="B10" s="98"/>
      <c r="C10" s="98"/>
      <c r="D10" s="159">
        <v>0</v>
      </c>
      <c r="E10" s="161"/>
      <c r="F10" s="163" t="s">
        <v>2</v>
      </c>
      <c r="G10" s="100"/>
      <c r="H10" s="104">
        <v>0</v>
      </c>
      <c r="I10" s="102" t="str">
        <f>DataEntry!I10</f>
        <v>Second Loan Amount</v>
      </c>
      <c r="J10" s="98"/>
      <c r="K10" s="98"/>
      <c r="L10" s="103"/>
      <c r="N10" s="263"/>
    </row>
    <row r="11" spans="1:14" x14ac:dyDescent="0.25">
      <c r="A11" s="97" t="str">
        <f>DataEntry!A11</f>
        <v>Note Rate:</v>
      </c>
      <c r="B11" s="98"/>
      <c r="C11" s="98"/>
      <c r="D11" s="175">
        <f>DataEntry!$P$10</f>
        <v>6.6250000000000003E-2</v>
      </c>
      <c r="E11" s="161" t="str">
        <f>DataEntry!E11</f>
        <v>current 30 day lock</v>
      </c>
      <c r="F11" s="161"/>
      <c r="G11" s="100"/>
      <c r="H11" s="105">
        <f>H9/H8</f>
        <v>0.9</v>
      </c>
      <c r="I11" s="102" t="str">
        <f>DataEntry!I11</f>
        <v>Total LTV</v>
      </c>
      <c r="J11" s="98"/>
      <c r="K11" s="266" t="str">
        <f>IF(H11&gt;0.901,"TO HIGH!"," ")</f>
        <v xml:space="preserve"> </v>
      </c>
      <c r="L11" s="265" t="str">
        <f>IF(H11&lt;0.801,"TOO LOW!"," ")</f>
        <v xml:space="preserve"> </v>
      </c>
    </row>
    <row r="12" spans="1:14" x14ac:dyDescent="0.25">
      <c r="A12" s="97" t="str">
        <f>DataEntry!A12</f>
        <v>2nd Lien Rate</v>
      </c>
      <c r="B12" s="98"/>
      <c r="C12" s="98"/>
      <c r="D12" s="106">
        <v>0</v>
      </c>
      <c r="E12" s="98"/>
      <c r="F12" s="98"/>
      <c r="G12" s="100"/>
      <c r="H12" s="261">
        <f>DataEntry!H12</f>
        <v>37165</v>
      </c>
      <c r="I12" s="102" t="str">
        <f>DataEntry!I12</f>
        <v>Closing Date</v>
      </c>
      <c r="J12" s="98"/>
      <c r="K12" s="98"/>
      <c r="L12" s="103"/>
    </row>
    <row r="13" spans="1:14" x14ac:dyDescent="0.25">
      <c r="A13" s="97" t="str">
        <f>DataEntry!A13</f>
        <v>Hazard Ins yr:</v>
      </c>
      <c r="B13" s="98"/>
      <c r="C13" s="98"/>
      <c r="D13" s="107">
        <f>DataEntry!D13</f>
        <v>900</v>
      </c>
      <c r="E13" s="98" t="str">
        <f>DataEntry!E13</f>
        <v xml:space="preserve">Estimate </v>
      </c>
      <c r="F13" s="98"/>
      <c r="G13" s="100"/>
      <c r="H13" s="261">
        <f>DataEntry!H13</f>
        <v>37168</v>
      </c>
      <c r="I13" s="102" t="str">
        <f>DataEntry!I13</f>
        <v>Funding Date (3 days after closing)</v>
      </c>
      <c r="J13" s="98"/>
      <c r="K13" s="98"/>
      <c r="L13" s="103"/>
      <c r="M13"/>
      <c r="N13"/>
    </row>
    <row r="14" spans="1:14" x14ac:dyDescent="0.25">
      <c r="A14" s="97" t="str">
        <f>DataEntry!A14</f>
        <v>Taxes yr:</v>
      </c>
      <c r="B14" s="98"/>
      <c r="C14" s="98"/>
      <c r="D14" s="107">
        <f>DataEntry!D14</f>
        <v>4625</v>
      </c>
      <c r="E14" s="98" t="str">
        <f>DataEntry!E14</f>
        <v>Estimate @ 2.5%</v>
      </c>
      <c r="F14" s="98"/>
      <c r="G14" s="100"/>
      <c r="H14" s="106" t="str">
        <f>DataEntry!H14</f>
        <v>rate/term refi</v>
      </c>
      <c r="I14" s="102" t="str">
        <f>DataEntry!I14</f>
        <v>Transaction Type</v>
      </c>
      <c r="J14" s="98"/>
      <c r="K14" s="98"/>
      <c r="L14" s="103"/>
      <c r="M14"/>
      <c r="N14"/>
    </row>
    <row r="15" spans="1:14" ht="9" customHeight="1" x14ac:dyDescent="0.25">
      <c r="A15" s="108" t="s">
        <v>2</v>
      </c>
      <c r="B15" s="86"/>
      <c r="C15" s="86"/>
      <c r="D15" s="86"/>
      <c r="E15" s="86"/>
      <c r="F15" s="86"/>
      <c r="G15" s="86"/>
      <c r="H15" s="86"/>
      <c r="I15" s="86"/>
      <c r="J15" s="86"/>
      <c r="K15" s="86"/>
      <c r="L15" s="109"/>
      <c r="M15"/>
      <c r="N15"/>
    </row>
    <row r="16" spans="1:14" ht="15" customHeight="1" x14ac:dyDescent="0.25">
      <c r="A16" s="110" t="s">
        <v>17</v>
      </c>
      <c r="B16" s="111"/>
      <c r="C16" s="111"/>
      <c r="D16" s="111"/>
      <c r="E16" s="112"/>
      <c r="F16" s="113"/>
      <c r="G16" s="114" t="s">
        <v>18</v>
      </c>
      <c r="H16" s="111"/>
      <c r="I16" s="111"/>
      <c r="J16" s="111"/>
      <c r="K16" s="111"/>
      <c r="L16" s="115"/>
      <c r="M16"/>
      <c r="N16"/>
    </row>
    <row r="17" spans="1:15" ht="13.5" customHeight="1" x14ac:dyDescent="0.25">
      <c r="A17" s="116"/>
      <c r="B17" s="98">
        <f>DataEntry!B17</f>
        <v>801</v>
      </c>
      <c r="C17" s="177">
        <f>F6</f>
        <v>1</v>
      </c>
      <c r="D17" s="99" t="str">
        <f>DataEntry!D17</f>
        <v>total loan points</v>
      </c>
      <c r="E17" s="117">
        <f>C17*H9/100</f>
        <v>1665</v>
      </c>
      <c r="F17" s="118"/>
      <c r="G17" s="119">
        <f>DataEntry!G17</f>
        <v>4</v>
      </c>
      <c r="H17" s="99" t="str">
        <f>DataEntry!H17</f>
        <v>Days of Interim Interest</v>
      </c>
      <c r="I17" s="98"/>
      <c r="J17" s="172">
        <f>$H$9*$D$11/365</f>
        <v>30.220890410958905</v>
      </c>
      <c r="K17" s="99" t="s">
        <v>20</v>
      </c>
      <c r="L17" s="183">
        <f>J17*G17</f>
        <v>120.88356164383562</v>
      </c>
      <c r="M17"/>
      <c r="N17"/>
    </row>
    <row r="18" spans="1:15" ht="13.5" customHeight="1" x14ac:dyDescent="0.25">
      <c r="A18" s="116"/>
      <c r="B18" s="98">
        <f>DataEntry!B18</f>
        <v>802</v>
      </c>
      <c r="C18" s="120">
        <v>0</v>
      </c>
      <c r="D18" s="99" t="str">
        <f>DataEntry!D18</f>
        <v>escrow waiver fee</v>
      </c>
      <c r="E18" s="117">
        <f>C18*H9/100</f>
        <v>0</v>
      </c>
      <c r="F18" s="118"/>
      <c r="G18" s="119">
        <f>DataEntry!G18</f>
        <v>11</v>
      </c>
      <c r="H18" s="99" t="str">
        <f>DataEntry!H18</f>
        <v>Est Mo Taxes*</v>
      </c>
      <c r="I18" s="98"/>
      <c r="J18" s="172">
        <f>D14/12</f>
        <v>385.41666666666669</v>
      </c>
      <c r="K18" s="99" t="s">
        <v>22</v>
      </c>
      <c r="L18" s="183">
        <f>G18*J18</f>
        <v>4239.5833333333339</v>
      </c>
      <c r="M18"/>
      <c r="N18"/>
      <c r="O18" s="7"/>
    </row>
    <row r="19" spans="1:15" ht="13.5" customHeight="1" x14ac:dyDescent="0.25">
      <c r="A19" s="116"/>
      <c r="B19" s="98">
        <f>DataEntry!B19</f>
        <v>803</v>
      </c>
      <c r="C19" s="98"/>
      <c r="D19" s="99" t="str">
        <f>DataEntry!D19</f>
        <v xml:space="preserve">Appraisal </v>
      </c>
      <c r="E19" s="117">
        <f>DataEntry!E19</f>
        <v>325</v>
      </c>
      <c r="F19" s="118"/>
      <c r="G19" s="119">
        <f>DataEntry!G19</f>
        <v>4</v>
      </c>
      <c r="H19" s="99" t="str">
        <f>DataEntry!H19</f>
        <v>Est Mo Hazard Ins*</v>
      </c>
      <c r="I19" s="98"/>
      <c r="J19" s="172">
        <f>D13/12</f>
        <v>75</v>
      </c>
      <c r="K19" s="99" t="s">
        <v>22</v>
      </c>
      <c r="L19" s="183">
        <f>G19*J19</f>
        <v>300</v>
      </c>
      <c r="M19" t="s">
        <v>2</v>
      </c>
      <c r="N19"/>
    </row>
    <row r="20" spans="1:15" ht="13.5" customHeight="1" x14ac:dyDescent="0.25">
      <c r="A20" s="116"/>
      <c r="B20" s="98">
        <f>DataEntry!B20</f>
        <v>804</v>
      </c>
      <c r="C20" s="98"/>
      <c r="D20" s="99" t="str">
        <f>DataEntry!D20</f>
        <v>Credit Report</v>
      </c>
      <c r="E20" s="117">
        <f>DataEntry!E20</f>
        <v>50</v>
      </c>
      <c r="F20" s="118"/>
      <c r="G20" s="119">
        <f>DataEntry!G20</f>
        <v>0</v>
      </c>
      <c r="H20" s="99" t="str">
        <f>DataEntry!H20</f>
        <v>Mo Mortgage Insurance</v>
      </c>
      <c r="I20" s="98"/>
      <c r="J20" s="172">
        <f>H9*0.0052/12</f>
        <v>72.149999999999991</v>
      </c>
      <c r="K20" s="99" t="s">
        <v>22</v>
      </c>
      <c r="L20" s="183">
        <f>G20*J20</f>
        <v>0</v>
      </c>
    </row>
    <row r="21" spans="1:15" ht="13.5" customHeight="1" x14ac:dyDescent="0.25">
      <c r="A21" s="116"/>
      <c r="B21" s="98">
        <f>DataEntry!B21</f>
        <v>805</v>
      </c>
      <c r="C21" s="98"/>
      <c r="D21" s="99" t="str">
        <f>DataEntry!D21</f>
        <v>Application Fee</v>
      </c>
      <c r="E21" s="117">
        <f>DataEntry!E21</f>
        <v>0</v>
      </c>
      <c r="F21" s="118"/>
      <c r="G21" s="119">
        <f>DataEntry!G21</f>
        <v>0</v>
      </c>
      <c r="H21" s="99" t="str">
        <f>DataEntry!H21</f>
        <v>HOA fee</v>
      </c>
      <c r="I21" s="98"/>
      <c r="J21" s="172">
        <v>0</v>
      </c>
      <c r="K21" s="99" t="s">
        <v>22</v>
      </c>
      <c r="L21" s="183">
        <f>G21*J21</f>
        <v>0</v>
      </c>
    </row>
    <row r="22" spans="1:15" ht="13.5" customHeight="1" thickBot="1" x14ac:dyDescent="0.3">
      <c r="A22" s="116"/>
      <c r="B22" s="98">
        <f>DataEntry!B22</f>
        <v>828</v>
      </c>
      <c r="C22" s="98"/>
      <c r="D22" s="99" t="str">
        <f>DataEntry!D22</f>
        <v>Underwriting</v>
      </c>
      <c r="E22" s="117">
        <f>DataEntry!E22</f>
        <v>250</v>
      </c>
      <c r="F22" s="118"/>
      <c r="G22" s="121"/>
      <c r="H22" s="99" t="s">
        <v>2</v>
      </c>
      <c r="I22" s="98"/>
      <c r="J22" s="98"/>
      <c r="K22" s="122" t="s">
        <v>69</v>
      </c>
      <c r="L22" s="184">
        <f>SUM(L17:L21)</f>
        <v>4660.4668949771694</v>
      </c>
    </row>
    <row r="23" spans="1:15" ht="13.5" customHeight="1" thickTop="1" x14ac:dyDescent="0.25">
      <c r="A23" s="116"/>
      <c r="B23" s="98">
        <f>DataEntry!B23</f>
        <v>809</v>
      </c>
      <c r="C23" s="98"/>
      <c r="D23" s="99" t="str">
        <f>DataEntry!D23</f>
        <v>Wire/Funding</v>
      </c>
      <c r="E23" s="117">
        <f>DataEntry!E23</f>
        <v>0</v>
      </c>
      <c r="F23" s="118"/>
      <c r="G23" s="20" t="s">
        <v>93</v>
      </c>
      <c r="H23" s="123"/>
      <c r="I23" s="123"/>
      <c r="J23" s="123"/>
      <c r="K23" s="123"/>
      <c r="L23" s="124"/>
    </row>
    <row r="24" spans="1:15" ht="15" customHeight="1" x14ac:dyDescent="0.25">
      <c r="A24" s="116"/>
      <c r="B24" s="98">
        <f>DataEntry!B24</f>
        <v>810</v>
      </c>
      <c r="C24" s="98"/>
      <c r="D24" s="99" t="str">
        <f>DataEntry!D24</f>
        <v>Tax Service</v>
      </c>
      <c r="E24" s="117">
        <f>DataEntry!E24</f>
        <v>110</v>
      </c>
      <c r="F24" s="118" t="s">
        <v>2</v>
      </c>
      <c r="G24" s="114" t="s">
        <v>30</v>
      </c>
      <c r="H24" s="125"/>
      <c r="I24" s="125"/>
      <c r="J24" s="125"/>
      <c r="K24" s="125"/>
      <c r="L24" s="126"/>
    </row>
    <row r="25" spans="1:15" ht="13.5" customHeight="1" x14ac:dyDescent="0.25">
      <c r="A25" s="116"/>
      <c r="B25" s="98">
        <f>DataEntry!B25</f>
        <v>823</v>
      </c>
      <c r="C25" s="98"/>
      <c r="D25" s="99" t="str">
        <f>DataEntry!D25</f>
        <v>Flood Cert</v>
      </c>
      <c r="E25" s="117">
        <f>DataEntry!E25</f>
        <v>35</v>
      </c>
      <c r="F25" s="118" t="s">
        <v>2</v>
      </c>
      <c r="G25" s="127"/>
      <c r="H25" s="128"/>
      <c r="I25" s="128"/>
      <c r="J25" s="128"/>
      <c r="K25" s="128"/>
      <c r="L25" s="129"/>
    </row>
    <row r="26" spans="1:15" ht="13.5" customHeight="1" x14ac:dyDescent="0.25">
      <c r="A26" s="116"/>
      <c r="B26" s="98">
        <f>DataEntry!B26</f>
        <v>827</v>
      </c>
      <c r="C26" s="98"/>
      <c r="D26" s="99" t="str">
        <f>DataEntry!D26</f>
        <v>Doc Prep Ancillary</v>
      </c>
      <c r="E26" s="117">
        <f>DataEntry!E26</f>
        <v>0</v>
      </c>
      <c r="F26" s="118"/>
      <c r="G26" s="121"/>
      <c r="H26" s="99" t="str">
        <f>DataEntry!H26</f>
        <v xml:space="preserve">Principal &amp; Interest at </v>
      </c>
      <c r="I26" s="98"/>
      <c r="J26" s="130">
        <f>D11</f>
        <v>6.6250000000000003E-2</v>
      </c>
      <c r="K26" s="98"/>
      <c r="L26" s="183">
        <f>PMT(D11/12,D9,-H9)</f>
        <v>1066.1177501900709</v>
      </c>
      <c r="M26" s="3" t="s">
        <v>2</v>
      </c>
    </row>
    <row r="27" spans="1:15" ht="13.5" customHeight="1" x14ac:dyDescent="0.25">
      <c r="A27" s="116"/>
      <c r="B27" s="98">
        <f>DataEntry!B27</f>
        <v>1113</v>
      </c>
      <c r="C27" s="98"/>
      <c r="D27" s="99" t="str">
        <f>DataEntry!D27</f>
        <v xml:space="preserve">Delivery </v>
      </c>
      <c r="E27" s="117">
        <f>DataEntry!E27</f>
        <v>50</v>
      </c>
      <c r="F27" s="118"/>
      <c r="G27" s="121"/>
      <c r="H27" s="99" t="str">
        <f>DataEntry!H27</f>
        <v>Taxes</v>
      </c>
      <c r="I27" s="98" t="s">
        <v>2</v>
      </c>
      <c r="J27" s="131"/>
      <c r="K27" s="98"/>
      <c r="L27" s="183">
        <f>J18</f>
        <v>385.41666666666669</v>
      </c>
    </row>
    <row r="28" spans="1:15" ht="13.5" customHeight="1" x14ac:dyDescent="0.25">
      <c r="A28" s="116"/>
      <c r="B28" s="98">
        <f>DataEntry!B28</f>
        <v>816</v>
      </c>
      <c r="C28" s="98" t="s">
        <v>2</v>
      </c>
      <c r="D28" s="99" t="str">
        <f>DataEntry!D28</f>
        <v>Processing</v>
      </c>
      <c r="E28" s="117">
        <f>DataEntry!E28</f>
        <v>175</v>
      </c>
      <c r="F28" s="118"/>
      <c r="G28" s="121"/>
      <c r="H28" s="99" t="str">
        <f>DataEntry!H28</f>
        <v>Homeowners Insurance</v>
      </c>
      <c r="I28" s="98"/>
      <c r="J28" s="98"/>
      <c r="K28" s="98"/>
      <c r="L28" s="183">
        <f>J19</f>
        <v>75</v>
      </c>
    </row>
    <row r="29" spans="1:15" ht="13.5" customHeight="1" thickBot="1" x14ac:dyDescent="0.3">
      <c r="A29" s="116"/>
      <c r="B29" s="98"/>
      <c r="C29" s="98" t="s">
        <v>2</v>
      </c>
      <c r="D29" s="122" t="s">
        <v>67</v>
      </c>
      <c r="E29" s="174">
        <f>SUM(E17:E28)</f>
        <v>2660</v>
      </c>
      <c r="F29" s="118"/>
      <c r="G29" s="121"/>
      <c r="H29" s="99" t="str">
        <f>DataEntry!H29</f>
        <v>2nd Lien Principal &amp; Interest</v>
      </c>
      <c r="I29" s="98"/>
      <c r="J29" s="98"/>
      <c r="K29" s="98"/>
      <c r="L29" s="183">
        <f>PMT(D12/12,180,-H10)</f>
        <v>0</v>
      </c>
    </row>
    <row r="30" spans="1:15" ht="15" customHeight="1" thickTop="1" x14ac:dyDescent="0.25">
      <c r="A30" s="132" t="s">
        <v>39</v>
      </c>
      <c r="B30" s="133"/>
      <c r="C30" s="133"/>
      <c r="D30" s="134"/>
      <c r="E30" s="135"/>
      <c r="F30" s="136"/>
      <c r="G30" s="121"/>
      <c r="H30" s="99" t="str">
        <f>DataEntry!H30</f>
        <v>Mortgage Insurance</v>
      </c>
      <c r="I30" s="98"/>
      <c r="J30" s="98"/>
      <c r="K30" s="98"/>
      <c r="L30" s="183">
        <f>J20</f>
        <v>72.149999999999991</v>
      </c>
    </row>
    <row r="31" spans="1:15" ht="13.5" customHeight="1" x14ac:dyDescent="0.25">
      <c r="A31" s="116"/>
      <c r="B31" s="98">
        <f>DataEntry!B31</f>
        <v>1109</v>
      </c>
      <c r="C31" s="98"/>
      <c r="D31" s="99" t="str">
        <f>DataEntry!D31</f>
        <v>Lenders Title Policy</v>
      </c>
      <c r="E31" s="264">
        <f>IF($H$9&lt;100000,(($H$9-100000)*0.00805)+992-$O$14,(($H$9-100000)*0.00628)+992-DataEntry!O14)</f>
        <v>859.33679999999981</v>
      </c>
      <c r="F31" s="118" t="s">
        <v>2</v>
      </c>
      <c r="G31" s="121"/>
      <c r="H31" s="99" t="str">
        <f>DataEntry!H31</f>
        <v>Condo/HOA fee</v>
      </c>
      <c r="I31" s="98"/>
      <c r="J31" s="98"/>
      <c r="K31" s="98"/>
      <c r="L31" s="183">
        <f>J21</f>
        <v>0</v>
      </c>
    </row>
    <row r="32" spans="1:15" ht="13.5" customHeight="1" x14ac:dyDescent="0.25">
      <c r="A32" s="116"/>
      <c r="B32" s="98">
        <f>DataEntry!B32</f>
        <v>1110</v>
      </c>
      <c r="C32" s="98"/>
      <c r="D32" s="99" t="str">
        <f>DataEntry!D32</f>
        <v>Owners Title Policy</v>
      </c>
      <c r="E32" s="137" t="str">
        <f>DataEntry!E32</f>
        <v>not reqd</v>
      </c>
      <c r="F32" s="118" t="s">
        <v>2</v>
      </c>
      <c r="G32" s="121"/>
      <c r="H32" s="99" t="s">
        <v>2</v>
      </c>
      <c r="I32" s="98"/>
      <c r="J32" s="98"/>
      <c r="K32" s="98"/>
      <c r="L32" s="138"/>
    </row>
    <row r="33" spans="1:12" ht="13.5" customHeight="1" x14ac:dyDescent="0.25">
      <c r="A33" s="116"/>
      <c r="B33" s="98">
        <f>DataEntry!B33</f>
        <v>1112</v>
      </c>
      <c r="C33" s="98"/>
      <c r="D33" s="99" t="str">
        <f>DataEntry!D33</f>
        <v>Settlement</v>
      </c>
      <c r="E33" s="117">
        <f>DataEntry!E33</f>
        <v>125</v>
      </c>
      <c r="F33" s="118"/>
      <c r="G33" s="121"/>
      <c r="H33" s="98" t="s">
        <v>2</v>
      </c>
      <c r="I33" s="98"/>
      <c r="J33" s="98"/>
      <c r="K33" s="98"/>
      <c r="L33" s="139"/>
    </row>
    <row r="34" spans="1:12" ht="13.5" customHeight="1" thickBot="1" x14ac:dyDescent="0.3">
      <c r="A34" s="116"/>
      <c r="B34" s="98">
        <f>DataEntry!B34</f>
        <v>1113</v>
      </c>
      <c r="C34" s="98"/>
      <c r="D34" s="99" t="str">
        <f>DataEntry!D34</f>
        <v xml:space="preserve">Delivery </v>
      </c>
      <c r="E34" s="117">
        <f>DataEntry!E34</f>
        <v>50</v>
      </c>
      <c r="F34" s="140"/>
      <c r="G34" s="121"/>
      <c r="H34" s="99" t="s">
        <v>2</v>
      </c>
      <c r="I34" s="98"/>
      <c r="J34" s="98"/>
      <c r="K34" s="122" t="s">
        <v>70</v>
      </c>
      <c r="L34" s="184">
        <f>SUM(L26:L32)</f>
        <v>1598.6844168567377</v>
      </c>
    </row>
    <row r="35" spans="1:12" ht="13.5" customHeight="1" thickTop="1" x14ac:dyDescent="0.25">
      <c r="A35" s="116"/>
      <c r="B35" s="98">
        <f>DataEntry!B35</f>
        <v>1201</v>
      </c>
      <c r="C35" s="98"/>
      <c r="D35" s="99" t="str">
        <f>DataEntry!D35</f>
        <v>Recording</v>
      </c>
      <c r="E35" s="117">
        <f>DataEntry!E35</f>
        <v>75</v>
      </c>
      <c r="F35" s="118"/>
      <c r="G35" s="141"/>
      <c r="H35" s="100"/>
      <c r="I35" s="100"/>
      <c r="J35" s="100"/>
      <c r="K35" s="100"/>
      <c r="L35" s="142"/>
    </row>
    <row r="36" spans="1:12" ht="15" customHeight="1" x14ac:dyDescent="0.25">
      <c r="A36" s="116"/>
      <c r="B36" s="98">
        <f>DataEntry!B36</f>
        <v>1204</v>
      </c>
      <c r="C36" s="98"/>
      <c r="D36" s="99" t="str">
        <f>DataEntry!D36</f>
        <v>Tax Certificates</v>
      </c>
      <c r="E36" s="117">
        <f>DataEntry!E36</f>
        <v>0</v>
      </c>
      <c r="F36" s="118"/>
      <c r="G36" s="114" t="s">
        <v>47</v>
      </c>
      <c r="H36" s="125"/>
      <c r="I36" s="125"/>
      <c r="J36" s="125"/>
      <c r="K36" s="125"/>
      <c r="L36" s="143"/>
    </row>
    <row r="37" spans="1:12" ht="13.5" customHeight="1" x14ac:dyDescent="0.25">
      <c r="A37" s="116"/>
      <c r="B37" s="98">
        <f>DataEntry!B37</f>
        <v>1301</v>
      </c>
      <c r="C37" s="98"/>
      <c r="D37" s="99" t="str">
        <f>DataEntry!D37</f>
        <v>Survey</v>
      </c>
      <c r="E37" s="117" t="str">
        <f>DataEntry!E37</f>
        <v>use current?</v>
      </c>
      <c r="F37" s="118"/>
      <c r="G37" s="121"/>
      <c r="H37" s="99" t="str">
        <f>DataEntry!H37</f>
        <v>Payoff existing loan(s)</v>
      </c>
      <c r="I37" s="98"/>
      <c r="J37" s="98"/>
      <c r="K37" s="98"/>
      <c r="L37" s="183">
        <f>DataEntry!L37</f>
        <v>161100</v>
      </c>
    </row>
    <row r="38" spans="1:12" ht="13.5" customHeight="1" x14ac:dyDescent="0.25">
      <c r="A38" s="116"/>
      <c r="B38" s="98" t="str">
        <f>DataEntry!B38</f>
        <v/>
      </c>
      <c r="C38" s="98"/>
      <c r="D38" s="99" t="str">
        <f>DataEntry!D38</f>
        <v>Attorney</v>
      </c>
      <c r="E38" s="117">
        <f>DataEntry!E38</f>
        <v>150</v>
      </c>
      <c r="F38" s="118"/>
      <c r="G38" s="121"/>
      <c r="H38" s="99" t="str">
        <f>DataEntry!H38</f>
        <v>Closing Costs - Lender</v>
      </c>
      <c r="I38" s="98"/>
      <c r="J38" s="98"/>
      <c r="K38" s="98"/>
      <c r="L38" s="183">
        <f>E29</f>
        <v>2660</v>
      </c>
    </row>
    <row r="39" spans="1:12" ht="13.5" customHeight="1" x14ac:dyDescent="0.25">
      <c r="A39" s="116"/>
      <c r="B39" s="98" t="str">
        <f>DataEntry!B39</f>
        <v/>
      </c>
      <c r="C39" s="98"/>
      <c r="D39" s="99" t="str">
        <f>DataEntry!D39</f>
        <v>Condo Certification</v>
      </c>
      <c r="E39" s="117">
        <f>DataEntry!E39</f>
        <v>0</v>
      </c>
      <c r="F39" s="144"/>
      <c r="G39" s="121"/>
      <c r="H39" s="99" t="str">
        <f>DataEntry!H39</f>
        <v>Closing Costs - Other</v>
      </c>
      <c r="I39" s="98"/>
      <c r="J39" s="98"/>
      <c r="K39" s="98"/>
      <c r="L39" s="183">
        <f>E44</f>
        <v>1259.3367999999998</v>
      </c>
    </row>
    <row r="40" spans="1:12" ht="13.5" customHeight="1" x14ac:dyDescent="0.25">
      <c r="A40" s="116"/>
      <c r="B40" s="98">
        <f>DataEntry!B40</f>
        <v>1302</v>
      </c>
      <c r="C40" s="98"/>
      <c r="D40" s="99" t="str">
        <f>DataEntry!D40</f>
        <v>2nd lien charges</v>
      </c>
      <c r="E40" s="117">
        <f>DataEntry!E40</f>
        <v>0</v>
      </c>
      <c r="F40" s="144"/>
      <c r="G40" s="121"/>
      <c r="H40" s="99" t="str">
        <f>DataEntry!H40</f>
        <v>Prepaids</v>
      </c>
      <c r="I40" s="98"/>
      <c r="J40" s="98"/>
      <c r="K40" s="98"/>
      <c r="L40" s="183">
        <f>L22</f>
        <v>4660.4668949771694</v>
      </c>
    </row>
    <row r="41" spans="1:12" ht="13.5" customHeight="1" thickBot="1" x14ac:dyDescent="0.3">
      <c r="A41" s="116"/>
      <c r="B41" s="98" t="str">
        <f>DataEntry!B41</f>
        <v/>
      </c>
      <c r="C41" s="98"/>
      <c r="D41" s="99" t="str">
        <f>DataEntry!D41</f>
        <v>HOA Transfer fee</v>
      </c>
      <c r="E41" s="117">
        <f>DataEntry!E41</f>
        <v>0</v>
      </c>
      <c r="F41" s="144"/>
      <c r="G41" s="121"/>
      <c r="H41" s="99" t="str">
        <f>DataEntry!H41</f>
        <v>Subtotal</v>
      </c>
      <c r="I41" s="98"/>
      <c r="J41" s="98"/>
      <c r="K41" s="98"/>
      <c r="L41" s="184">
        <f>SUM(L37:L40)</f>
        <v>169679.80369497716</v>
      </c>
    </row>
    <row r="42" spans="1:12" ht="13.5" customHeight="1" thickTop="1" x14ac:dyDescent="0.25">
      <c r="A42" s="116"/>
      <c r="B42" s="98" t="str">
        <f>DataEntry!B42</f>
        <v/>
      </c>
      <c r="C42" s="98"/>
      <c r="D42" s="99" t="str">
        <f>DataEntry!D42</f>
        <v xml:space="preserve"> </v>
      </c>
      <c r="E42" s="117" t="str">
        <f>DataEntry!E42</f>
        <v/>
      </c>
      <c r="F42" s="144"/>
      <c r="G42" s="121"/>
      <c r="H42" s="99"/>
      <c r="I42" s="98"/>
      <c r="J42" s="98"/>
      <c r="K42" s="98"/>
      <c r="L42" s="185" t="s">
        <v>2</v>
      </c>
    </row>
    <row r="43" spans="1:12" ht="13.5" customHeight="1" x14ac:dyDescent="0.25">
      <c r="A43" s="116"/>
      <c r="B43" s="98"/>
      <c r="C43" s="98"/>
      <c r="D43" s="98"/>
      <c r="E43" s="145"/>
      <c r="F43" s="144"/>
      <c r="G43" s="121"/>
      <c r="H43" s="99" t="str">
        <f>DataEntry!H43</f>
        <v>less new loan amount</v>
      </c>
      <c r="I43" s="98"/>
      <c r="J43" s="98"/>
      <c r="K43" s="98"/>
      <c r="L43" s="171">
        <f>-H9</f>
        <v>-166500</v>
      </c>
    </row>
    <row r="44" spans="1:12" ht="13.5" customHeight="1" thickBot="1" x14ac:dyDescent="0.3">
      <c r="A44" s="116"/>
      <c r="B44" s="99"/>
      <c r="C44" s="98"/>
      <c r="D44" s="122" t="s">
        <v>68</v>
      </c>
      <c r="E44" s="173">
        <f>SUM(E31:E43)</f>
        <v>1259.3367999999998</v>
      </c>
      <c r="F44" s="144"/>
      <c r="G44" s="121"/>
      <c r="H44" s="99" t="str">
        <f>DataEntry!H44</f>
        <v>Closing Cost Deposit</v>
      </c>
      <c r="I44" s="98"/>
      <c r="J44" s="98"/>
      <c r="K44" s="98"/>
      <c r="L44" s="176">
        <f>DataEntry!L44</f>
        <v>-375</v>
      </c>
    </row>
    <row r="45" spans="1:12" ht="13.5" customHeight="1" thickTop="1" thickBot="1" x14ac:dyDescent="0.3">
      <c r="A45" s="116"/>
      <c r="B45" s="128"/>
      <c r="C45" s="128"/>
      <c r="D45" s="128"/>
      <c r="E45" s="128"/>
      <c r="F45" s="146"/>
      <c r="G45" s="121"/>
      <c r="H45" s="99" t="str">
        <f>DataEntry!H45</f>
        <v xml:space="preserve">less lender credit </v>
      </c>
      <c r="I45" s="98"/>
      <c r="J45" s="98"/>
      <c r="K45" s="98"/>
      <c r="L45" s="171" t="str">
        <f>DataEntry!L45</f>
        <v>tbd</v>
      </c>
    </row>
    <row r="46" spans="1:12" ht="17.25" customHeight="1" thickBot="1" x14ac:dyDescent="0.3">
      <c r="A46" s="116"/>
      <c r="B46" s="128"/>
      <c r="C46" s="128"/>
      <c r="D46" s="128" t="s">
        <v>2</v>
      </c>
      <c r="E46" s="147" t="s">
        <v>2</v>
      </c>
      <c r="F46" s="146"/>
      <c r="G46" s="121"/>
      <c r="H46"/>
      <c r="I46" s="219"/>
      <c r="J46" s="219"/>
      <c r="K46" s="220" t="str">
        <f>IF(L46&lt;0,"Cash Due to Owner at Closing =","Cash Due to Mortgage Company at Closing =")</f>
        <v>Cash Due to Mortgage Company at Closing =</v>
      </c>
      <c r="L46" s="205">
        <f>SUM(L41:L45)</f>
        <v>2804.8036949771631</v>
      </c>
    </row>
    <row r="47" spans="1:12" ht="12.95" customHeight="1" thickBot="1" x14ac:dyDescent="0.3">
      <c r="A47" s="148"/>
      <c r="B47" s="149"/>
      <c r="C47" s="149"/>
      <c r="D47" s="149" t="s">
        <v>2</v>
      </c>
      <c r="E47" s="149"/>
      <c r="F47" s="149"/>
      <c r="G47" s="54" t="s">
        <v>94</v>
      </c>
      <c r="H47" s="55"/>
      <c r="I47" s="53"/>
      <c r="J47" s="53"/>
      <c r="K47" s="53"/>
      <c r="L47" s="56"/>
    </row>
    <row r="48" spans="1:12" ht="2.1" customHeight="1" x14ac:dyDescent="0.25">
      <c r="A48" s="150"/>
      <c r="B48" s="150"/>
      <c r="C48" s="150"/>
      <c r="D48" s="150"/>
      <c r="E48" s="150"/>
      <c r="F48" s="150"/>
      <c r="G48" s="150"/>
      <c r="H48" s="151"/>
      <c r="I48" s="150"/>
      <c r="J48" s="150"/>
      <c r="K48" s="150"/>
      <c r="L48" s="152"/>
    </row>
    <row r="49" spans="1:12" ht="60" customHeight="1" x14ac:dyDescent="0.25">
      <c r="A49" s="153" t="s">
        <v>2</v>
      </c>
      <c r="B49" s="153"/>
      <c r="C49" s="268" t="s">
        <v>65</v>
      </c>
      <c r="D49" s="268"/>
      <c r="E49" s="268"/>
      <c r="F49" s="268"/>
      <c r="G49" s="268"/>
      <c r="H49" s="268"/>
      <c r="I49" s="268"/>
      <c r="J49" s="268"/>
      <c r="K49" s="268"/>
      <c r="L49" s="153"/>
    </row>
    <row r="50" spans="1:12" ht="45" customHeight="1" x14ac:dyDescent="0.25">
      <c r="A50" s="153" t="s">
        <v>2</v>
      </c>
      <c r="B50" s="153"/>
      <c r="C50" s="268" t="s">
        <v>66</v>
      </c>
      <c r="D50" s="268"/>
      <c r="E50" s="268"/>
      <c r="F50" s="268"/>
      <c r="G50" s="268"/>
      <c r="H50" s="268"/>
      <c r="I50" s="268"/>
      <c r="J50" s="268"/>
      <c r="K50" s="268"/>
      <c r="L50" s="153"/>
    </row>
    <row r="51" spans="1:12" ht="12" customHeight="1" x14ac:dyDescent="0.25"/>
    <row r="52" spans="1:12" x14ac:dyDescent="0.25">
      <c r="A52" s="84" t="s">
        <v>58</v>
      </c>
      <c r="D52" s="86"/>
      <c r="E52" s="86"/>
      <c r="F52" s="86"/>
      <c r="G52" s="86"/>
      <c r="H52" s="86"/>
      <c r="I52" s="86"/>
      <c r="J52" s="87" t="s">
        <v>59</v>
      </c>
      <c r="K52" s="86"/>
      <c r="L52" s="86"/>
    </row>
    <row r="53" spans="1:12" ht="14.25" customHeight="1" x14ac:dyDescent="0.25"/>
    <row r="54" spans="1:12" x14ac:dyDescent="0.25">
      <c r="A54" s="84" t="s">
        <v>60</v>
      </c>
      <c r="D54" s="86"/>
      <c r="E54" s="86"/>
      <c r="F54" s="86"/>
      <c r="G54" s="86"/>
      <c r="H54" s="86"/>
      <c r="I54" s="86"/>
      <c r="J54" s="87" t="s">
        <v>59</v>
      </c>
      <c r="K54" s="86"/>
      <c r="L54" s="86"/>
    </row>
    <row r="55" spans="1:12" ht="9.75" customHeight="1" x14ac:dyDescent="0.25"/>
    <row r="56" spans="1:12" x14ac:dyDescent="0.25">
      <c r="A56" s="269" t="str">
        <f>DataEntry!$A$52</f>
        <v>Estimate provided by Linda Rhoden.  Phone# 713-802-6025</v>
      </c>
      <c r="B56" s="269"/>
      <c r="C56" s="269"/>
      <c r="D56" s="269"/>
      <c r="E56" s="269"/>
      <c r="F56" s="269"/>
      <c r="G56" s="269"/>
      <c r="H56" s="269"/>
      <c r="I56" s="269"/>
      <c r="J56" s="269"/>
      <c r="K56" s="269"/>
      <c r="L56" s="269"/>
    </row>
    <row r="57" spans="1:12" x14ac:dyDescent="0.25">
      <c r="A57" s="269" t="str">
        <f>DataEntry!$A$53</f>
        <v>888-852-7645 ext. 6025 Toll free / 713-802-6035 Fax</v>
      </c>
      <c r="B57" s="269"/>
      <c r="C57" s="269"/>
      <c r="D57" s="269"/>
      <c r="E57" s="269"/>
      <c r="F57" s="269"/>
      <c r="G57" s="269"/>
      <c r="H57" s="269"/>
      <c r="I57" s="269"/>
      <c r="J57" s="269"/>
      <c r="K57" s="269"/>
      <c r="L57" s="269"/>
    </row>
  </sheetData>
  <mergeCells count="4">
    <mergeCell ref="A56:L56"/>
    <mergeCell ref="A57:L57"/>
    <mergeCell ref="C49:K49"/>
    <mergeCell ref="C50:K50"/>
  </mergeCells>
  <phoneticPr fontId="0" type="noConversion"/>
  <printOptions horizontalCentered="1" gridLinesSet="0"/>
  <pageMargins left="0.35" right="0.17" top="0.5" bottom="0.28999999999999998" header="0.5" footer="0.5"/>
  <pageSetup scale="84"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pageSetUpPr fitToPage="1"/>
  </sheetPr>
  <dimension ref="A1:O57"/>
  <sheetViews>
    <sheetView showGridLines="0" zoomScale="75" zoomScaleNormal="75" workbookViewId="0">
      <selection activeCell="H11" sqref="H11"/>
    </sheetView>
  </sheetViews>
  <sheetFormatPr defaultColWidth="9.77734375" defaultRowHeight="15.75" x14ac:dyDescent="0.25"/>
  <cols>
    <col min="1" max="1" width="1.77734375" style="85" customWidth="1"/>
    <col min="2" max="2" width="6.77734375" style="85" customWidth="1"/>
    <col min="3" max="3" width="4.6640625" style="85" customWidth="1"/>
    <col min="4" max="4" width="12.77734375" style="85" customWidth="1"/>
    <col min="5" max="5" width="7.77734375" style="85" customWidth="1"/>
    <col min="6" max="7" width="4.77734375" style="85" customWidth="1"/>
    <col min="8" max="8" width="9.77734375" style="85"/>
    <col min="9" max="9" width="6.21875" style="85" customWidth="1"/>
    <col min="10" max="10" width="7.88671875" style="85" customWidth="1"/>
    <col min="11" max="11" width="9.5546875" style="85" customWidth="1"/>
    <col min="12" max="12" width="9.109375" style="85" customWidth="1"/>
    <col min="13" max="16384" width="9.77734375" style="3"/>
  </cols>
  <sheetData>
    <row r="1" spans="1:14" ht="22.5" x14ac:dyDescent="0.3">
      <c r="A1" s="82" t="s">
        <v>62</v>
      </c>
      <c r="B1" s="83"/>
      <c r="C1" s="83"/>
      <c r="D1" s="83"/>
      <c r="E1" s="83"/>
      <c r="F1" s="83"/>
      <c r="G1" s="83"/>
      <c r="H1" s="83"/>
      <c r="I1" s="83"/>
      <c r="J1" s="83"/>
      <c r="K1" s="83"/>
      <c r="L1" s="83"/>
    </row>
    <row r="2" spans="1:14" ht="18.75" customHeight="1" x14ac:dyDescent="0.3">
      <c r="A2" s="82" t="s">
        <v>0</v>
      </c>
      <c r="B2" s="83"/>
      <c r="C2" s="83"/>
      <c r="D2" s="83"/>
      <c r="E2" s="83"/>
      <c r="F2" s="83"/>
      <c r="G2" s="83"/>
      <c r="H2" s="83"/>
      <c r="I2" s="83"/>
      <c r="J2" s="83"/>
      <c r="K2" s="83"/>
      <c r="L2" s="83"/>
    </row>
    <row r="3" spans="1:14" ht="18.75" customHeight="1" x14ac:dyDescent="0.3">
      <c r="A3" s="82"/>
      <c r="B3" s="83"/>
      <c r="C3" s="83"/>
      <c r="D3" s="83"/>
      <c r="E3" s="83"/>
      <c r="F3" s="83"/>
      <c r="G3" s="83"/>
      <c r="H3" s="83"/>
      <c r="I3" s="83"/>
      <c r="J3" s="83"/>
      <c r="K3" s="83"/>
      <c r="L3" s="83"/>
    </row>
    <row r="4" spans="1:14" x14ac:dyDescent="0.25">
      <c r="A4" s="84" t="s">
        <v>1</v>
      </c>
      <c r="C4" s="86"/>
      <c r="D4" s="86" t="str">
        <f>DataEntry!$D$4</f>
        <v>Paul Thomas refi</v>
      </c>
      <c r="E4" s="86"/>
      <c r="F4" s="86"/>
      <c r="G4" s="87"/>
      <c r="H4" s="86"/>
      <c r="I4" s="86"/>
      <c r="J4" s="86" t="s">
        <v>3</v>
      </c>
      <c r="K4" s="88">
        <f>DataEntry!$K$4</f>
        <v>37133</v>
      </c>
      <c r="L4" s="86" t="s">
        <v>2</v>
      </c>
    </row>
    <row r="5" spans="1:14" x14ac:dyDescent="0.25">
      <c r="A5" s="84" t="s">
        <v>4</v>
      </c>
      <c r="C5" s="86"/>
      <c r="D5" s="86"/>
      <c r="E5" s="89" t="s">
        <v>111</v>
      </c>
      <c r="F5" s="90">
        <f>DataEntry!$F$5</f>
        <v>30</v>
      </c>
      <c r="G5" s="91" t="s">
        <v>108</v>
      </c>
      <c r="H5" s="92"/>
      <c r="I5" s="92"/>
      <c r="J5" s="92"/>
      <c r="K5" s="92"/>
      <c r="L5" s="86"/>
    </row>
    <row r="6" spans="1:14" ht="16.5" customHeight="1" thickBot="1" x14ac:dyDescent="0.3">
      <c r="B6" s="93"/>
      <c r="C6" s="93"/>
      <c r="D6" s="156"/>
      <c r="E6" s="157" t="s">
        <v>63</v>
      </c>
      <c r="F6" s="178">
        <f>DataEntry!$O$11</f>
        <v>1</v>
      </c>
      <c r="G6" s="93"/>
      <c r="H6" s="93" t="s">
        <v>115</v>
      </c>
    </row>
    <row r="7" spans="1:14" x14ac:dyDescent="0.25">
      <c r="A7" s="94" t="s">
        <v>5</v>
      </c>
      <c r="B7" s="95"/>
      <c r="C7" s="95"/>
      <c r="D7" s="158"/>
      <c r="E7" s="158"/>
      <c r="F7" s="158"/>
      <c r="G7" s="95"/>
      <c r="H7" s="95"/>
      <c r="I7" s="95"/>
      <c r="J7" s="95"/>
      <c r="K7" s="95"/>
      <c r="L7" s="96"/>
    </row>
    <row r="8" spans="1:14" x14ac:dyDescent="0.25">
      <c r="A8" s="97" t="str">
        <f>DataEntry!A8</f>
        <v>Type of Loan, 1st:</v>
      </c>
      <c r="B8" s="98"/>
      <c r="C8" s="98"/>
      <c r="D8" s="159">
        <f>DataEntry!D8</f>
        <v>30</v>
      </c>
      <c r="E8" s="160" t="str">
        <f>DataEntry!E8</f>
        <v>year fixed</v>
      </c>
      <c r="F8" s="161"/>
      <c r="G8" s="100"/>
      <c r="H8" s="101">
        <f>DataEntry!H8</f>
        <v>185000</v>
      </c>
      <c r="I8" s="102" t="str">
        <f>DataEntry!I8</f>
        <v>Estimated Value of Home</v>
      </c>
      <c r="J8" s="98"/>
      <c r="K8" s="98"/>
      <c r="L8" s="103"/>
    </row>
    <row r="9" spans="1:14" x14ac:dyDescent="0.25">
      <c r="A9" s="97" t="str">
        <f>DataEntry!A9</f>
        <v>Loan Term - 1st</v>
      </c>
      <c r="B9" s="98"/>
      <c r="C9" s="98"/>
      <c r="D9" s="162">
        <f>DataEntry!D9</f>
        <v>360</v>
      </c>
      <c r="E9" s="161" t="s">
        <v>2</v>
      </c>
      <c r="F9" s="163" t="s">
        <v>2</v>
      </c>
      <c r="G9" s="100"/>
      <c r="H9" s="262">
        <f>0.8*H8</f>
        <v>148000</v>
      </c>
      <c r="I9" s="102" t="str">
        <f>DataEntry!I9</f>
        <v xml:space="preserve">New first loan amount </v>
      </c>
      <c r="J9" s="98"/>
      <c r="K9" s="98"/>
      <c r="L9" s="103"/>
    </row>
    <row r="10" spans="1:14" x14ac:dyDescent="0.25">
      <c r="A10" s="97" t="str">
        <f>DataEntry!A10</f>
        <v>Loan Term - 2nd</v>
      </c>
      <c r="B10" s="98"/>
      <c r="C10" s="98"/>
      <c r="D10" s="159">
        <v>180</v>
      </c>
      <c r="E10" s="161"/>
      <c r="F10" s="163" t="s">
        <v>2</v>
      </c>
      <c r="G10" s="100"/>
      <c r="H10" s="267">
        <v>17200</v>
      </c>
      <c r="I10" s="102" t="str">
        <f>DataEntry!I10</f>
        <v>Second Loan Amount</v>
      </c>
      <c r="J10" s="98"/>
      <c r="K10" s="98"/>
      <c r="L10" s="103"/>
    </row>
    <row r="11" spans="1:14" x14ac:dyDescent="0.25">
      <c r="A11" s="97" t="str">
        <f>DataEntry!A11</f>
        <v>Note Rate:</v>
      </c>
      <c r="B11" s="98"/>
      <c r="C11" s="98"/>
      <c r="D11" s="175">
        <f>DataEntry!$P$11</f>
        <v>6.6250000000000003E-2</v>
      </c>
      <c r="E11" s="161" t="str">
        <f>DataEntry!E11</f>
        <v>current 30 day lock</v>
      </c>
      <c r="F11" s="161"/>
      <c r="G11" s="100"/>
      <c r="H11" s="105">
        <f>(H9+H10)/H8</f>
        <v>0.89297297297297296</v>
      </c>
      <c r="I11" s="102" t="str">
        <f>DataEntry!I11</f>
        <v>Total LTV</v>
      </c>
      <c r="J11" s="98"/>
      <c r="K11" s="266" t="str">
        <f>IF(H11&gt;0.901,"TO HIGH!"," ")</f>
        <v xml:space="preserve"> </v>
      </c>
      <c r="L11" s="265" t="str">
        <f>IF(H11&lt;0.801,"TOO LOW!"," ")</f>
        <v xml:space="preserve"> </v>
      </c>
    </row>
    <row r="12" spans="1:14" x14ac:dyDescent="0.25">
      <c r="A12" s="97" t="str">
        <f>DataEntry!A12</f>
        <v>2nd Lien Rate</v>
      </c>
      <c r="B12" s="98"/>
      <c r="C12" s="98"/>
      <c r="D12" s="106">
        <v>8.9899999999999994E-2</v>
      </c>
      <c r="E12" s="98"/>
      <c r="F12" s="98"/>
      <c r="G12" s="100"/>
      <c r="H12" s="261">
        <f>DataEntry!H12</f>
        <v>37165</v>
      </c>
      <c r="I12" s="102" t="str">
        <f>DataEntry!I12</f>
        <v>Closing Date</v>
      </c>
      <c r="J12" s="98"/>
      <c r="K12" s="98"/>
      <c r="L12" s="103"/>
    </row>
    <row r="13" spans="1:14" x14ac:dyDescent="0.25">
      <c r="A13" s="97" t="str">
        <f>DataEntry!A13</f>
        <v>Hazard Ins yr:</v>
      </c>
      <c r="B13" s="98"/>
      <c r="C13" s="98"/>
      <c r="D13" s="107">
        <f>DataEntry!D13</f>
        <v>900</v>
      </c>
      <c r="E13" s="98" t="str">
        <f>DataEntry!E13</f>
        <v xml:space="preserve">Estimate </v>
      </c>
      <c r="F13" s="98"/>
      <c r="G13" s="100"/>
      <c r="H13" s="261">
        <f>DataEntry!H13</f>
        <v>37168</v>
      </c>
      <c r="I13" s="102" t="str">
        <f>DataEntry!I13</f>
        <v>Funding Date (3 days after closing)</v>
      </c>
      <c r="J13" s="98"/>
      <c r="K13" s="98"/>
      <c r="L13" s="103"/>
      <c r="M13"/>
      <c r="N13"/>
    </row>
    <row r="14" spans="1:14" x14ac:dyDescent="0.25">
      <c r="A14" s="97" t="str">
        <f>DataEntry!A14</f>
        <v>Taxes yr:</v>
      </c>
      <c r="B14" s="98"/>
      <c r="C14" s="98"/>
      <c r="D14" s="107">
        <f>DataEntry!D14</f>
        <v>4625</v>
      </c>
      <c r="E14" s="98" t="str">
        <f>DataEntry!E14</f>
        <v>Estimate @ 2.5%</v>
      </c>
      <c r="F14" s="98"/>
      <c r="G14" s="100"/>
      <c r="H14" s="106" t="str">
        <f>DataEntry!H14</f>
        <v>rate/term refi</v>
      </c>
      <c r="I14" s="102" t="str">
        <f>DataEntry!I14</f>
        <v>Transaction Type</v>
      </c>
      <c r="J14" s="98"/>
      <c r="K14" s="98"/>
      <c r="L14" s="103"/>
      <c r="M14"/>
      <c r="N14"/>
    </row>
    <row r="15" spans="1:14" ht="9" customHeight="1" x14ac:dyDescent="0.25">
      <c r="A15" s="108" t="s">
        <v>2</v>
      </c>
      <c r="B15" s="86"/>
      <c r="C15" s="86"/>
      <c r="D15" s="86"/>
      <c r="E15" s="86"/>
      <c r="F15" s="86"/>
      <c r="G15" s="86"/>
      <c r="H15" s="86"/>
      <c r="I15" s="86"/>
      <c r="J15" s="86"/>
      <c r="K15" s="86"/>
      <c r="L15" s="109"/>
      <c r="M15"/>
      <c r="N15"/>
    </row>
    <row r="16" spans="1:14" ht="15" customHeight="1" x14ac:dyDescent="0.25">
      <c r="A16" s="110" t="s">
        <v>17</v>
      </c>
      <c r="B16" s="111"/>
      <c r="C16" s="111"/>
      <c r="D16" s="111"/>
      <c r="E16" s="112"/>
      <c r="F16" s="113"/>
      <c r="G16" s="114" t="s">
        <v>18</v>
      </c>
      <c r="H16" s="111"/>
      <c r="I16" s="111"/>
      <c r="J16" s="111"/>
      <c r="K16" s="111"/>
      <c r="L16" s="115"/>
      <c r="M16"/>
      <c r="N16"/>
    </row>
    <row r="17" spans="1:15" ht="13.5" customHeight="1" x14ac:dyDescent="0.25">
      <c r="A17" s="116"/>
      <c r="B17" s="98">
        <f>DataEntry!B17</f>
        <v>801</v>
      </c>
      <c r="C17" s="177">
        <f>F6</f>
        <v>1</v>
      </c>
      <c r="D17" s="99" t="str">
        <f>DataEntry!D17</f>
        <v>total loan points</v>
      </c>
      <c r="E17" s="117">
        <f>C17*H9/100</f>
        <v>1480</v>
      </c>
      <c r="F17" s="118"/>
      <c r="G17" s="119">
        <f>DataEntry!G17</f>
        <v>4</v>
      </c>
      <c r="H17" s="99" t="str">
        <f>DataEntry!H17</f>
        <v>Days of Interim Interest</v>
      </c>
      <c r="I17" s="98"/>
      <c r="J17" s="172">
        <f>$H$9*$D$11/365</f>
        <v>26.863013698630137</v>
      </c>
      <c r="K17" s="99" t="s">
        <v>20</v>
      </c>
      <c r="L17" s="183">
        <f>J17*G17</f>
        <v>107.45205479452055</v>
      </c>
      <c r="M17"/>
      <c r="N17"/>
    </row>
    <row r="18" spans="1:15" ht="13.5" customHeight="1" x14ac:dyDescent="0.25">
      <c r="A18" s="116"/>
      <c r="B18" s="98">
        <f>DataEntry!B18</f>
        <v>802</v>
      </c>
      <c r="C18" s="120">
        <v>0.25</v>
      </c>
      <c r="D18" s="99" t="str">
        <f>DataEntry!D18</f>
        <v>escrow waiver fee</v>
      </c>
      <c r="E18" s="117">
        <f>C18*H9/100</f>
        <v>370</v>
      </c>
      <c r="F18" s="118"/>
      <c r="G18" s="119">
        <v>0</v>
      </c>
      <c r="H18" s="99" t="str">
        <f>DataEntry!H18</f>
        <v>Est Mo Taxes*</v>
      </c>
      <c r="I18" s="98"/>
      <c r="J18" s="172">
        <f>D14/12</f>
        <v>385.41666666666669</v>
      </c>
      <c r="K18" s="99" t="s">
        <v>22</v>
      </c>
      <c r="L18" s="183">
        <f>G18*J18</f>
        <v>0</v>
      </c>
      <c r="M18"/>
      <c r="N18"/>
      <c r="O18" s="7"/>
    </row>
    <row r="19" spans="1:15" ht="13.5" customHeight="1" x14ac:dyDescent="0.25">
      <c r="A19" s="116"/>
      <c r="B19" s="98">
        <f>DataEntry!B19</f>
        <v>803</v>
      </c>
      <c r="C19" s="98"/>
      <c r="D19" s="99" t="str">
        <f>DataEntry!D19</f>
        <v xml:space="preserve">Appraisal </v>
      </c>
      <c r="E19" s="117">
        <f>DataEntry!E19</f>
        <v>325</v>
      </c>
      <c r="F19" s="118"/>
      <c r="G19" s="119">
        <v>0</v>
      </c>
      <c r="H19" s="99" t="str">
        <f>DataEntry!H19</f>
        <v>Est Mo Hazard Ins*</v>
      </c>
      <c r="I19" s="98"/>
      <c r="J19" s="172">
        <f>D13/12</f>
        <v>75</v>
      </c>
      <c r="K19" s="99" t="s">
        <v>22</v>
      </c>
      <c r="L19" s="183">
        <f>G19*J19</f>
        <v>0</v>
      </c>
      <c r="M19" t="s">
        <v>2</v>
      </c>
      <c r="N19"/>
    </row>
    <row r="20" spans="1:15" ht="13.5" customHeight="1" x14ac:dyDescent="0.25">
      <c r="A20" s="116"/>
      <c r="B20" s="98">
        <f>DataEntry!B20</f>
        <v>804</v>
      </c>
      <c r="C20" s="98"/>
      <c r="D20" s="99" t="str">
        <f>DataEntry!D20</f>
        <v>Credit Report</v>
      </c>
      <c r="E20" s="117">
        <f>DataEntry!E20</f>
        <v>50</v>
      </c>
      <c r="F20" s="118"/>
      <c r="G20" s="119">
        <v>0</v>
      </c>
      <c r="H20" s="99" t="str">
        <f>DataEntry!H20</f>
        <v>Mo Mortgage Insurance</v>
      </c>
      <c r="I20" s="98"/>
      <c r="J20" s="172">
        <v>0</v>
      </c>
      <c r="K20" s="99" t="s">
        <v>22</v>
      </c>
      <c r="L20" s="183">
        <f>G20*J20</f>
        <v>0</v>
      </c>
    </row>
    <row r="21" spans="1:15" ht="13.5" customHeight="1" x14ac:dyDescent="0.25">
      <c r="A21" s="116"/>
      <c r="B21" s="98">
        <f>DataEntry!B21</f>
        <v>805</v>
      </c>
      <c r="C21" s="98"/>
      <c r="D21" s="99" t="str">
        <f>DataEntry!D21</f>
        <v>Application Fee</v>
      </c>
      <c r="E21" s="117">
        <f>DataEntry!E21</f>
        <v>0</v>
      </c>
      <c r="F21" s="118"/>
      <c r="G21" s="119">
        <v>0</v>
      </c>
      <c r="H21" s="99" t="str">
        <f>DataEntry!H21</f>
        <v>HOA fee</v>
      </c>
      <c r="I21" s="98"/>
      <c r="J21" s="172">
        <v>0</v>
      </c>
      <c r="K21" s="99" t="s">
        <v>22</v>
      </c>
      <c r="L21" s="183">
        <f>G21*J21</f>
        <v>0</v>
      </c>
    </row>
    <row r="22" spans="1:15" ht="13.5" customHeight="1" thickBot="1" x14ac:dyDescent="0.3">
      <c r="A22" s="116"/>
      <c r="B22" s="98">
        <f>DataEntry!B22</f>
        <v>828</v>
      </c>
      <c r="C22" s="98"/>
      <c r="D22" s="99" t="str">
        <f>DataEntry!D22</f>
        <v>Underwriting</v>
      </c>
      <c r="E22" s="117">
        <f>DataEntry!E22</f>
        <v>250</v>
      </c>
      <c r="F22" s="118"/>
      <c r="G22" s="121"/>
      <c r="H22" s="99" t="s">
        <v>2</v>
      </c>
      <c r="I22" s="98"/>
      <c r="J22" s="98"/>
      <c r="K22" s="122" t="s">
        <v>69</v>
      </c>
      <c r="L22" s="184">
        <f>SUM(L17:L21)</f>
        <v>107.45205479452055</v>
      </c>
    </row>
    <row r="23" spans="1:15" ht="13.5" customHeight="1" thickTop="1" x14ac:dyDescent="0.25">
      <c r="A23" s="116"/>
      <c r="B23" s="98">
        <f>DataEntry!B23</f>
        <v>809</v>
      </c>
      <c r="C23" s="98"/>
      <c r="D23" s="99" t="str">
        <f>DataEntry!D23</f>
        <v>Wire/Funding</v>
      </c>
      <c r="E23" s="117">
        <f>DataEntry!E23</f>
        <v>0</v>
      </c>
      <c r="F23" s="118"/>
      <c r="G23" s="20" t="s">
        <v>93</v>
      </c>
      <c r="H23" s="123"/>
      <c r="I23" s="123"/>
      <c r="J23" s="123"/>
      <c r="K23" s="123"/>
      <c r="L23" s="186"/>
    </row>
    <row r="24" spans="1:15" ht="15" customHeight="1" x14ac:dyDescent="0.25">
      <c r="A24" s="116"/>
      <c r="B24" s="98">
        <f>DataEntry!B24</f>
        <v>810</v>
      </c>
      <c r="C24" s="98"/>
      <c r="D24" s="99" t="str">
        <f>DataEntry!D24</f>
        <v>Tax Service</v>
      </c>
      <c r="E24" s="117">
        <f>DataEntry!E24</f>
        <v>110</v>
      </c>
      <c r="F24" s="118" t="s">
        <v>2</v>
      </c>
      <c r="G24" s="114" t="s">
        <v>30</v>
      </c>
      <c r="H24" s="125"/>
      <c r="I24" s="125"/>
      <c r="J24" s="125"/>
      <c r="K24" s="125"/>
      <c r="L24" s="187"/>
    </row>
    <row r="25" spans="1:15" ht="13.5" customHeight="1" x14ac:dyDescent="0.25">
      <c r="A25" s="116"/>
      <c r="B25" s="98">
        <f>DataEntry!B25</f>
        <v>823</v>
      </c>
      <c r="C25" s="98"/>
      <c r="D25" s="99" t="str">
        <f>DataEntry!D25</f>
        <v>Flood Cert</v>
      </c>
      <c r="E25" s="117">
        <f>DataEntry!E25</f>
        <v>35</v>
      </c>
      <c r="F25" s="118" t="s">
        <v>2</v>
      </c>
      <c r="G25" s="127"/>
      <c r="H25" s="128"/>
      <c r="I25" s="128"/>
      <c r="J25" s="128"/>
      <c r="K25" s="128"/>
      <c r="L25" s="188"/>
    </row>
    <row r="26" spans="1:15" ht="13.5" customHeight="1" x14ac:dyDescent="0.25">
      <c r="A26" s="116"/>
      <c r="B26" s="98">
        <f>DataEntry!B26</f>
        <v>827</v>
      </c>
      <c r="C26" s="98"/>
      <c r="D26" s="99" t="str">
        <f>DataEntry!D26</f>
        <v>Doc Prep Ancillary</v>
      </c>
      <c r="E26" s="117">
        <f>DataEntry!E26</f>
        <v>0</v>
      </c>
      <c r="F26" s="118"/>
      <c r="G26" s="121"/>
      <c r="H26" s="99" t="str">
        <f>DataEntry!H26</f>
        <v xml:space="preserve">Principal &amp; Interest at </v>
      </c>
      <c r="I26" s="98"/>
      <c r="J26" s="130">
        <f>D11</f>
        <v>6.6250000000000003E-2</v>
      </c>
      <c r="K26" s="98"/>
      <c r="L26" s="183">
        <f>PMT(D11/12,D9,-H9)</f>
        <v>947.66022239117399</v>
      </c>
      <c r="M26" s="3" t="s">
        <v>2</v>
      </c>
    </row>
    <row r="27" spans="1:15" ht="13.5" customHeight="1" x14ac:dyDescent="0.25">
      <c r="A27" s="116"/>
      <c r="B27" s="98">
        <f>DataEntry!B27</f>
        <v>1113</v>
      </c>
      <c r="C27" s="98"/>
      <c r="D27" s="99" t="str">
        <f>DataEntry!D27</f>
        <v xml:space="preserve">Delivery </v>
      </c>
      <c r="E27" s="117">
        <f>DataEntry!E27</f>
        <v>50</v>
      </c>
      <c r="F27" s="118"/>
      <c r="G27" s="121"/>
      <c r="H27" s="99" t="str">
        <f>DataEntry!H27</f>
        <v>Taxes</v>
      </c>
      <c r="I27" s="98" t="s">
        <v>2</v>
      </c>
      <c r="J27" s="131"/>
      <c r="K27" s="98"/>
      <c r="L27" s="183">
        <v>0</v>
      </c>
    </row>
    <row r="28" spans="1:15" ht="13.5" customHeight="1" x14ac:dyDescent="0.25">
      <c r="A28" s="116"/>
      <c r="B28" s="98">
        <f>DataEntry!B28</f>
        <v>816</v>
      </c>
      <c r="C28" s="98" t="s">
        <v>2</v>
      </c>
      <c r="D28" s="99" t="str">
        <f>DataEntry!D28</f>
        <v>Processing</v>
      </c>
      <c r="E28" s="117">
        <f>DataEntry!E28</f>
        <v>175</v>
      </c>
      <c r="F28" s="118"/>
      <c r="G28" s="121"/>
      <c r="H28" s="99" t="str">
        <f>DataEntry!H28</f>
        <v>Homeowners Insurance</v>
      </c>
      <c r="I28" s="98"/>
      <c r="J28" s="98"/>
      <c r="K28" s="98"/>
      <c r="L28" s="183">
        <v>0</v>
      </c>
    </row>
    <row r="29" spans="1:15" ht="13.5" customHeight="1" thickBot="1" x14ac:dyDescent="0.3">
      <c r="A29" s="116"/>
      <c r="B29" s="98"/>
      <c r="C29" s="98" t="s">
        <v>2</v>
      </c>
      <c r="D29" s="122" t="s">
        <v>67</v>
      </c>
      <c r="E29" s="174">
        <f>SUM(E17:E28)</f>
        <v>2845</v>
      </c>
      <c r="F29" s="118"/>
      <c r="G29" s="121"/>
      <c r="H29" s="99" t="str">
        <f>DataEntry!H29</f>
        <v>2nd Lien Principal &amp; Interest</v>
      </c>
      <c r="I29" s="98"/>
      <c r="J29" s="98"/>
      <c r="K29" s="98"/>
      <c r="L29" s="183">
        <f>PMT(D12/12,180,-H10)</f>
        <v>174.35154795398998</v>
      </c>
    </row>
    <row r="30" spans="1:15" ht="15" customHeight="1" thickTop="1" x14ac:dyDescent="0.25">
      <c r="A30" s="132" t="s">
        <v>39</v>
      </c>
      <c r="B30" s="133"/>
      <c r="C30" s="133"/>
      <c r="D30" s="134"/>
      <c r="E30" s="135"/>
      <c r="F30" s="136"/>
      <c r="G30" s="121"/>
      <c r="H30" s="99" t="str">
        <f>DataEntry!H30</f>
        <v>Mortgage Insurance</v>
      </c>
      <c r="I30" s="98"/>
      <c r="J30" s="98"/>
      <c r="K30" s="98"/>
      <c r="L30" s="183">
        <f>J20</f>
        <v>0</v>
      </c>
    </row>
    <row r="31" spans="1:15" ht="13.5" customHeight="1" x14ac:dyDescent="0.25">
      <c r="A31" s="116"/>
      <c r="B31" s="98">
        <f>DataEntry!B31</f>
        <v>1109</v>
      </c>
      <c r="C31" s="98"/>
      <c r="D31" s="99" t="str">
        <f>DataEntry!D31</f>
        <v>Lenders Title Policy</v>
      </c>
      <c r="E31" s="264">
        <f>IF($H$9&lt;100000,(($H$9-100000)*0.00805)+992-$O$14,(($H$9-100000)*0.00628)+992-DataEntry!O14)</f>
        <v>743.15679999999998</v>
      </c>
      <c r="F31" s="118" t="s">
        <v>2</v>
      </c>
      <c r="G31" s="121"/>
      <c r="H31" s="99" t="str">
        <f>DataEntry!H31</f>
        <v>Condo/HOA fee</v>
      </c>
      <c r="I31" s="98"/>
      <c r="J31" s="98"/>
      <c r="K31" s="98"/>
      <c r="L31" s="183">
        <f>J21</f>
        <v>0</v>
      </c>
    </row>
    <row r="32" spans="1:15" ht="13.5" customHeight="1" x14ac:dyDescent="0.25">
      <c r="A32" s="116"/>
      <c r="B32" s="98">
        <f>DataEntry!B32</f>
        <v>1110</v>
      </c>
      <c r="C32" s="98"/>
      <c r="D32" s="99" t="s">
        <v>116</v>
      </c>
      <c r="E32" s="264">
        <f>IF($H$10&lt;100000,(($H$10-100000)*0.00805)+992,(($H$10-100000)*0.00628)+992)</f>
        <v>325.46000000000004</v>
      </c>
      <c r="F32" s="118" t="s">
        <v>2</v>
      </c>
      <c r="G32" s="121"/>
      <c r="H32" s="99" t="s">
        <v>2</v>
      </c>
      <c r="I32" s="98"/>
      <c r="J32" s="98"/>
      <c r="K32" s="98"/>
      <c r="L32" s="189"/>
    </row>
    <row r="33" spans="1:12" ht="13.5" customHeight="1" x14ac:dyDescent="0.25">
      <c r="A33" s="116"/>
      <c r="B33" s="98">
        <f>DataEntry!B33</f>
        <v>1112</v>
      </c>
      <c r="C33" s="98"/>
      <c r="D33" s="99" t="str">
        <f>DataEntry!D33</f>
        <v>Settlement</v>
      </c>
      <c r="E33" s="117">
        <f>DataEntry!E33</f>
        <v>125</v>
      </c>
      <c r="F33" s="118"/>
      <c r="G33" s="121"/>
      <c r="H33" s="98" t="s">
        <v>2</v>
      </c>
      <c r="I33" s="98"/>
      <c r="J33" s="98"/>
      <c r="K33" s="98"/>
      <c r="L33" s="190"/>
    </row>
    <row r="34" spans="1:12" ht="13.5" customHeight="1" thickBot="1" x14ac:dyDescent="0.3">
      <c r="A34" s="116"/>
      <c r="B34" s="98">
        <f>DataEntry!B34</f>
        <v>1113</v>
      </c>
      <c r="C34" s="98"/>
      <c r="D34" s="99" t="str">
        <f>DataEntry!D34</f>
        <v xml:space="preserve">Delivery </v>
      </c>
      <c r="E34" s="117">
        <f>DataEntry!E34</f>
        <v>50</v>
      </c>
      <c r="F34" s="140"/>
      <c r="G34" s="121"/>
      <c r="H34" s="99" t="s">
        <v>2</v>
      </c>
      <c r="I34" s="98"/>
      <c r="J34" s="98"/>
      <c r="K34" s="122" t="s">
        <v>70</v>
      </c>
      <c r="L34" s="184">
        <f>SUM(L26:L32)</f>
        <v>1122.011770345164</v>
      </c>
    </row>
    <row r="35" spans="1:12" ht="13.5" customHeight="1" thickTop="1" x14ac:dyDescent="0.25">
      <c r="A35" s="116"/>
      <c r="B35" s="98">
        <f>DataEntry!B35</f>
        <v>1201</v>
      </c>
      <c r="C35" s="98"/>
      <c r="D35" s="99" t="str">
        <f>DataEntry!D35</f>
        <v>Recording</v>
      </c>
      <c r="E35" s="117">
        <f>DataEntry!E35</f>
        <v>75</v>
      </c>
      <c r="F35" s="118"/>
      <c r="G35" s="141"/>
      <c r="H35" s="100"/>
      <c r="I35" s="100"/>
      <c r="J35" s="100"/>
      <c r="K35" s="100"/>
      <c r="L35" s="191"/>
    </row>
    <row r="36" spans="1:12" ht="15" customHeight="1" x14ac:dyDescent="0.25">
      <c r="A36" s="116"/>
      <c r="B36" s="98">
        <f>DataEntry!B36</f>
        <v>1204</v>
      </c>
      <c r="C36" s="98"/>
      <c r="D36" s="99" t="str">
        <f>DataEntry!D36</f>
        <v>Tax Certificates</v>
      </c>
      <c r="E36" s="117">
        <f>DataEntry!E36</f>
        <v>0</v>
      </c>
      <c r="F36" s="118"/>
      <c r="G36" s="114" t="s">
        <v>47</v>
      </c>
      <c r="H36" s="125"/>
      <c r="I36" s="125"/>
      <c r="J36" s="125"/>
      <c r="K36" s="125"/>
      <c r="L36" s="192"/>
    </row>
    <row r="37" spans="1:12" ht="13.5" customHeight="1" x14ac:dyDescent="0.25">
      <c r="A37" s="116"/>
      <c r="B37" s="98">
        <f>DataEntry!B37</f>
        <v>1301</v>
      </c>
      <c r="C37" s="98"/>
      <c r="D37" s="99" t="str">
        <f>DataEntry!D37</f>
        <v>Survey</v>
      </c>
      <c r="E37" s="117" t="str">
        <f>DataEntry!E37</f>
        <v>use current?</v>
      </c>
      <c r="F37" s="118"/>
      <c r="G37" s="121"/>
      <c r="H37" s="99" t="str">
        <f>DataEntry!H37</f>
        <v>Payoff existing loan(s)</v>
      </c>
      <c r="I37" s="98"/>
      <c r="J37" s="98"/>
      <c r="K37" s="98"/>
      <c r="L37" s="183">
        <f>DataEntry!L37</f>
        <v>161100</v>
      </c>
    </row>
    <row r="38" spans="1:12" ht="13.5" customHeight="1" x14ac:dyDescent="0.25">
      <c r="A38" s="116"/>
      <c r="B38" s="98" t="str">
        <f>DataEntry!B38</f>
        <v/>
      </c>
      <c r="C38" s="98"/>
      <c r="D38" s="99" t="str">
        <f>DataEntry!D38</f>
        <v>Attorney</v>
      </c>
      <c r="E38" s="117">
        <f>DataEntry!E38</f>
        <v>150</v>
      </c>
      <c r="F38" s="118"/>
      <c r="G38" s="121"/>
      <c r="H38" s="99" t="str">
        <f>DataEntry!H38</f>
        <v>Closing Costs - Lender</v>
      </c>
      <c r="I38" s="98"/>
      <c r="J38" s="98"/>
      <c r="K38" s="98"/>
      <c r="L38" s="183">
        <f>E29</f>
        <v>2845</v>
      </c>
    </row>
    <row r="39" spans="1:12" ht="13.5" customHeight="1" x14ac:dyDescent="0.25">
      <c r="A39" s="116"/>
      <c r="B39" s="98" t="str">
        <f>DataEntry!B39</f>
        <v/>
      </c>
      <c r="C39" s="98"/>
      <c r="D39" s="99" t="str">
        <f>DataEntry!D39</f>
        <v>Condo Certification</v>
      </c>
      <c r="E39" s="117">
        <f>DataEntry!E39</f>
        <v>0</v>
      </c>
      <c r="F39" s="144"/>
      <c r="G39" s="121"/>
      <c r="H39" s="99" t="str">
        <f>DataEntry!H39</f>
        <v>Closing Costs - Other</v>
      </c>
      <c r="I39" s="98"/>
      <c r="J39" s="98"/>
      <c r="K39" s="98"/>
      <c r="L39" s="183">
        <f>E44</f>
        <v>1468.6168</v>
      </c>
    </row>
    <row r="40" spans="1:12" ht="13.5" customHeight="1" x14ac:dyDescent="0.25">
      <c r="A40" s="116"/>
      <c r="B40" s="98">
        <f>DataEntry!B40</f>
        <v>1302</v>
      </c>
      <c r="C40" s="98"/>
      <c r="D40" s="99" t="str">
        <f>DataEntry!D40</f>
        <v>2nd lien charges</v>
      </c>
      <c r="E40" s="117">
        <f>DataEntry!E40</f>
        <v>0</v>
      </c>
      <c r="F40" s="144"/>
      <c r="G40" s="121"/>
      <c r="H40" s="99" t="str">
        <f>DataEntry!H40</f>
        <v>Prepaids</v>
      </c>
      <c r="I40" s="98"/>
      <c r="J40" s="98"/>
      <c r="K40" s="98"/>
      <c r="L40" s="183">
        <f>L22</f>
        <v>107.45205479452055</v>
      </c>
    </row>
    <row r="41" spans="1:12" ht="13.5" customHeight="1" thickBot="1" x14ac:dyDescent="0.3">
      <c r="A41" s="116"/>
      <c r="B41" s="98" t="str">
        <f>DataEntry!B41</f>
        <v/>
      </c>
      <c r="C41" s="98"/>
      <c r="D41" s="99" t="str">
        <f>DataEntry!D41</f>
        <v>HOA Transfer fee</v>
      </c>
      <c r="E41" s="117">
        <f>DataEntry!E41</f>
        <v>0</v>
      </c>
      <c r="F41" s="144"/>
      <c r="G41" s="121"/>
      <c r="H41" s="99" t="str">
        <f>DataEntry!H41</f>
        <v>Subtotal</v>
      </c>
      <c r="I41" s="98"/>
      <c r="J41" s="98"/>
      <c r="K41" s="98"/>
      <c r="L41" s="184">
        <f>SUM(L37:L40)</f>
        <v>165521.06885479452</v>
      </c>
    </row>
    <row r="42" spans="1:12" ht="13.5" customHeight="1" thickTop="1" x14ac:dyDescent="0.25">
      <c r="A42" s="116"/>
      <c r="B42" s="98" t="str">
        <f>DataEntry!B42</f>
        <v/>
      </c>
      <c r="C42" s="98"/>
      <c r="D42" s="99" t="str">
        <f>DataEntry!D42</f>
        <v xml:space="preserve"> </v>
      </c>
      <c r="E42" s="117" t="str">
        <f>DataEntry!E42</f>
        <v/>
      </c>
      <c r="F42" s="144"/>
      <c r="G42" s="121"/>
      <c r="H42" s="99"/>
      <c r="I42" s="98"/>
      <c r="J42" s="98"/>
      <c r="K42" s="98"/>
      <c r="L42" s="185" t="s">
        <v>2</v>
      </c>
    </row>
    <row r="43" spans="1:12" ht="13.5" customHeight="1" x14ac:dyDescent="0.25">
      <c r="A43" s="116"/>
      <c r="B43" s="98"/>
      <c r="C43" s="98"/>
      <c r="D43" s="98"/>
      <c r="E43" s="145"/>
      <c r="F43" s="144"/>
      <c r="G43" s="121"/>
      <c r="H43" s="99" t="str">
        <f>DataEntry!H43</f>
        <v>less new loan amount</v>
      </c>
      <c r="I43" s="98"/>
      <c r="J43" s="98"/>
      <c r="K43" s="98"/>
      <c r="L43" s="171">
        <f>-H9-H10</f>
        <v>-165200</v>
      </c>
    </row>
    <row r="44" spans="1:12" ht="13.5" customHeight="1" thickBot="1" x14ac:dyDescent="0.3">
      <c r="A44" s="116"/>
      <c r="B44" s="99"/>
      <c r="C44" s="98"/>
      <c r="D44" s="122" t="s">
        <v>68</v>
      </c>
      <c r="E44" s="173">
        <f>SUM(E31:E43)</f>
        <v>1468.6168</v>
      </c>
      <c r="F44" s="144"/>
      <c r="G44" s="121"/>
      <c r="H44" s="99" t="str">
        <f>DataEntry!H44</f>
        <v>Closing Cost Deposit</v>
      </c>
      <c r="I44" s="98"/>
      <c r="J44" s="98"/>
      <c r="K44" s="98"/>
      <c r="L44" s="176">
        <f>DataEntry!L44</f>
        <v>-375</v>
      </c>
    </row>
    <row r="45" spans="1:12" ht="13.5" customHeight="1" thickTop="1" thickBot="1" x14ac:dyDescent="0.3">
      <c r="A45" s="116"/>
      <c r="B45" s="128"/>
      <c r="C45" s="128"/>
      <c r="D45" s="128"/>
      <c r="E45" s="128"/>
      <c r="F45" s="146"/>
      <c r="G45" s="121"/>
      <c r="H45" s="99" t="str">
        <f>DataEntry!H45</f>
        <v xml:space="preserve">less lender credit </v>
      </c>
      <c r="I45" s="98"/>
      <c r="J45" s="98"/>
      <c r="K45" s="98"/>
      <c r="L45" s="171" t="str">
        <f>DataEntry!L45</f>
        <v>tbd</v>
      </c>
    </row>
    <row r="46" spans="1:12" ht="17.25" customHeight="1" thickBot="1" x14ac:dyDescent="0.3">
      <c r="A46" s="116"/>
      <c r="B46" s="128"/>
      <c r="C46" s="128"/>
      <c r="D46" s="128" t="s">
        <v>2</v>
      </c>
      <c r="E46" s="147" t="s">
        <v>2</v>
      </c>
      <c r="F46" s="146"/>
      <c r="G46" s="121"/>
      <c r="H46"/>
      <c r="I46" s="219"/>
      <c r="J46" s="219"/>
      <c r="K46" s="220" t="str">
        <f>IF(L46&lt;0,"Cash Due to Owner at Closing =","Cash Due to Mortgage Company at Closing =")</f>
        <v>Cash Due to Owner at Closing =</v>
      </c>
      <c r="L46" s="205">
        <f>SUM(L41:L45)</f>
        <v>-53.931145205482608</v>
      </c>
    </row>
    <row r="47" spans="1:12" ht="12.95" customHeight="1" thickBot="1" x14ac:dyDescent="0.3">
      <c r="A47" s="148"/>
      <c r="B47" s="149"/>
      <c r="C47" s="149"/>
      <c r="D47" s="149" t="s">
        <v>2</v>
      </c>
      <c r="E47" s="149"/>
      <c r="F47" s="149"/>
      <c r="G47" s="54" t="s">
        <v>94</v>
      </c>
      <c r="H47" s="55"/>
      <c r="I47" s="53"/>
      <c r="J47" s="53"/>
      <c r="K47" s="53"/>
      <c r="L47" s="56"/>
    </row>
    <row r="48" spans="1:12" ht="2.1" customHeight="1" x14ac:dyDescent="0.25">
      <c r="A48" s="150"/>
      <c r="B48" s="150"/>
      <c r="C48" s="150"/>
      <c r="D48" s="150"/>
      <c r="E48" s="150"/>
      <c r="F48" s="150"/>
      <c r="G48" s="150"/>
      <c r="H48" s="151"/>
      <c r="I48" s="150"/>
      <c r="J48" s="150"/>
      <c r="K48" s="150"/>
      <c r="L48" s="152"/>
    </row>
    <row r="49" spans="1:12" ht="60" customHeight="1" x14ac:dyDescent="0.25">
      <c r="A49" s="153" t="s">
        <v>2</v>
      </c>
      <c r="B49" s="153"/>
      <c r="C49" s="268" t="s">
        <v>65</v>
      </c>
      <c r="D49" s="268"/>
      <c r="E49" s="268"/>
      <c r="F49" s="268"/>
      <c r="G49" s="268"/>
      <c r="H49" s="268"/>
      <c r="I49" s="268"/>
      <c r="J49" s="268"/>
      <c r="K49" s="268"/>
      <c r="L49" s="153"/>
    </row>
    <row r="50" spans="1:12" ht="45" customHeight="1" x14ac:dyDescent="0.25">
      <c r="A50" s="153" t="s">
        <v>2</v>
      </c>
      <c r="B50" s="153"/>
      <c r="C50" s="268" t="s">
        <v>66</v>
      </c>
      <c r="D50" s="268"/>
      <c r="E50" s="268"/>
      <c r="F50" s="268"/>
      <c r="G50" s="268"/>
      <c r="H50" s="268"/>
      <c r="I50" s="268"/>
      <c r="J50" s="268"/>
      <c r="K50" s="268"/>
      <c r="L50" s="153"/>
    </row>
    <row r="51" spans="1:12" ht="12" customHeight="1" x14ac:dyDescent="0.25"/>
    <row r="52" spans="1:12" x14ac:dyDescent="0.25">
      <c r="A52" s="84" t="s">
        <v>58</v>
      </c>
      <c r="D52" s="86"/>
      <c r="E52" s="86"/>
      <c r="F52" s="86"/>
      <c r="G52" s="86"/>
      <c r="H52" s="86"/>
      <c r="I52" s="86"/>
      <c r="J52" s="87" t="s">
        <v>59</v>
      </c>
      <c r="K52" s="86"/>
      <c r="L52" s="86"/>
    </row>
    <row r="53" spans="1:12" ht="14.25" customHeight="1" x14ac:dyDescent="0.25"/>
    <row r="54" spans="1:12" x14ac:dyDescent="0.25">
      <c r="A54" s="84" t="s">
        <v>60</v>
      </c>
      <c r="D54" s="86"/>
      <c r="E54" s="86"/>
      <c r="F54" s="86"/>
      <c r="G54" s="86"/>
      <c r="H54" s="86"/>
      <c r="I54" s="86"/>
      <c r="J54" s="87" t="s">
        <v>59</v>
      </c>
      <c r="K54" s="86"/>
      <c r="L54" s="86"/>
    </row>
    <row r="55" spans="1:12" ht="9.75" customHeight="1" x14ac:dyDescent="0.25"/>
    <row r="56" spans="1:12" x14ac:dyDescent="0.25">
      <c r="A56" s="269" t="str">
        <f>DataEntry!$A$52</f>
        <v>Estimate provided by Linda Rhoden.  Phone# 713-802-6025</v>
      </c>
      <c r="B56" s="269"/>
      <c r="C56" s="269"/>
      <c r="D56" s="269"/>
      <c r="E56" s="269"/>
      <c r="F56" s="269"/>
      <c r="G56" s="269"/>
      <c r="H56" s="269"/>
      <c r="I56" s="269"/>
      <c r="J56" s="269"/>
      <c r="K56" s="269"/>
      <c r="L56" s="269"/>
    </row>
    <row r="57" spans="1:12" x14ac:dyDescent="0.25">
      <c r="A57" s="269" t="str">
        <f>DataEntry!$A$53</f>
        <v>888-852-7645 ext. 6025 Toll free / 713-802-6035 Fax</v>
      </c>
      <c r="B57" s="269"/>
      <c r="C57" s="269"/>
      <c r="D57" s="269"/>
      <c r="E57" s="269"/>
      <c r="F57" s="269"/>
      <c r="G57" s="269"/>
      <c r="H57" s="269"/>
      <c r="I57" s="269"/>
      <c r="J57" s="269"/>
      <c r="K57" s="269"/>
      <c r="L57" s="269"/>
    </row>
  </sheetData>
  <mergeCells count="4">
    <mergeCell ref="A56:L56"/>
    <mergeCell ref="A57:L57"/>
    <mergeCell ref="C49:K49"/>
    <mergeCell ref="C50:K50"/>
  </mergeCells>
  <phoneticPr fontId="0" type="noConversion"/>
  <printOptions horizontalCentered="1" gridLinesSet="0"/>
  <pageMargins left="0.35" right="0.17" top="0.5" bottom="0.28999999999999998" header="0.5" footer="0.5"/>
  <pageSetup scale="84"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pageSetUpPr fitToPage="1"/>
  </sheetPr>
  <dimension ref="A1:O57"/>
  <sheetViews>
    <sheetView showGridLines="0" topLeftCell="A19" zoomScale="75" zoomScaleNormal="75" workbookViewId="0">
      <selection activeCell="E31" sqref="E31"/>
    </sheetView>
  </sheetViews>
  <sheetFormatPr defaultColWidth="9.77734375" defaultRowHeight="15.75" x14ac:dyDescent="0.25"/>
  <cols>
    <col min="1" max="1" width="1.77734375" style="85" customWidth="1"/>
    <col min="2" max="2" width="6.77734375" style="85" customWidth="1"/>
    <col min="3" max="3" width="4.6640625" style="85" customWidth="1"/>
    <col min="4" max="4" width="12.77734375" style="85" customWidth="1"/>
    <col min="5" max="5" width="7.77734375" style="85" customWidth="1"/>
    <col min="6" max="7" width="4.77734375" style="85" customWidth="1"/>
    <col min="8" max="8" width="9.77734375" style="85"/>
    <col min="9" max="9" width="6.21875" style="85" customWidth="1"/>
    <col min="10" max="10" width="7.88671875" style="85" customWidth="1"/>
    <col min="11" max="11" width="9.5546875" style="85" customWidth="1"/>
    <col min="12" max="12" width="9.109375" style="85" customWidth="1"/>
    <col min="13" max="16384" width="9.77734375" style="3"/>
  </cols>
  <sheetData>
    <row r="1" spans="1:14" ht="22.5" x14ac:dyDescent="0.3">
      <c r="A1" s="82" t="s">
        <v>62</v>
      </c>
      <c r="B1" s="83"/>
      <c r="C1" s="83"/>
      <c r="D1" s="83"/>
      <c r="E1" s="83"/>
      <c r="F1" s="83"/>
      <c r="G1" s="83"/>
      <c r="H1" s="83"/>
      <c r="I1" s="83"/>
      <c r="J1" s="83"/>
      <c r="K1" s="83"/>
      <c r="L1" s="83"/>
    </row>
    <row r="2" spans="1:14" ht="18.75" customHeight="1" x14ac:dyDescent="0.3">
      <c r="A2" s="82" t="s">
        <v>0</v>
      </c>
      <c r="B2" s="83"/>
      <c r="C2" s="83"/>
      <c r="D2" s="83"/>
      <c r="E2" s="83"/>
      <c r="F2" s="83"/>
      <c r="G2" s="83"/>
      <c r="H2" s="83"/>
      <c r="I2" s="83"/>
      <c r="J2" s="83"/>
      <c r="K2" s="83"/>
      <c r="L2" s="83"/>
    </row>
    <row r="3" spans="1:14" ht="18.75" customHeight="1" x14ac:dyDescent="0.3">
      <c r="A3" s="82"/>
      <c r="B3" s="83"/>
      <c r="C3" s="83"/>
      <c r="D3" s="83"/>
      <c r="E3" s="83"/>
      <c r="F3" s="83"/>
      <c r="G3" s="83"/>
      <c r="H3" s="83"/>
      <c r="I3" s="83"/>
      <c r="J3" s="83"/>
      <c r="K3" s="83"/>
      <c r="L3" s="83"/>
    </row>
    <row r="4" spans="1:14" x14ac:dyDescent="0.25">
      <c r="A4" s="84" t="s">
        <v>1</v>
      </c>
      <c r="C4" s="86"/>
      <c r="D4" s="86" t="str">
        <f>DataEntry!$D$4</f>
        <v>Paul Thomas refi</v>
      </c>
      <c r="E4" s="86"/>
      <c r="F4" s="86"/>
      <c r="G4" s="87"/>
      <c r="H4" s="86"/>
      <c r="I4" s="86"/>
      <c r="J4" s="86" t="s">
        <v>3</v>
      </c>
      <c r="K4" s="88">
        <f>DataEntry!$K$4</f>
        <v>37133</v>
      </c>
      <c r="L4" s="86" t="s">
        <v>2</v>
      </c>
    </row>
    <row r="5" spans="1:14" x14ac:dyDescent="0.25">
      <c r="A5" s="84" t="s">
        <v>4</v>
      </c>
      <c r="C5" s="86"/>
      <c r="D5" s="86"/>
      <c r="E5" s="89" t="s">
        <v>112</v>
      </c>
      <c r="F5" s="90">
        <f>DataEntry!$F$5</f>
        <v>30</v>
      </c>
      <c r="G5" s="91" t="s">
        <v>117</v>
      </c>
      <c r="H5" s="92"/>
      <c r="I5" s="92"/>
      <c r="J5" s="92"/>
      <c r="K5" s="92"/>
      <c r="L5" s="86"/>
    </row>
    <row r="6" spans="1:14" ht="16.5" customHeight="1" thickBot="1" x14ac:dyDescent="0.3">
      <c r="B6" s="93"/>
      <c r="C6" s="93"/>
      <c r="D6" s="156"/>
      <c r="E6" s="157" t="s">
        <v>63</v>
      </c>
      <c r="F6" s="178">
        <f>DataEntry!$O$9</f>
        <v>0</v>
      </c>
      <c r="G6" s="93"/>
      <c r="H6" s="93" t="s">
        <v>115</v>
      </c>
    </row>
    <row r="7" spans="1:14" x14ac:dyDescent="0.25">
      <c r="A7" s="94" t="s">
        <v>5</v>
      </c>
      <c r="B7" s="95"/>
      <c r="C7" s="95"/>
      <c r="D7" s="158"/>
      <c r="E7" s="158"/>
      <c r="F7" s="158"/>
      <c r="G7" s="95"/>
      <c r="H7" s="95"/>
      <c r="I7" s="95"/>
      <c r="J7" s="95"/>
      <c r="K7" s="95"/>
      <c r="L7" s="96"/>
    </row>
    <row r="8" spans="1:14" x14ac:dyDescent="0.25">
      <c r="A8" s="97" t="str">
        <f>DataEntry!A8</f>
        <v>Type of Loan, 1st:</v>
      </c>
      <c r="B8" s="98"/>
      <c r="C8" s="98"/>
      <c r="D8" s="159">
        <f>DataEntry!D8</f>
        <v>30</v>
      </c>
      <c r="E8" s="160" t="str">
        <f>DataEntry!E8</f>
        <v>year fixed</v>
      </c>
      <c r="F8" s="161"/>
      <c r="G8" s="100"/>
      <c r="H8" s="101">
        <f>DataEntry!H8</f>
        <v>185000</v>
      </c>
      <c r="I8" s="102" t="str">
        <f>DataEntry!I8</f>
        <v>Estimated Value of Home</v>
      </c>
      <c r="J8" s="98"/>
      <c r="K8" s="98"/>
      <c r="L8" s="103"/>
    </row>
    <row r="9" spans="1:14" x14ac:dyDescent="0.25">
      <c r="A9" s="97" t="str">
        <f>DataEntry!A9</f>
        <v>Loan Term - 1st</v>
      </c>
      <c r="B9" s="98"/>
      <c r="C9" s="98"/>
      <c r="D9" s="162">
        <f>DataEntry!D9</f>
        <v>360</v>
      </c>
      <c r="E9" s="161" t="s">
        <v>2</v>
      </c>
      <c r="F9" s="163" t="s">
        <v>2</v>
      </c>
      <c r="G9" s="100"/>
      <c r="H9" s="262">
        <f>0.8*H8</f>
        <v>148000</v>
      </c>
      <c r="I9" s="102" t="str">
        <f>DataEntry!I9</f>
        <v xml:space="preserve">New first loan amount </v>
      </c>
      <c r="J9" s="98"/>
      <c r="K9" s="98"/>
      <c r="L9" s="103"/>
    </row>
    <row r="10" spans="1:14" x14ac:dyDescent="0.25">
      <c r="A10" s="97" t="str">
        <f>DataEntry!A10</f>
        <v>Loan Term - 2nd</v>
      </c>
      <c r="B10" s="98"/>
      <c r="C10" s="98"/>
      <c r="D10" s="159">
        <v>180</v>
      </c>
      <c r="E10" s="161"/>
      <c r="F10" s="163" t="s">
        <v>2</v>
      </c>
      <c r="G10" s="100"/>
      <c r="H10" s="262">
        <f>L37-H9</f>
        <v>13100</v>
      </c>
      <c r="I10" s="102" t="str">
        <f>DataEntry!I10</f>
        <v>Second Loan Amount</v>
      </c>
      <c r="J10" s="98"/>
      <c r="K10" s="98"/>
      <c r="L10" s="103"/>
    </row>
    <row r="11" spans="1:14" x14ac:dyDescent="0.25">
      <c r="A11" s="97" t="str">
        <f>DataEntry!A11</f>
        <v>Note Rate:</v>
      </c>
      <c r="B11" s="98"/>
      <c r="C11" s="98"/>
      <c r="D11" s="175">
        <f>DataEntry!$P$9</f>
        <v>6.7500000000000004E-2</v>
      </c>
      <c r="E11" s="161" t="str">
        <f>DataEntry!E11</f>
        <v>current 30 day lock</v>
      </c>
      <c r="F11" s="161"/>
      <c r="G11" s="100"/>
      <c r="H11" s="105">
        <f>(H9+H10)/H8</f>
        <v>0.8708108108108108</v>
      </c>
      <c r="I11" s="102" t="str">
        <f>DataEntry!I11</f>
        <v>Total LTV</v>
      </c>
      <c r="J11" s="98"/>
      <c r="K11" s="98"/>
      <c r="L11" s="103"/>
    </row>
    <row r="12" spans="1:14" x14ac:dyDescent="0.25">
      <c r="A12" s="97" t="str">
        <f>DataEntry!A12</f>
        <v>2nd Lien Rate</v>
      </c>
      <c r="B12" s="98"/>
      <c r="C12" s="98"/>
      <c r="D12" s="106">
        <v>8.9899999999999994E-2</v>
      </c>
      <c r="E12" s="98"/>
      <c r="F12" s="98"/>
      <c r="G12" s="100"/>
      <c r="H12" s="261">
        <f>DataEntry!H12</f>
        <v>37165</v>
      </c>
      <c r="I12" s="102" t="str">
        <f>DataEntry!I12</f>
        <v>Closing Date</v>
      </c>
      <c r="J12" s="98"/>
      <c r="K12" s="98"/>
      <c r="L12" s="103"/>
    </row>
    <row r="13" spans="1:14" x14ac:dyDescent="0.25">
      <c r="A13" s="97" t="str">
        <f>DataEntry!A13</f>
        <v>Hazard Ins yr:</v>
      </c>
      <c r="B13" s="98"/>
      <c r="C13" s="98"/>
      <c r="D13" s="107">
        <f>DataEntry!D13</f>
        <v>900</v>
      </c>
      <c r="E13" s="98" t="str">
        <f>DataEntry!E13</f>
        <v xml:space="preserve">Estimate </v>
      </c>
      <c r="F13" s="98"/>
      <c r="G13" s="100"/>
      <c r="H13" s="261">
        <f>DataEntry!H13</f>
        <v>37168</v>
      </c>
      <c r="I13" s="102" t="str">
        <f>DataEntry!I13</f>
        <v>Funding Date (3 days after closing)</v>
      </c>
      <c r="J13" s="98"/>
      <c r="K13" s="98"/>
      <c r="L13" s="103"/>
      <c r="M13"/>
      <c r="N13"/>
    </row>
    <row r="14" spans="1:14" x14ac:dyDescent="0.25">
      <c r="A14" s="97" t="str">
        <f>DataEntry!A14</f>
        <v>Taxes yr:</v>
      </c>
      <c r="B14" s="98"/>
      <c r="C14" s="98"/>
      <c r="D14" s="107">
        <f>DataEntry!D14</f>
        <v>4625</v>
      </c>
      <c r="E14" s="98" t="str">
        <f>DataEntry!E14</f>
        <v>Estimate @ 2.5%</v>
      </c>
      <c r="F14" s="98"/>
      <c r="G14" s="100"/>
      <c r="H14" s="106" t="str">
        <f>DataEntry!H14</f>
        <v>rate/term refi</v>
      </c>
      <c r="I14" s="102" t="str">
        <f>DataEntry!I14</f>
        <v>Transaction Type</v>
      </c>
      <c r="J14" s="98"/>
      <c r="K14" s="98"/>
      <c r="L14" s="103"/>
      <c r="M14"/>
      <c r="N14"/>
    </row>
    <row r="15" spans="1:14" ht="9" customHeight="1" x14ac:dyDescent="0.25">
      <c r="A15" s="108" t="s">
        <v>2</v>
      </c>
      <c r="B15" s="86"/>
      <c r="C15" s="86"/>
      <c r="D15" s="86"/>
      <c r="E15" s="86"/>
      <c r="F15" s="86"/>
      <c r="G15" s="86"/>
      <c r="H15" s="86"/>
      <c r="I15" s="86"/>
      <c r="J15" s="86"/>
      <c r="K15" s="86"/>
      <c r="L15" s="109"/>
      <c r="M15"/>
      <c r="N15"/>
    </row>
    <row r="16" spans="1:14" ht="15" customHeight="1" x14ac:dyDescent="0.25">
      <c r="A16" s="110" t="s">
        <v>17</v>
      </c>
      <c r="B16" s="111"/>
      <c r="C16" s="111"/>
      <c r="D16" s="111"/>
      <c r="E16" s="112"/>
      <c r="F16" s="113"/>
      <c r="G16" s="114" t="s">
        <v>18</v>
      </c>
      <c r="H16" s="111"/>
      <c r="I16" s="111"/>
      <c r="J16" s="111"/>
      <c r="K16" s="111"/>
      <c r="L16" s="115"/>
      <c r="M16"/>
      <c r="N16" t="s">
        <v>2</v>
      </c>
    </row>
    <row r="17" spans="1:15" ht="13.5" customHeight="1" x14ac:dyDescent="0.25">
      <c r="A17" s="116"/>
      <c r="B17" s="98">
        <f>DataEntry!B17</f>
        <v>801</v>
      </c>
      <c r="C17" s="177">
        <f>F6</f>
        <v>0</v>
      </c>
      <c r="D17" s="99" t="str">
        <f>DataEntry!D17</f>
        <v>total loan points</v>
      </c>
      <c r="E17" s="117">
        <f>C17*H9/100</f>
        <v>0</v>
      </c>
      <c r="F17" s="118"/>
      <c r="G17" s="119">
        <f>DataEntry!G17</f>
        <v>4</v>
      </c>
      <c r="H17" s="99" t="str">
        <f>DataEntry!H17</f>
        <v>Days of Interim Interest</v>
      </c>
      <c r="I17" s="98"/>
      <c r="J17" s="172">
        <f>$H$9*$D$11/365</f>
        <v>27.36986301369863</v>
      </c>
      <c r="K17" s="99" t="s">
        <v>20</v>
      </c>
      <c r="L17" s="183">
        <f>J17*G17</f>
        <v>109.47945205479452</v>
      </c>
      <c r="M17"/>
      <c r="N17"/>
    </row>
    <row r="18" spans="1:15" ht="13.5" customHeight="1" x14ac:dyDescent="0.25">
      <c r="A18" s="116"/>
      <c r="B18" s="98">
        <f>DataEntry!B18</f>
        <v>802</v>
      </c>
      <c r="C18" s="120">
        <v>0.25</v>
      </c>
      <c r="D18" s="99" t="str">
        <f>DataEntry!D18</f>
        <v>escrow waiver fee</v>
      </c>
      <c r="E18" s="117">
        <f>C18*H9/100</f>
        <v>370</v>
      </c>
      <c r="F18" s="118"/>
      <c r="G18" s="119">
        <v>0</v>
      </c>
      <c r="H18" s="99" t="str">
        <f>DataEntry!H18</f>
        <v>Est Mo Taxes*</v>
      </c>
      <c r="I18" s="98"/>
      <c r="J18" s="172">
        <f>D14/12</f>
        <v>385.41666666666669</v>
      </c>
      <c r="K18" s="99" t="s">
        <v>22</v>
      </c>
      <c r="L18" s="183">
        <f>G18*J18</f>
        <v>0</v>
      </c>
      <c r="M18"/>
      <c r="N18"/>
      <c r="O18" s="7"/>
    </row>
    <row r="19" spans="1:15" ht="13.5" customHeight="1" x14ac:dyDescent="0.25">
      <c r="A19" s="116"/>
      <c r="B19" s="98">
        <f>DataEntry!B19</f>
        <v>803</v>
      </c>
      <c r="C19" s="98"/>
      <c r="D19" s="99" t="str">
        <f>DataEntry!D19</f>
        <v xml:space="preserve">Appraisal </v>
      </c>
      <c r="E19" s="117">
        <f>DataEntry!E19</f>
        <v>325</v>
      </c>
      <c r="F19" s="118"/>
      <c r="G19" s="119">
        <v>0</v>
      </c>
      <c r="H19" s="99" t="str">
        <f>DataEntry!H19</f>
        <v>Est Mo Hazard Ins*</v>
      </c>
      <c r="I19" s="98"/>
      <c r="J19" s="172">
        <f>D13/12</f>
        <v>75</v>
      </c>
      <c r="K19" s="99" t="s">
        <v>22</v>
      </c>
      <c r="L19" s="183">
        <f>G19*J19</f>
        <v>0</v>
      </c>
      <c r="M19" t="s">
        <v>2</v>
      </c>
      <c r="N19"/>
    </row>
    <row r="20" spans="1:15" ht="13.5" customHeight="1" x14ac:dyDescent="0.25">
      <c r="A20" s="116"/>
      <c r="B20" s="98">
        <f>DataEntry!B20</f>
        <v>804</v>
      </c>
      <c r="C20" s="98"/>
      <c r="D20" s="99" t="str">
        <f>DataEntry!D20</f>
        <v>Credit Report</v>
      </c>
      <c r="E20" s="117">
        <f>DataEntry!E20</f>
        <v>50</v>
      </c>
      <c r="F20" s="118"/>
      <c r="G20" s="119">
        <v>0</v>
      </c>
      <c r="H20" s="99" t="str">
        <f>DataEntry!H20</f>
        <v>Mo Mortgage Insurance</v>
      </c>
      <c r="I20" s="98"/>
      <c r="J20" s="172">
        <v>0</v>
      </c>
      <c r="K20" s="99" t="s">
        <v>22</v>
      </c>
      <c r="L20" s="183">
        <f>G20*J20</f>
        <v>0</v>
      </c>
    </row>
    <row r="21" spans="1:15" ht="13.5" customHeight="1" x14ac:dyDescent="0.25">
      <c r="A21" s="116"/>
      <c r="B21" s="98">
        <f>DataEntry!B21</f>
        <v>805</v>
      </c>
      <c r="C21" s="98"/>
      <c r="D21" s="99" t="str">
        <f>DataEntry!D21</f>
        <v>Application Fee</v>
      </c>
      <c r="E21" s="117">
        <f>DataEntry!E21</f>
        <v>0</v>
      </c>
      <c r="F21" s="118"/>
      <c r="G21" s="119">
        <v>0</v>
      </c>
      <c r="H21" s="99" t="str">
        <f>DataEntry!H21</f>
        <v>HOA fee</v>
      </c>
      <c r="I21" s="98"/>
      <c r="J21" s="172">
        <v>0</v>
      </c>
      <c r="K21" s="99" t="s">
        <v>22</v>
      </c>
      <c r="L21" s="183">
        <f>G21*J21</f>
        <v>0</v>
      </c>
    </row>
    <row r="22" spans="1:15" ht="13.5" customHeight="1" thickBot="1" x14ac:dyDescent="0.3">
      <c r="A22" s="116"/>
      <c r="B22" s="98">
        <f>DataEntry!B22</f>
        <v>828</v>
      </c>
      <c r="C22" s="98"/>
      <c r="D22" s="99" t="str">
        <f>DataEntry!D22</f>
        <v>Underwriting</v>
      </c>
      <c r="E22" s="117">
        <f>DataEntry!E22</f>
        <v>250</v>
      </c>
      <c r="F22" s="118"/>
      <c r="G22" s="121"/>
      <c r="H22" s="99" t="s">
        <v>2</v>
      </c>
      <c r="I22" s="98"/>
      <c r="J22" s="98"/>
      <c r="K22" s="122" t="s">
        <v>69</v>
      </c>
      <c r="L22" s="184">
        <f>SUM(L17:L21)</f>
        <v>109.47945205479452</v>
      </c>
    </row>
    <row r="23" spans="1:15" ht="13.5" customHeight="1" thickTop="1" x14ac:dyDescent="0.25">
      <c r="A23" s="116"/>
      <c r="B23" s="98">
        <f>DataEntry!B23</f>
        <v>809</v>
      </c>
      <c r="C23" s="98"/>
      <c r="D23" s="99" t="str">
        <f>DataEntry!D23</f>
        <v>Wire/Funding</v>
      </c>
      <c r="E23" s="117">
        <f>DataEntry!E23</f>
        <v>0</v>
      </c>
      <c r="F23" s="118"/>
      <c r="G23" s="20" t="s">
        <v>93</v>
      </c>
      <c r="H23" s="123"/>
      <c r="I23" s="123"/>
      <c r="J23" s="123"/>
      <c r="K23" s="123"/>
      <c r="L23" s="186"/>
    </row>
    <row r="24" spans="1:15" ht="15" customHeight="1" x14ac:dyDescent="0.25">
      <c r="A24" s="116"/>
      <c r="B24" s="98">
        <f>DataEntry!B24</f>
        <v>810</v>
      </c>
      <c r="C24" s="98"/>
      <c r="D24" s="99" t="str">
        <f>DataEntry!D24</f>
        <v>Tax Service</v>
      </c>
      <c r="E24" s="117">
        <f>DataEntry!E24</f>
        <v>110</v>
      </c>
      <c r="F24" s="118" t="s">
        <v>2</v>
      </c>
      <c r="G24" s="114" t="s">
        <v>30</v>
      </c>
      <c r="H24" s="125"/>
      <c r="I24" s="125"/>
      <c r="J24" s="125"/>
      <c r="K24" s="125"/>
      <c r="L24" s="187"/>
    </row>
    <row r="25" spans="1:15" ht="13.5" customHeight="1" x14ac:dyDescent="0.25">
      <c r="A25" s="116"/>
      <c r="B25" s="98">
        <f>DataEntry!B25</f>
        <v>823</v>
      </c>
      <c r="C25" s="98"/>
      <c r="D25" s="99" t="str">
        <f>DataEntry!D25</f>
        <v>Flood Cert</v>
      </c>
      <c r="E25" s="117">
        <f>DataEntry!E25</f>
        <v>35</v>
      </c>
      <c r="F25" s="118" t="s">
        <v>2</v>
      </c>
      <c r="G25" s="127"/>
      <c r="H25" s="128"/>
      <c r="I25" s="128"/>
      <c r="J25" s="128"/>
      <c r="K25" s="128"/>
      <c r="L25" s="188"/>
    </row>
    <row r="26" spans="1:15" ht="13.5" customHeight="1" x14ac:dyDescent="0.25">
      <c r="A26" s="116"/>
      <c r="B26" s="98">
        <f>DataEntry!B26</f>
        <v>827</v>
      </c>
      <c r="C26" s="98"/>
      <c r="D26" s="99" t="str">
        <f>DataEntry!D26</f>
        <v>Doc Prep Ancillary</v>
      </c>
      <c r="E26" s="117">
        <f>DataEntry!E26</f>
        <v>0</v>
      </c>
      <c r="F26" s="118"/>
      <c r="G26" s="121"/>
      <c r="H26" s="99" t="str">
        <f>DataEntry!H26</f>
        <v xml:space="preserve">Principal &amp; Interest at </v>
      </c>
      <c r="I26" s="98"/>
      <c r="J26" s="130">
        <f>D11</f>
        <v>6.7500000000000004E-2</v>
      </c>
      <c r="K26" s="98"/>
      <c r="L26" s="183">
        <f>PMT(D11/12,D9,-H9)</f>
        <v>959.92518292095656</v>
      </c>
      <c r="M26" s="3" t="s">
        <v>2</v>
      </c>
    </row>
    <row r="27" spans="1:15" ht="13.5" customHeight="1" x14ac:dyDescent="0.25">
      <c r="A27" s="116"/>
      <c r="B27" s="98">
        <f>DataEntry!B27</f>
        <v>1113</v>
      </c>
      <c r="C27" s="98"/>
      <c r="D27" s="99" t="str">
        <f>DataEntry!D27</f>
        <v xml:space="preserve">Delivery </v>
      </c>
      <c r="E27" s="117">
        <f>DataEntry!E27</f>
        <v>50</v>
      </c>
      <c r="F27" s="118"/>
      <c r="G27" s="121"/>
      <c r="H27" s="99" t="str">
        <f>DataEntry!H27</f>
        <v>Taxes</v>
      </c>
      <c r="I27" s="98" t="s">
        <v>2</v>
      </c>
      <c r="J27" s="131"/>
      <c r="K27" s="98"/>
      <c r="L27" s="183">
        <v>0</v>
      </c>
    </row>
    <row r="28" spans="1:15" ht="13.5" customHeight="1" x14ac:dyDescent="0.25">
      <c r="A28" s="116"/>
      <c r="B28" s="98">
        <f>DataEntry!B28</f>
        <v>816</v>
      </c>
      <c r="C28" s="98" t="s">
        <v>2</v>
      </c>
      <c r="D28" s="99" t="str">
        <f>DataEntry!D28</f>
        <v>Processing</v>
      </c>
      <c r="E28" s="117">
        <f>DataEntry!E28</f>
        <v>175</v>
      </c>
      <c r="F28" s="118"/>
      <c r="G28" s="121"/>
      <c r="H28" s="99" t="str">
        <f>DataEntry!H28</f>
        <v>Homeowners Insurance</v>
      </c>
      <c r="I28" s="98"/>
      <c r="J28" s="98"/>
      <c r="K28" s="98"/>
      <c r="L28" s="183">
        <v>0</v>
      </c>
    </row>
    <row r="29" spans="1:15" ht="13.5" customHeight="1" thickBot="1" x14ac:dyDescent="0.3">
      <c r="A29" s="116"/>
      <c r="B29" s="98"/>
      <c r="C29" s="98" t="s">
        <v>2</v>
      </c>
      <c r="D29" s="122" t="s">
        <v>67</v>
      </c>
      <c r="E29" s="174">
        <f>SUM(E17:E28)</f>
        <v>1365</v>
      </c>
      <c r="F29" s="118"/>
      <c r="G29" s="121"/>
      <c r="H29" s="99" t="str">
        <f>DataEntry!H29</f>
        <v>2nd Lien Principal &amp; Interest</v>
      </c>
      <c r="I29" s="98"/>
      <c r="J29" s="98"/>
      <c r="K29" s="98"/>
      <c r="L29" s="183">
        <f>PMT(D12/12,180,-H10)</f>
        <v>132.79100454635281</v>
      </c>
    </row>
    <row r="30" spans="1:15" ht="15" customHeight="1" thickTop="1" x14ac:dyDescent="0.25">
      <c r="A30" s="132" t="s">
        <v>39</v>
      </c>
      <c r="B30" s="133"/>
      <c r="C30" s="133"/>
      <c r="D30" s="134"/>
      <c r="E30" s="135"/>
      <c r="F30" s="136"/>
      <c r="G30" s="121"/>
      <c r="H30" s="99" t="str">
        <f>DataEntry!H30</f>
        <v>Mortgage Insurance</v>
      </c>
      <c r="I30" s="98"/>
      <c r="J30" s="98"/>
      <c r="K30" s="98"/>
      <c r="L30" s="183">
        <f>J20</f>
        <v>0</v>
      </c>
    </row>
    <row r="31" spans="1:15" ht="13.5" customHeight="1" x14ac:dyDescent="0.25">
      <c r="A31" s="116"/>
      <c r="B31" s="98">
        <f>DataEntry!B31</f>
        <v>1109</v>
      </c>
      <c r="C31" s="98"/>
      <c r="D31" s="99" t="str">
        <f>DataEntry!D31</f>
        <v>Lenders Title Policy</v>
      </c>
      <c r="E31" s="264">
        <f>IF($H$9&lt;100000,(($H$9-100000)*0.00805)+992-$O$14,(($H$9-100000)*0.00628)+992-DataEntry!O14)</f>
        <v>743.15679999999998</v>
      </c>
      <c r="F31" s="118" t="s">
        <v>2</v>
      </c>
      <c r="G31" s="121"/>
      <c r="H31" s="99" t="str">
        <f>DataEntry!H31</f>
        <v>Condo/HOA fee</v>
      </c>
      <c r="I31" s="98"/>
      <c r="J31" s="98"/>
      <c r="K31" s="98"/>
      <c r="L31" s="183">
        <f>J21</f>
        <v>0</v>
      </c>
    </row>
    <row r="32" spans="1:15" ht="13.5" customHeight="1" x14ac:dyDescent="0.25">
      <c r="A32" s="116"/>
      <c r="B32" s="98">
        <f>DataEntry!B32</f>
        <v>1110</v>
      </c>
      <c r="C32" s="98"/>
      <c r="D32" s="99" t="s">
        <v>116</v>
      </c>
      <c r="E32" s="264">
        <f>IF($H$10&lt;100000,(($H$10-100000)*0.00805)+992,(($H$10-100000)*0.00628)+992)</f>
        <v>292.45500000000004</v>
      </c>
      <c r="F32" s="118" t="s">
        <v>2</v>
      </c>
      <c r="G32" s="121"/>
      <c r="H32" s="99" t="s">
        <v>2</v>
      </c>
      <c r="I32" s="98"/>
      <c r="J32" s="98"/>
      <c r="K32" s="98"/>
      <c r="L32" s="189"/>
    </row>
    <row r="33" spans="1:12" ht="13.5" customHeight="1" x14ac:dyDescent="0.25">
      <c r="A33" s="116"/>
      <c r="B33" s="98">
        <f>DataEntry!B33</f>
        <v>1112</v>
      </c>
      <c r="C33" s="98"/>
      <c r="D33" s="99" t="str">
        <f>DataEntry!D33</f>
        <v>Settlement</v>
      </c>
      <c r="E33" s="117">
        <f>DataEntry!E33</f>
        <v>125</v>
      </c>
      <c r="F33" s="118"/>
      <c r="G33" s="121"/>
      <c r="H33" s="98" t="s">
        <v>2</v>
      </c>
      <c r="I33" s="98"/>
      <c r="J33" s="98"/>
      <c r="K33" s="98"/>
      <c r="L33" s="190"/>
    </row>
    <row r="34" spans="1:12" ht="13.5" customHeight="1" thickBot="1" x14ac:dyDescent="0.3">
      <c r="A34" s="116"/>
      <c r="B34" s="98">
        <f>DataEntry!B34</f>
        <v>1113</v>
      </c>
      <c r="C34" s="98"/>
      <c r="D34" s="99" t="str">
        <f>DataEntry!D34</f>
        <v xml:space="preserve">Delivery </v>
      </c>
      <c r="E34" s="117">
        <f>DataEntry!E34</f>
        <v>50</v>
      </c>
      <c r="F34" s="140"/>
      <c r="G34" s="121"/>
      <c r="H34" s="99" t="s">
        <v>2</v>
      </c>
      <c r="I34" s="98"/>
      <c r="J34" s="98"/>
      <c r="K34" s="122" t="s">
        <v>70</v>
      </c>
      <c r="L34" s="184">
        <f>SUM(L26:L32)</f>
        <v>1092.7161874673093</v>
      </c>
    </row>
    <row r="35" spans="1:12" ht="13.5" customHeight="1" thickTop="1" x14ac:dyDescent="0.25">
      <c r="A35" s="116"/>
      <c r="B35" s="98">
        <f>DataEntry!B35</f>
        <v>1201</v>
      </c>
      <c r="C35" s="98"/>
      <c r="D35" s="99" t="str">
        <f>DataEntry!D35</f>
        <v>Recording</v>
      </c>
      <c r="E35" s="117">
        <f>DataEntry!E35</f>
        <v>75</v>
      </c>
      <c r="F35" s="118"/>
      <c r="G35" s="141"/>
      <c r="H35" s="100"/>
      <c r="I35" s="100"/>
      <c r="J35" s="100"/>
      <c r="K35" s="100"/>
      <c r="L35" s="191"/>
    </row>
    <row r="36" spans="1:12" ht="15" customHeight="1" x14ac:dyDescent="0.25">
      <c r="A36" s="116"/>
      <c r="B36" s="98">
        <f>DataEntry!B36</f>
        <v>1204</v>
      </c>
      <c r="C36" s="98"/>
      <c r="D36" s="99" t="str">
        <f>DataEntry!D36</f>
        <v>Tax Certificates</v>
      </c>
      <c r="E36" s="117">
        <f>DataEntry!E36</f>
        <v>0</v>
      </c>
      <c r="F36" s="118"/>
      <c r="G36" s="114" t="s">
        <v>47</v>
      </c>
      <c r="H36" s="125"/>
      <c r="I36" s="125"/>
      <c r="J36" s="125"/>
      <c r="K36" s="125"/>
      <c r="L36" s="192"/>
    </row>
    <row r="37" spans="1:12" ht="13.5" customHeight="1" x14ac:dyDescent="0.25">
      <c r="A37" s="116"/>
      <c r="B37" s="98">
        <f>DataEntry!B37</f>
        <v>1301</v>
      </c>
      <c r="C37" s="98"/>
      <c r="D37" s="99" t="str">
        <f>DataEntry!D37</f>
        <v>Survey</v>
      </c>
      <c r="E37" s="117" t="str">
        <f>DataEntry!E37</f>
        <v>use current?</v>
      </c>
      <c r="F37" s="118"/>
      <c r="G37" s="121"/>
      <c r="H37" s="99" t="str">
        <f>DataEntry!H37</f>
        <v>Payoff existing loan(s)</v>
      </c>
      <c r="I37" s="98"/>
      <c r="J37" s="98"/>
      <c r="K37" s="98"/>
      <c r="L37" s="183">
        <f>DataEntry!L37</f>
        <v>161100</v>
      </c>
    </row>
    <row r="38" spans="1:12" ht="13.5" customHeight="1" x14ac:dyDescent="0.25">
      <c r="A38" s="116"/>
      <c r="B38" s="98" t="str">
        <f>DataEntry!B38</f>
        <v/>
      </c>
      <c r="C38" s="98"/>
      <c r="D38" s="99" t="str">
        <f>DataEntry!D38</f>
        <v>Attorney</v>
      </c>
      <c r="E38" s="117">
        <f>DataEntry!E38</f>
        <v>150</v>
      </c>
      <c r="F38" s="118"/>
      <c r="G38" s="121"/>
      <c r="H38" s="99" t="str">
        <f>DataEntry!H38</f>
        <v>Closing Costs - Lender</v>
      </c>
      <c r="I38" s="98"/>
      <c r="J38" s="98"/>
      <c r="K38" s="98"/>
      <c r="L38" s="183">
        <f>E29</f>
        <v>1365</v>
      </c>
    </row>
    <row r="39" spans="1:12" ht="13.5" customHeight="1" x14ac:dyDescent="0.25">
      <c r="A39" s="116"/>
      <c r="B39" s="98" t="str">
        <f>DataEntry!B39</f>
        <v/>
      </c>
      <c r="C39" s="98"/>
      <c r="D39" s="99" t="str">
        <f>DataEntry!D39</f>
        <v>Condo Certification</v>
      </c>
      <c r="E39" s="117">
        <f>DataEntry!E39</f>
        <v>0</v>
      </c>
      <c r="F39" s="144"/>
      <c r="G39" s="121"/>
      <c r="H39" s="99" t="str">
        <f>DataEntry!H39</f>
        <v>Closing Costs - Other</v>
      </c>
      <c r="I39" s="98"/>
      <c r="J39" s="98"/>
      <c r="K39" s="98"/>
      <c r="L39" s="183">
        <f>E44</f>
        <v>1435.6118000000001</v>
      </c>
    </row>
    <row r="40" spans="1:12" ht="13.5" customHeight="1" x14ac:dyDescent="0.25">
      <c r="A40" s="116"/>
      <c r="B40" s="98">
        <f>DataEntry!B40</f>
        <v>1302</v>
      </c>
      <c r="C40" s="98"/>
      <c r="D40" s="99" t="str">
        <f>DataEntry!D40</f>
        <v>2nd lien charges</v>
      </c>
      <c r="E40" s="117">
        <f>DataEntry!E40</f>
        <v>0</v>
      </c>
      <c r="F40" s="144"/>
      <c r="G40" s="121"/>
      <c r="H40" s="99" t="str">
        <f>DataEntry!H40</f>
        <v>Prepaids</v>
      </c>
      <c r="I40" s="98"/>
      <c r="J40" s="98"/>
      <c r="K40" s="98"/>
      <c r="L40" s="183">
        <f>L22</f>
        <v>109.47945205479452</v>
      </c>
    </row>
    <row r="41" spans="1:12" ht="13.5" customHeight="1" thickBot="1" x14ac:dyDescent="0.3">
      <c r="A41" s="116"/>
      <c r="B41" s="98" t="str">
        <f>DataEntry!B41</f>
        <v/>
      </c>
      <c r="C41" s="98"/>
      <c r="D41" s="99" t="str">
        <f>DataEntry!D41</f>
        <v>HOA Transfer fee</v>
      </c>
      <c r="E41" s="117">
        <f>DataEntry!E41</f>
        <v>0</v>
      </c>
      <c r="F41" s="144"/>
      <c r="G41" s="121"/>
      <c r="H41" s="99" t="str">
        <f>DataEntry!H41</f>
        <v>Subtotal</v>
      </c>
      <c r="I41" s="98"/>
      <c r="J41" s="98"/>
      <c r="K41" s="98"/>
      <c r="L41" s="184">
        <f>SUM(L37:L40)</f>
        <v>164010.09125205482</v>
      </c>
    </row>
    <row r="42" spans="1:12" ht="13.5" customHeight="1" thickTop="1" x14ac:dyDescent="0.25">
      <c r="A42" s="116"/>
      <c r="B42" s="98" t="str">
        <f>DataEntry!B42</f>
        <v/>
      </c>
      <c r="C42" s="98"/>
      <c r="D42" s="99" t="str">
        <f>DataEntry!D42</f>
        <v xml:space="preserve"> </v>
      </c>
      <c r="E42" s="117" t="str">
        <f>DataEntry!E42</f>
        <v/>
      </c>
      <c r="F42" s="144"/>
      <c r="G42" s="121"/>
      <c r="H42" s="99"/>
      <c r="I42" s="98"/>
      <c r="J42" s="98"/>
      <c r="K42" s="98"/>
      <c r="L42" s="185" t="s">
        <v>2</v>
      </c>
    </row>
    <row r="43" spans="1:12" ht="13.5" customHeight="1" x14ac:dyDescent="0.25">
      <c r="A43" s="116"/>
      <c r="B43" s="98"/>
      <c r="C43" s="98"/>
      <c r="D43" s="98"/>
      <c r="E43" s="145"/>
      <c r="F43" s="144"/>
      <c r="G43" s="121"/>
      <c r="H43" s="99" t="str">
        <f>DataEntry!H43</f>
        <v>less new loan amount</v>
      </c>
      <c r="I43" s="98"/>
      <c r="J43" s="98"/>
      <c r="K43" s="98"/>
      <c r="L43" s="171">
        <f>-H9-H10</f>
        <v>-161100</v>
      </c>
    </row>
    <row r="44" spans="1:12" ht="13.5" customHeight="1" thickBot="1" x14ac:dyDescent="0.3">
      <c r="A44" s="116"/>
      <c r="B44" s="99"/>
      <c r="C44" s="98"/>
      <c r="D44" s="122" t="s">
        <v>68</v>
      </c>
      <c r="E44" s="173">
        <f>SUM(E31:E43)</f>
        <v>1435.6118000000001</v>
      </c>
      <c r="F44" s="144"/>
      <c r="G44" s="121"/>
      <c r="H44" s="99" t="str">
        <f>DataEntry!H44</f>
        <v>Closing Cost Deposit</v>
      </c>
      <c r="I44" s="98"/>
      <c r="J44" s="98"/>
      <c r="K44" s="98"/>
      <c r="L44" s="176">
        <f>DataEntry!L44</f>
        <v>-375</v>
      </c>
    </row>
    <row r="45" spans="1:12" ht="13.5" customHeight="1" thickTop="1" thickBot="1" x14ac:dyDescent="0.3">
      <c r="A45" s="116"/>
      <c r="B45" s="128"/>
      <c r="C45" s="128"/>
      <c r="D45" s="128"/>
      <c r="E45" s="128"/>
      <c r="F45" s="146"/>
      <c r="G45" s="121"/>
      <c r="H45" s="99" t="str">
        <f>DataEntry!H45</f>
        <v xml:space="preserve">less lender credit </v>
      </c>
      <c r="I45" s="98"/>
      <c r="J45" s="98"/>
      <c r="K45" s="98"/>
      <c r="L45" s="171" t="str">
        <f>DataEntry!L45</f>
        <v>tbd</v>
      </c>
    </row>
    <row r="46" spans="1:12" ht="17.25" customHeight="1" thickBot="1" x14ac:dyDescent="0.3">
      <c r="A46" s="116"/>
      <c r="B46" s="128"/>
      <c r="C46" s="128"/>
      <c r="D46" s="128" t="s">
        <v>2</v>
      </c>
      <c r="E46" s="147" t="s">
        <v>2</v>
      </c>
      <c r="F46" s="146"/>
      <c r="G46" s="121"/>
      <c r="H46"/>
      <c r="I46" s="219"/>
      <c r="J46" s="219"/>
      <c r="K46" s="220" t="str">
        <f>IF(L46&lt;0,"Cash Due to Owner at Closing =","Cash Due to Mortgage Company at Closing =")</f>
        <v>Cash Due to Mortgage Company at Closing =</v>
      </c>
      <c r="L46" s="205">
        <f>SUM(L41:L45)</f>
        <v>2535.0912520548154</v>
      </c>
    </row>
    <row r="47" spans="1:12" ht="12.95" customHeight="1" thickBot="1" x14ac:dyDescent="0.3">
      <c r="A47" s="148"/>
      <c r="B47" s="149"/>
      <c r="C47" s="149"/>
      <c r="D47" s="149" t="s">
        <v>2</v>
      </c>
      <c r="E47" s="149"/>
      <c r="F47" s="149"/>
      <c r="G47" s="54" t="s">
        <v>94</v>
      </c>
      <c r="H47" s="55"/>
      <c r="I47" s="53"/>
      <c r="J47" s="53"/>
      <c r="K47" s="53"/>
      <c r="L47" s="56"/>
    </row>
    <row r="48" spans="1:12" ht="2.1" customHeight="1" x14ac:dyDescent="0.25">
      <c r="A48" s="150"/>
      <c r="B48" s="150"/>
      <c r="C48" s="150"/>
      <c r="D48" s="150"/>
      <c r="E48" s="150"/>
      <c r="F48" s="150"/>
      <c r="G48" s="150"/>
      <c r="H48" s="151"/>
      <c r="I48" s="150"/>
      <c r="J48" s="150"/>
      <c r="K48" s="150"/>
      <c r="L48" s="152"/>
    </row>
    <row r="49" spans="1:12" ht="60" customHeight="1" x14ac:dyDescent="0.25">
      <c r="A49" s="153" t="s">
        <v>2</v>
      </c>
      <c r="B49" s="153"/>
      <c r="C49" s="268" t="s">
        <v>65</v>
      </c>
      <c r="D49" s="268"/>
      <c r="E49" s="268"/>
      <c r="F49" s="268"/>
      <c r="G49" s="268"/>
      <c r="H49" s="268"/>
      <c r="I49" s="268"/>
      <c r="J49" s="268"/>
      <c r="K49" s="268"/>
      <c r="L49" s="153"/>
    </row>
    <row r="50" spans="1:12" ht="45" customHeight="1" x14ac:dyDescent="0.25">
      <c r="A50" s="153" t="s">
        <v>2</v>
      </c>
      <c r="B50" s="153"/>
      <c r="C50" s="268" t="s">
        <v>66</v>
      </c>
      <c r="D50" s="268"/>
      <c r="E50" s="268"/>
      <c r="F50" s="268"/>
      <c r="G50" s="268"/>
      <c r="H50" s="268"/>
      <c r="I50" s="268"/>
      <c r="J50" s="268"/>
      <c r="K50" s="268"/>
      <c r="L50" s="153"/>
    </row>
    <row r="51" spans="1:12" ht="12" customHeight="1" x14ac:dyDescent="0.25"/>
    <row r="52" spans="1:12" x14ac:dyDescent="0.25">
      <c r="A52" s="84" t="s">
        <v>58</v>
      </c>
      <c r="D52" s="86"/>
      <c r="E52" s="86"/>
      <c r="F52" s="86"/>
      <c r="G52" s="86"/>
      <c r="H52" s="86"/>
      <c r="I52" s="86"/>
      <c r="J52" s="87" t="s">
        <v>59</v>
      </c>
      <c r="K52" s="86"/>
      <c r="L52" s="86"/>
    </row>
    <row r="53" spans="1:12" ht="14.25" customHeight="1" x14ac:dyDescent="0.25"/>
    <row r="54" spans="1:12" x14ac:dyDescent="0.25">
      <c r="A54" s="84" t="s">
        <v>60</v>
      </c>
      <c r="D54" s="86"/>
      <c r="E54" s="86"/>
      <c r="F54" s="86"/>
      <c r="G54" s="86"/>
      <c r="H54" s="86"/>
      <c r="I54" s="86"/>
      <c r="J54" s="87" t="s">
        <v>59</v>
      </c>
      <c r="K54" s="86"/>
      <c r="L54" s="86"/>
    </row>
    <row r="55" spans="1:12" ht="9.75" customHeight="1" x14ac:dyDescent="0.25"/>
    <row r="56" spans="1:12" x14ac:dyDescent="0.25">
      <c r="A56" s="269" t="str">
        <f>DataEntry!$A$52</f>
        <v>Estimate provided by Linda Rhoden.  Phone# 713-802-6025</v>
      </c>
      <c r="B56" s="269"/>
      <c r="C56" s="269"/>
      <c r="D56" s="269"/>
      <c r="E56" s="269"/>
      <c r="F56" s="269"/>
      <c r="G56" s="269"/>
      <c r="H56" s="269"/>
      <c r="I56" s="269"/>
      <c r="J56" s="269"/>
      <c r="K56" s="269"/>
      <c r="L56" s="269"/>
    </row>
    <row r="57" spans="1:12" x14ac:dyDescent="0.25">
      <c r="A57" s="269" t="str">
        <f>DataEntry!$A$53</f>
        <v>888-852-7645 ext. 6025 Toll free / 713-802-6035 Fax</v>
      </c>
      <c r="B57" s="269"/>
      <c r="C57" s="269"/>
      <c r="D57" s="269"/>
      <c r="E57" s="269"/>
      <c r="F57" s="269"/>
      <c r="G57" s="269"/>
      <c r="H57" s="269"/>
      <c r="I57" s="269"/>
      <c r="J57" s="269"/>
      <c r="K57" s="269"/>
      <c r="L57" s="269"/>
    </row>
  </sheetData>
  <sheetProtection password="CCCA" sheet="1" objects="1" scenarios="1"/>
  <mergeCells count="4">
    <mergeCell ref="A56:L56"/>
    <mergeCell ref="A57:L57"/>
    <mergeCell ref="C49:K49"/>
    <mergeCell ref="C50:K50"/>
  </mergeCells>
  <phoneticPr fontId="0" type="noConversion"/>
  <printOptions horizontalCentered="1" gridLinesSet="0"/>
  <pageMargins left="0.35" right="0.17" top="0.5" bottom="0.28999999999999998" header="0.5" footer="0.5"/>
  <pageSetup scale="84"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pageSetUpPr fitToPage="1"/>
  </sheetPr>
  <dimension ref="A1:AA90"/>
  <sheetViews>
    <sheetView showGridLines="0" tabSelected="1" zoomScale="75" zoomScaleNormal="75" workbookViewId="0">
      <selection activeCell="L45" sqref="L45"/>
    </sheetView>
  </sheetViews>
  <sheetFormatPr defaultColWidth="9.77734375" defaultRowHeight="15.75" x14ac:dyDescent="0.25"/>
  <cols>
    <col min="1" max="1" width="1.77734375" style="3" customWidth="1"/>
    <col min="2" max="2" width="5.77734375" style="3" customWidth="1"/>
    <col min="3" max="3" width="5.6640625" style="3" customWidth="1"/>
    <col min="4" max="4" width="12.77734375" style="3" customWidth="1"/>
    <col min="5" max="5" width="7.77734375" style="3" customWidth="1"/>
    <col min="6" max="7" width="4.77734375" style="3" customWidth="1"/>
    <col min="8" max="8" width="11.6640625" style="3" bestFit="1" customWidth="1"/>
    <col min="9" max="9" width="6.21875" style="3" customWidth="1"/>
    <col min="10" max="10" width="7.88671875" style="3" customWidth="1"/>
    <col min="11" max="11" width="9.5546875" style="3" customWidth="1"/>
    <col min="12" max="12" width="9.109375" style="3" customWidth="1"/>
    <col min="13" max="13" width="21.109375" style="67" customWidth="1"/>
    <col min="14" max="14" width="10.77734375" style="67" customWidth="1"/>
    <col min="15" max="16" width="8.77734375" style="67" customWidth="1"/>
    <col min="17" max="18" width="8.77734375" style="209" hidden="1" customWidth="1"/>
    <col min="19" max="19" width="8.77734375" style="67" hidden="1" customWidth="1"/>
    <col min="20" max="20" width="8.77734375" style="165" hidden="1" customWidth="1"/>
    <col min="21" max="21" width="8.77734375" style="164" hidden="1" customWidth="1"/>
    <col min="22" max="25" width="8.77734375" style="67" hidden="1" customWidth="1"/>
    <col min="26" max="26" width="8.77734375" style="3" hidden="1" customWidth="1"/>
    <col min="27" max="16384" width="9.77734375" style="3"/>
  </cols>
  <sheetData>
    <row r="1" spans="1:27" ht="22.5" x14ac:dyDescent="0.3">
      <c r="A1" s="270" t="s">
        <v>79</v>
      </c>
      <c r="B1" s="270"/>
      <c r="C1" s="270"/>
      <c r="D1" s="270"/>
      <c r="E1" s="270"/>
      <c r="F1" s="270"/>
      <c r="G1" s="270"/>
      <c r="H1" s="270"/>
      <c r="I1" s="270"/>
      <c r="J1" s="270"/>
      <c r="K1" s="270"/>
      <c r="L1" s="270"/>
      <c r="M1" s="67" t="s">
        <v>119</v>
      </c>
      <c r="N1" s="67" t="s">
        <v>120</v>
      </c>
      <c r="Z1" s="3" t="s">
        <v>121</v>
      </c>
    </row>
    <row r="2" spans="1:27" ht="18.75" customHeight="1" x14ac:dyDescent="0.3">
      <c r="A2" s="270" t="s">
        <v>80</v>
      </c>
      <c r="B2" s="270"/>
      <c r="C2" s="270"/>
      <c r="D2" s="270"/>
      <c r="E2" s="270"/>
      <c r="F2" s="270"/>
      <c r="G2" s="270"/>
      <c r="H2" s="270"/>
      <c r="I2" s="270"/>
      <c r="J2" s="270"/>
      <c r="K2" s="270"/>
      <c r="L2" s="270"/>
      <c r="V2" s="257"/>
      <c r="Z2" s="3" t="s">
        <v>122</v>
      </c>
    </row>
    <row r="3" spans="1:27" ht="18.75" customHeight="1" x14ac:dyDescent="0.3">
      <c r="A3" s="1"/>
      <c r="B3" s="2"/>
      <c r="C3" s="2"/>
      <c r="D3" s="2"/>
      <c r="E3" s="2"/>
      <c r="F3" s="2"/>
      <c r="G3" s="2"/>
      <c r="H3" s="2"/>
      <c r="I3" s="2"/>
      <c r="J3" s="2"/>
      <c r="K3" s="2"/>
      <c r="L3" s="2"/>
      <c r="V3" s="67" t="s">
        <v>2</v>
      </c>
      <c r="Z3" s="3" t="s">
        <v>123</v>
      </c>
    </row>
    <row r="4" spans="1:27" ht="16.5" thickBot="1" x14ac:dyDescent="0.3">
      <c r="A4" s="4" t="s">
        <v>1</v>
      </c>
      <c r="C4" s="5"/>
      <c r="D4" s="68" t="s">
        <v>129</v>
      </c>
      <c r="E4" s="5"/>
      <c r="F4" s="5"/>
      <c r="G4" s="6"/>
      <c r="H4" s="5"/>
      <c r="I4" s="5"/>
      <c r="J4" s="5" t="s">
        <v>3</v>
      </c>
      <c r="K4" s="69">
        <v>37133</v>
      </c>
      <c r="L4" s="5" t="s">
        <v>2</v>
      </c>
      <c r="V4" s="67" t="s">
        <v>2</v>
      </c>
      <c r="Z4" s="3" t="s">
        <v>124</v>
      </c>
    </row>
    <row r="5" spans="1:27" x14ac:dyDescent="0.25">
      <c r="A5" s="4" t="s">
        <v>4</v>
      </c>
      <c r="C5" s="5"/>
      <c r="D5" s="5"/>
      <c r="E5" s="65" t="s">
        <v>78</v>
      </c>
      <c r="F5" s="70">
        <v>30</v>
      </c>
      <c r="G5" s="6" t="s">
        <v>73</v>
      </c>
      <c r="H5" s="5"/>
      <c r="I5" s="5"/>
      <c r="J5" s="5"/>
      <c r="K5" s="5"/>
      <c r="L5" s="5"/>
      <c r="Q5" s="281" t="s">
        <v>101</v>
      </c>
      <c r="R5" s="282"/>
      <c r="S5" s="276"/>
      <c r="T5" s="275" t="s">
        <v>100</v>
      </c>
      <c r="U5" s="276"/>
      <c r="V5" s="285" t="s">
        <v>103</v>
      </c>
      <c r="W5" s="282"/>
      <c r="X5" s="276"/>
      <c r="Y5" s="272" t="s">
        <v>102</v>
      </c>
      <c r="Z5" s="3" t="s">
        <v>125</v>
      </c>
    </row>
    <row r="6" spans="1:27" ht="16.5" customHeight="1" thickBot="1" x14ac:dyDescent="0.3">
      <c r="D6" s="8"/>
      <c r="E6" s="9" t="s">
        <v>63</v>
      </c>
      <c r="F6" s="182">
        <f>O8</f>
        <v>0</v>
      </c>
      <c r="G6" s="4"/>
      <c r="H6" s="3" t="s">
        <v>2</v>
      </c>
      <c r="I6" s="3" t="s">
        <v>2</v>
      </c>
      <c r="Q6" s="277"/>
      <c r="R6" s="283"/>
      <c r="S6" s="278"/>
      <c r="T6" s="277"/>
      <c r="U6" s="278"/>
      <c r="V6" s="277"/>
      <c r="W6" s="283"/>
      <c r="X6" s="278"/>
      <c r="Y6" s="273"/>
      <c r="Z6" s="3" t="s">
        <v>120</v>
      </c>
    </row>
    <row r="7" spans="1:27" ht="16.5" thickBot="1" x14ac:dyDescent="0.3">
      <c r="A7" s="36" t="s">
        <v>5</v>
      </c>
      <c r="B7" s="37"/>
      <c r="C7" s="37"/>
      <c r="D7" s="37"/>
      <c r="E7" s="37"/>
      <c r="F7" s="37"/>
      <c r="G7" s="37"/>
      <c r="H7" s="37"/>
      <c r="I7" s="37"/>
      <c r="J7" s="37"/>
      <c r="K7" s="37"/>
      <c r="L7" s="38"/>
      <c r="M7" s="67" t="s">
        <v>82</v>
      </c>
      <c r="O7" s="67" t="s">
        <v>83</v>
      </c>
      <c r="P7" s="67" t="s">
        <v>84</v>
      </c>
      <c r="Q7" s="279"/>
      <c r="R7" s="284"/>
      <c r="S7" s="280"/>
      <c r="T7" s="279"/>
      <c r="U7" s="280"/>
      <c r="V7" s="277"/>
      <c r="W7" s="283"/>
      <c r="X7" s="278"/>
      <c r="Y7" s="274"/>
      <c r="Z7" s="3" t="s">
        <v>126</v>
      </c>
    </row>
    <row r="8" spans="1:27" ht="16.5" thickBot="1" x14ac:dyDescent="0.3">
      <c r="A8" s="59" t="s">
        <v>6</v>
      </c>
      <c r="B8" s="27"/>
      <c r="C8" s="27"/>
      <c r="D8" s="66">
        <f>F5</f>
        <v>30</v>
      </c>
      <c r="E8" s="44" t="s">
        <v>72</v>
      </c>
      <c r="F8" s="27"/>
      <c r="G8" s="35"/>
      <c r="H8" s="71">
        <v>185000</v>
      </c>
      <c r="I8" s="44" t="s">
        <v>88</v>
      </c>
      <c r="J8" s="27"/>
      <c r="K8" s="27"/>
      <c r="L8" s="61"/>
      <c r="M8" s="67">
        <v>1</v>
      </c>
      <c r="O8" s="179">
        <v>0</v>
      </c>
      <c r="P8" s="180">
        <v>6.7500000000000004E-2</v>
      </c>
      <c r="Q8" s="229">
        <v>1</v>
      </c>
      <c r="R8" s="221">
        <v>0.4</v>
      </c>
      <c r="S8" s="230">
        <f t="shared" ref="S8:S15" si="0">IF($L$37&lt;100000,R8*((($L$37-100000)*0.00805)+992),R8*((($L$37-100000)*0.00628)+992))</f>
        <v>550.28320000000008</v>
      </c>
      <c r="T8" s="235">
        <v>0</v>
      </c>
      <c r="U8" s="226">
        <v>650</v>
      </c>
      <c r="V8" s="242">
        <f>H13</f>
        <v>37168</v>
      </c>
      <c r="W8" s="243">
        <f>V8</f>
        <v>37168</v>
      </c>
      <c r="X8" s="248" t="s">
        <v>104</v>
      </c>
      <c r="Y8" s="249"/>
      <c r="Z8" s="3" t="s">
        <v>127</v>
      </c>
    </row>
    <row r="9" spans="1:27" x14ac:dyDescent="0.25">
      <c r="A9" s="59" t="s">
        <v>7</v>
      </c>
      <c r="B9" s="27"/>
      <c r="C9" s="27"/>
      <c r="D9" s="62">
        <f>F5*12</f>
        <v>360</v>
      </c>
      <c r="E9" s="27" t="s">
        <v>2</v>
      </c>
      <c r="F9" s="63" t="s">
        <v>2</v>
      </c>
      <c r="G9" s="35"/>
      <c r="H9" s="72">
        <f>0.9*H8</f>
        <v>166500</v>
      </c>
      <c r="I9" s="44" t="s">
        <v>106</v>
      </c>
      <c r="J9" s="27"/>
      <c r="K9" s="27"/>
      <c r="L9" s="61"/>
      <c r="M9" s="67" t="s">
        <v>113</v>
      </c>
      <c r="O9" s="179">
        <v>0</v>
      </c>
      <c r="P9" s="180">
        <v>6.7500000000000004E-2</v>
      </c>
      <c r="Q9" s="229">
        <v>2</v>
      </c>
      <c r="R9" s="221">
        <v>0.4</v>
      </c>
      <c r="S9" s="230">
        <f t="shared" si="0"/>
        <v>550.28320000000008</v>
      </c>
      <c r="T9" s="235">
        <v>100000</v>
      </c>
      <c r="U9" s="226">
        <v>750</v>
      </c>
      <c r="V9" s="238">
        <v>36892</v>
      </c>
      <c r="W9" s="227">
        <f t="shared" ref="W9:W25" si="1">V9</f>
        <v>36892</v>
      </c>
      <c r="X9" s="231">
        <v>2</v>
      </c>
      <c r="Y9" s="231">
        <f t="shared" ref="Y9:Y14" si="2">W10</f>
        <v>36923</v>
      </c>
      <c r="Z9" s="67"/>
      <c r="AA9" s="67"/>
    </row>
    <row r="10" spans="1:27" x14ac:dyDescent="0.25">
      <c r="A10" s="59" t="s">
        <v>8</v>
      </c>
      <c r="B10" s="27"/>
      <c r="C10" s="27"/>
      <c r="D10" s="60">
        <v>0</v>
      </c>
      <c r="E10" s="27"/>
      <c r="F10" s="63" t="s">
        <v>2</v>
      </c>
      <c r="G10" s="35"/>
      <c r="H10" s="64">
        <v>0</v>
      </c>
      <c r="I10" s="44" t="s">
        <v>9</v>
      </c>
      <c r="J10" s="27"/>
      <c r="K10" s="27"/>
      <c r="L10" s="61"/>
      <c r="M10" s="67">
        <v>4</v>
      </c>
      <c r="O10" s="179">
        <v>1</v>
      </c>
      <c r="P10" s="180">
        <v>6.6250000000000003E-2</v>
      </c>
      <c r="Q10" s="229">
        <v>3</v>
      </c>
      <c r="R10" s="221">
        <v>0.35</v>
      </c>
      <c r="S10" s="230">
        <f t="shared" si="0"/>
        <v>481.49779999999998</v>
      </c>
      <c r="T10" s="235">
        <v>150000</v>
      </c>
      <c r="U10" s="226">
        <v>900</v>
      </c>
      <c r="V10" s="239">
        <f>V9+31</f>
        <v>36923</v>
      </c>
      <c r="W10" s="227">
        <f t="shared" si="1"/>
        <v>36923</v>
      </c>
      <c r="X10" s="231">
        <v>3</v>
      </c>
      <c r="Y10" s="231">
        <f t="shared" si="2"/>
        <v>36951</v>
      </c>
      <c r="Z10" s="67"/>
      <c r="AA10" s="67"/>
    </row>
    <row r="11" spans="1:27" x14ac:dyDescent="0.25">
      <c r="A11" s="59" t="s">
        <v>10</v>
      </c>
      <c r="B11" s="27"/>
      <c r="C11" s="27"/>
      <c r="D11" s="79">
        <f>P8</f>
        <v>6.7500000000000004E-2</v>
      </c>
      <c r="E11" s="74" t="s">
        <v>109</v>
      </c>
      <c r="F11" s="27"/>
      <c r="G11" s="35"/>
      <c r="H11" s="57">
        <f>(H9+H10)/H8</f>
        <v>0.9</v>
      </c>
      <c r="I11" s="44" t="s">
        <v>11</v>
      </c>
      <c r="J11" s="27"/>
      <c r="K11" s="27"/>
      <c r="L11" s="61"/>
      <c r="M11" s="67" t="s">
        <v>114</v>
      </c>
      <c r="O11" s="179">
        <v>1</v>
      </c>
      <c r="P11" s="180">
        <v>6.6250000000000003E-2</v>
      </c>
      <c r="Q11" s="229">
        <v>4</v>
      </c>
      <c r="R11" s="221">
        <v>0.3</v>
      </c>
      <c r="S11" s="230">
        <f t="shared" si="0"/>
        <v>412.7124</v>
      </c>
      <c r="T11" s="235">
        <v>200000</v>
      </c>
      <c r="U11" s="226">
        <v>1000</v>
      </c>
      <c r="V11" s="239">
        <f>V10+28</f>
        <v>36951</v>
      </c>
      <c r="W11" s="227">
        <f t="shared" si="1"/>
        <v>36951</v>
      </c>
      <c r="X11" s="231">
        <v>4</v>
      </c>
      <c r="Y11" s="231">
        <f t="shared" si="2"/>
        <v>36982</v>
      </c>
      <c r="Z11" s="67"/>
      <c r="AA11" s="67"/>
    </row>
    <row r="12" spans="1:27" x14ac:dyDescent="0.25">
      <c r="A12" s="59" t="s">
        <v>12</v>
      </c>
      <c r="B12" s="27"/>
      <c r="C12" s="27"/>
      <c r="D12" s="58">
        <v>0</v>
      </c>
      <c r="E12" s="27"/>
      <c r="F12" s="27"/>
      <c r="G12" s="35"/>
      <c r="H12" s="223">
        <v>37165</v>
      </c>
      <c r="I12" s="44" t="s">
        <v>13</v>
      </c>
      <c r="J12" s="27"/>
      <c r="K12" s="258" t="s">
        <v>2</v>
      </c>
      <c r="L12" s="259" t="s">
        <v>2</v>
      </c>
      <c r="P12" s="181"/>
      <c r="Q12" s="229">
        <v>5</v>
      </c>
      <c r="R12" s="221">
        <v>0.25</v>
      </c>
      <c r="S12" s="230">
        <f t="shared" si="0"/>
        <v>343.92700000000002</v>
      </c>
      <c r="T12" s="235">
        <v>250000</v>
      </c>
      <c r="U12" s="226">
        <v>1250</v>
      </c>
      <c r="V12" s="239">
        <f>V11+31</f>
        <v>36982</v>
      </c>
      <c r="W12" s="227">
        <f t="shared" si="1"/>
        <v>36982</v>
      </c>
      <c r="X12" s="231">
        <v>5</v>
      </c>
      <c r="Y12" s="231">
        <f t="shared" si="2"/>
        <v>37012</v>
      </c>
      <c r="Z12" s="67"/>
      <c r="AA12" s="67"/>
    </row>
    <row r="13" spans="1:27" x14ac:dyDescent="0.25">
      <c r="A13" s="59" t="s">
        <v>14</v>
      </c>
      <c r="B13" s="27"/>
      <c r="C13" s="27"/>
      <c r="D13" s="81">
        <f>LOOKUP($H$8,T8:U18,U8:U17)</f>
        <v>900</v>
      </c>
      <c r="E13" s="80" t="s">
        <v>85</v>
      </c>
      <c r="F13" s="27"/>
      <c r="G13" s="35"/>
      <c r="H13" s="260">
        <f>H12+3</f>
        <v>37168</v>
      </c>
      <c r="I13" s="44" t="s">
        <v>105</v>
      </c>
      <c r="J13" s="27"/>
      <c r="K13" s="27"/>
      <c r="L13" s="61"/>
      <c r="M13" s="212" t="s">
        <v>99</v>
      </c>
      <c r="N13" s="247" t="s">
        <v>97</v>
      </c>
      <c r="O13" s="208">
        <v>1</v>
      </c>
      <c r="Q13" s="229">
        <v>6</v>
      </c>
      <c r="R13" s="221">
        <v>0.2</v>
      </c>
      <c r="S13" s="230">
        <f t="shared" si="0"/>
        <v>275.14160000000004</v>
      </c>
      <c r="T13" s="235">
        <v>300000</v>
      </c>
      <c r="U13" s="226">
        <v>1500</v>
      </c>
      <c r="V13" s="239">
        <f>V12+30</f>
        <v>37012</v>
      </c>
      <c r="W13" s="227">
        <f t="shared" si="1"/>
        <v>37012</v>
      </c>
      <c r="X13" s="231">
        <v>6</v>
      </c>
      <c r="Y13" s="231">
        <f t="shared" si="2"/>
        <v>37043</v>
      </c>
      <c r="Z13" s="67"/>
      <c r="AA13" s="67"/>
    </row>
    <row r="14" spans="1:27" ht="15.75" customHeight="1" x14ac:dyDescent="0.25">
      <c r="A14" s="59" t="s">
        <v>15</v>
      </c>
      <c r="B14" s="27"/>
      <c r="C14" s="27"/>
      <c r="D14" s="81">
        <f>H8*0.025</f>
        <v>4625</v>
      </c>
      <c r="E14" s="27" t="s">
        <v>81</v>
      </c>
      <c r="F14" s="27"/>
      <c r="G14" s="210"/>
      <c r="H14" s="73" t="s">
        <v>110</v>
      </c>
      <c r="I14" s="44" t="s">
        <v>16</v>
      </c>
      <c r="J14" s="27"/>
      <c r="K14" s="27"/>
      <c r="L14" s="61"/>
      <c r="M14" s="244" t="s">
        <v>98</v>
      </c>
      <c r="N14" s="245" t="s">
        <v>97</v>
      </c>
      <c r="O14" s="246">
        <f>VLOOKUP(O13,Q8:S15,3,TRUE)</f>
        <v>550.28320000000008</v>
      </c>
      <c r="Q14" s="229">
        <v>7</v>
      </c>
      <c r="R14" s="221">
        <v>0.15</v>
      </c>
      <c r="S14" s="230">
        <f t="shared" si="0"/>
        <v>206.3562</v>
      </c>
      <c r="T14" s="235">
        <v>350000</v>
      </c>
      <c r="U14" s="226">
        <v>1750</v>
      </c>
      <c r="V14" s="239">
        <f>V13+31</f>
        <v>37043</v>
      </c>
      <c r="W14" s="227">
        <f t="shared" si="1"/>
        <v>37043</v>
      </c>
      <c r="X14" s="231">
        <v>7</v>
      </c>
      <c r="Y14" s="231">
        <f t="shared" si="2"/>
        <v>37073</v>
      </c>
      <c r="Z14" s="67"/>
      <c r="AA14" s="67"/>
    </row>
    <row r="15" spans="1:27" ht="15" customHeight="1" x14ac:dyDescent="0.25">
      <c r="A15" s="39" t="s">
        <v>2</v>
      </c>
      <c r="B15" s="5"/>
      <c r="C15" s="5"/>
      <c r="D15" s="5"/>
      <c r="E15" s="5"/>
      <c r="F15" s="5"/>
      <c r="G15" s="5"/>
      <c r="H15" s="5"/>
      <c r="I15" s="5"/>
      <c r="J15" s="5"/>
      <c r="K15" s="5"/>
      <c r="L15" s="40"/>
      <c r="M15" s="213"/>
      <c r="N15" s="215"/>
      <c r="O15" s="214"/>
      <c r="Q15" s="229">
        <v>8</v>
      </c>
      <c r="R15" s="221">
        <v>0</v>
      </c>
      <c r="S15" s="230">
        <f t="shared" si="0"/>
        <v>0</v>
      </c>
      <c r="T15" s="235">
        <v>400000</v>
      </c>
      <c r="U15" s="226">
        <v>2000</v>
      </c>
      <c r="V15" s="239">
        <f>V14+30</f>
        <v>37073</v>
      </c>
      <c r="W15" s="227">
        <f t="shared" si="1"/>
        <v>37073</v>
      </c>
      <c r="X15" s="231">
        <v>8</v>
      </c>
      <c r="Y15" s="231">
        <f t="shared" ref="Y15:Y68" si="3">W16</f>
        <v>37104</v>
      </c>
      <c r="Z15" s="67"/>
      <c r="AA15" s="67"/>
    </row>
    <row r="16" spans="1:27" ht="15" customHeight="1" x14ac:dyDescent="0.25">
      <c r="A16" s="41" t="s">
        <v>17</v>
      </c>
      <c r="B16" s="16"/>
      <c r="C16" s="16"/>
      <c r="D16" s="16"/>
      <c r="E16" s="17"/>
      <c r="F16" s="18"/>
      <c r="G16" s="15" t="s">
        <v>18</v>
      </c>
      <c r="H16" s="16"/>
      <c r="I16" s="16"/>
      <c r="J16" s="16"/>
      <c r="K16" s="16"/>
      <c r="L16" s="42"/>
      <c r="M16" s="154"/>
      <c r="N16" s="154"/>
      <c r="O16" s="154"/>
      <c r="Q16" s="229"/>
      <c r="R16" s="221"/>
      <c r="S16" s="231"/>
      <c r="T16" s="235">
        <v>450000</v>
      </c>
      <c r="U16" s="226">
        <v>2250</v>
      </c>
      <c r="V16" s="239">
        <f>V15+31</f>
        <v>37104</v>
      </c>
      <c r="W16" s="227">
        <f t="shared" si="1"/>
        <v>37104</v>
      </c>
      <c r="X16" s="231">
        <v>9</v>
      </c>
      <c r="Y16" s="231">
        <f t="shared" si="3"/>
        <v>37135</v>
      </c>
      <c r="Z16" s="67"/>
      <c r="AA16" s="67"/>
    </row>
    <row r="17" spans="1:27" ht="13.5" customHeight="1" thickBot="1" x14ac:dyDescent="0.3">
      <c r="A17" s="43"/>
      <c r="B17" s="27">
        <v>801</v>
      </c>
      <c r="C17" s="253">
        <f>F6</f>
        <v>0</v>
      </c>
      <c r="D17" s="44" t="s">
        <v>61</v>
      </c>
      <c r="E17" s="216">
        <f>C17*H9/100</f>
        <v>0</v>
      </c>
      <c r="F17" s="24"/>
      <c r="G17" s="228">
        <v>4</v>
      </c>
      <c r="H17" s="44" t="s">
        <v>19</v>
      </c>
      <c r="I17" s="27"/>
      <c r="J17" s="30">
        <f>$H$9*$D$11/365</f>
        <v>30.791095890410958</v>
      </c>
      <c r="K17" s="44" t="s">
        <v>20</v>
      </c>
      <c r="L17" s="193">
        <f>J17*G17</f>
        <v>123.16438356164383</v>
      </c>
      <c r="M17" s="154"/>
      <c r="N17" s="154"/>
      <c r="O17" s="154"/>
      <c r="Q17" s="232"/>
      <c r="R17" s="233"/>
      <c r="S17" s="234"/>
      <c r="T17" s="236">
        <v>500000</v>
      </c>
      <c r="U17" s="237">
        <v>2500</v>
      </c>
      <c r="V17" s="239">
        <f>V16+31</f>
        <v>37135</v>
      </c>
      <c r="W17" s="227">
        <f t="shared" si="1"/>
        <v>37135</v>
      </c>
      <c r="X17" s="231">
        <v>10</v>
      </c>
      <c r="Y17" s="231">
        <f t="shared" si="3"/>
        <v>37165</v>
      </c>
      <c r="Z17" s="67"/>
      <c r="AA17" s="67"/>
    </row>
    <row r="18" spans="1:27" ht="13.5" customHeight="1" x14ac:dyDescent="0.25">
      <c r="A18" s="43"/>
      <c r="B18" s="27">
        <v>802</v>
      </c>
      <c r="C18" s="254">
        <v>0</v>
      </c>
      <c r="D18" s="44" t="s">
        <v>21</v>
      </c>
      <c r="E18" s="216">
        <f>C18*H9/100</f>
        <v>0</v>
      </c>
      <c r="F18" s="24"/>
      <c r="G18" s="228">
        <f>VLOOKUP($W$8,V9:X68,3,TRUE)</f>
        <v>11</v>
      </c>
      <c r="H18" s="45" t="s">
        <v>96</v>
      </c>
      <c r="I18" s="27"/>
      <c r="J18" s="30">
        <f>D14/12</f>
        <v>385.41666666666669</v>
      </c>
      <c r="K18" s="44" t="s">
        <v>22</v>
      </c>
      <c r="L18" s="193">
        <f>G18*J18</f>
        <v>4239.5833333333339</v>
      </c>
      <c r="M18" s="154"/>
      <c r="N18" s="154"/>
      <c r="O18" s="154" t="s">
        <v>2</v>
      </c>
      <c r="P18" s="155"/>
      <c r="V18" s="239">
        <f>V17+30</f>
        <v>37165</v>
      </c>
      <c r="W18" s="227">
        <f t="shared" si="1"/>
        <v>37165</v>
      </c>
      <c r="X18" s="231">
        <v>11</v>
      </c>
      <c r="Y18" s="231">
        <f t="shared" si="3"/>
        <v>37196</v>
      </c>
      <c r="Z18" s="67"/>
      <c r="AA18" s="67"/>
    </row>
    <row r="19" spans="1:27" ht="13.5" customHeight="1" x14ac:dyDescent="0.25">
      <c r="A19" s="43"/>
      <c r="B19" s="27">
        <v>803</v>
      </c>
      <c r="C19" s="27"/>
      <c r="D19" s="44" t="s">
        <v>23</v>
      </c>
      <c r="E19" s="75">
        <v>325</v>
      </c>
      <c r="F19" s="24"/>
      <c r="G19" s="29">
        <v>4</v>
      </c>
      <c r="H19" s="44" t="s">
        <v>95</v>
      </c>
      <c r="I19" s="27"/>
      <c r="J19" s="30">
        <f>D13/12</f>
        <v>75</v>
      </c>
      <c r="K19" s="44" t="s">
        <v>22</v>
      </c>
      <c r="L19" s="193">
        <f>G19*J19</f>
        <v>300</v>
      </c>
      <c r="M19" s="154" t="s">
        <v>2</v>
      </c>
      <c r="N19" s="154"/>
      <c r="O19" s="154"/>
      <c r="Q19" s="209" t="s">
        <v>2</v>
      </c>
      <c r="V19" s="239">
        <f>V18+31</f>
        <v>37196</v>
      </c>
      <c r="W19" s="227">
        <f t="shared" si="1"/>
        <v>37196</v>
      </c>
      <c r="X19" s="231">
        <v>0</v>
      </c>
      <c r="Y19" s="231">
        <f t="shared" si="3"/>
        <v>37226</v>
      </c>
      <c r="Z19" s="67"/>
      <c r="AA19" s="67"/>
    </row>
    <row r="20" spans="1:27" ht="13.5" customHeight="1" x14ac:dyDescent="0.25">
      <c r="A20" s="43"/>
      <c r="B20" s="27">
        <v>804</v>
      </c>
      <c r="C20" s="27"/>
      <c r="D20" s="44" t="s">
        <v>24</v>
      </c>
      <c r="E20" s="75">
        <v>50</v>
      </c>
      <c r="F20" s="24"/>
      <c r="G20" s="29">
        <v>0</v>
      </c>
      <c r="H20" s="44" t="s">
        <v>25</v>
      </c>
      <c r="I20" s="27"/>
      <c r="J20" s="30">
        <v>0</v>
      </c>
      <c r="K20" s="44" t="s">
        <v>22</v>
      </c>
      <c r="L20" s="193">
        <f>G20*J20</f>
        <v>0</v>
      </c>
      <c r="S20" s="211"/>
      <c r="V20" s="239">
        <f>V19+30</f>
        <v>37226</v>
      </c>
      <c r="W20" s="227">
        <f t="shared" si="1"/>
        <v>37226</v>
      </c>
      <c r="X20" s="231">
        <v>1</v>
      </c>
      <c r="Y20" s="231">
        <f t="shared" si="3"/>
        <v>37257</v>
      </c>
      <c r="Z20" s="67"/>
      <c r="AA20" s="67"/>
    </row>
    <row r="21" spans="1:27" ht="13.5" customHeight="1" x14ac:dyDescent="0.25">
      <c r="A21" s="43"/>
      <c r="B21" s="27">
        <v>805</v>
      </c>
      <c r="C21" s="27"/>
      <c r="D21" s="44" t="s">
        <v>71</v>
      </c>
      <c r="E21" s="76">
        <v>0</v>
      </c>
      <c r="F21" s="24"/>
      <c r="G21" s="29">
        <v>0</v>
      </c>
      <c r="H21" s="44" t="s">
        <v>26</v>
      </c>
      <c r="I21" s="27"/>
      <c r="J21" s="30">
        <v>0</v>
      </c>
      <c r="K21" s="44" t="s">
        <v>22</v>
      </c>
      <c r="L21" s="193">
        <f>G21*J21</f>
        <v>0</v>
      </c>
      <c r="S21" s="225" t="s">
        <v>2</v>
      </c>
      <c r="V21" s="239">
        <f>V20+31</f>
        <v>37257</v>
      </c>
      <c r="W21" s="227">
        <f t="shared" si="1"/>
        <v>37257</v>
      </c>
      <c r="X21" s="231">
        <v>2</v>
      </c>
      <c r="Y21" s="231">
        <f t="shared" si="3"/>
        <v>37288</v>
      </c>
      <c r="Z21" s="67"/>
      <c r="AA21" s="67"/>
    </row>
    <row r="22" spans="1:27" ht="13.5" customHeight="1" thickBot="1" x14ac:dyDescent="0.3">
      <c r="A22" s="43"/>
      <c r="B22" s="27">
        <v>828</v>
      </c>
      <c r="C22" s="27"/>
      <c r="D22" s="44" t="s">
        <v>27</v>
      </c>
      <c r="E22" s="75">
        <v>250</v>
      </c>
      <c r="F22" s="24"/>
      <c r="G22" s="31"/>
      <c r="H22" s="44" t="s">
        <v>2</v>
      </c>
      <c r="I22" s="27"/>
      <c r="J22" s="27"/>
      <c r="K22" s="46" t="s">
        <v>69</v>
      </c>
      <c r="L22" s="194">
        <f>SUM(L17:L21)</f>
        <v>4662.7477168949781</v>
      </c>
      <c r="Q22"/>
      <c r="R22"/>
      <c r="S22"/>
      <c r="V22" s="239">
        <f>V21+31</f>
        <v>37288</v>
      </c>
      <c r="W22" s="227">
        <f t="shared" si="1"/>
        <v>37288</v>
      </c>
      <c r="X22" s="231">
        <v>3</v>
      </c>
      <c r="Y22" s="231">
        <f t="shared" si="3"/>
        <v>37316</v>
      </c>
      <c r="Z22" s="67"/>
      <c r="AA22" s="67"/>
    </row>
    <row r="23" spans="1:27" ht="13.5" customHeight="1" thickTop="1" x14ac:dyDescent="0.25">
      <c r="A23" s="43"/>
      <c r="B23" s="27">
        <v>809</v>
      </c>
      <c r="C23" s="27"/>
      <c r="D23" s="44" t="s">
        <v>28</v>
      </c>
      <c r="E23" s="75">
        <v>0</v>
      </c>
      <c r="F23" s="24"/>
      <c r="G23" s="20" t="s">
        <v>93</v>
      </c>
      <c r="H23" s="21"/>
      <c r="I23" s="21"/>
      <c r="J23" s="21"/>
      <c r="K23" s="21"/>
      <c r="L23" s="195"/>
      <c r="M23" s="67" t="s">
        <v>2</v>
      </c>
      <c r="Q23"/>
      <c r="R23"/>
      <c r="S23"/>
      <c r="V23" s="239">
        <f>V22+28</f>
        <v>37316</v>
      </c>
      <c r="W23" s="227">
        <f t="shared" si="1"/>
        <v>37316</v>
      </c>
      <c r="X23" s="231">
        <v>4</v>
      </c>
      <c r="Y23" s="231">
        <f t="shared" si="3"/>
        <v>37347</v>
      </c>
      <c r="Z23" s="67"/>
      <c r="AA23" s="67"/>
    </row>
    <row r="24" spans="1:27" ht="15" customHeight="1" x14ac:dyDescent="0.25">
      <c r="A24" s="43"/>
      <c r="B24" s="27">
        <v>810</v>
      </c>
      <c r="C24" s="27"/>
      <c r="D24" s="44" t="s">
        <v>29</v>
      </c>
      <c r="E24" s="75">
        <v>110</v>
      </c>
      <c r="F24" s="24" t="s">
        <v>2</v>
      </c>
      <c r="G24" s="15" t="s">
        <v>30</v>
      </c>
      <c r="H24" s="22"/>
      <c r="I24" s="22"/>
      <c r="J24" s="22"/>
      <c r="K24" s="22"/>
      <c r="L24" s="196"/>
      <c r="Q24"/>
      <c r="R24"/>
      <c r="S24"/>
      <c r="V24" s="239">
        <f>V23+31</f>
        <v>37347</v>
      </c>
      <c r="W24" s="227">
        <f t="shared" si="1"/>
        <v>37347</v>
      </c>
      <c r="X24" s="231">
        <v>5</v>
      </c>
      <c r="Y24" s="231">
        <f t="shared" si="3"/>
        <v>37377</v>
      </c>
      <c r="Z24" s="67"/>
      <c r="AA24" s="67"/>
    </row>
    <row r="25" spans="1:27" ht="13.5" customHeight="1" x14ac:dyDescent="0.25">
      <c r="A25" s="43"/>
      <c r="B25" s="27">
        <v>823</v>
      </c>
      <c r="C25" s="27"/>
      <c r="D25" s="44" t="s">
        <v>31</v>
      </c>
      <c r="E25" s="75">
        <v>35</v>
      </c>
      <c r="F25" s="24" t="s">
        <v>2</v>
      </c>
      <c r="G25" s="19"/>
      <c r="H25" s="47"/>
      <c r="I25" s="47"/>
      <c r="J25" s="47"/>
      <c r="K25" s="47"/>
      <c r="L25" s="197"/>
      <c r="Q25"/>
      <c r="R25"/>
      <c r="S25"/>
      <c r="T25" s="225" t="s">
        <v>2</v>
      </c>
      <c r="V25" s="239">
        <f>V24+30</f>
        <v>37377</v>
      </c>
      <c r="W25" s="227">
        <f t="shared" si="1"/>
        <v>37377</v>
      </c>
      <c r="X25" s="231">
        <v>6</v>
      </c>
      <c r="Y25" s="231">
        <f t="shared" si="3"/>
        <v>37408</v>
      </c>
      <c r="Z25" s="67"/>
      <c r="AA25" s="67"/>
    </row>
    <row r="26" spans="1:27" ht="13.5" customHeight="1" x14ac:dyDescent="0.25">
      <c r="A26" s="43"/>
      <c r="B26" s="27">
        <v>827</v>
      </c>
      <c r="C26" s="27"/>
      <c r="D26" s="44" t="s">
        <v>32</v>
      </c>
      <c r="E26" s="75">
        <v>0</v>
      </c>
      <c r="F26" s="24"/>
      <c r="G26" s="31"/>
      <c r="H26" s="44" t="s">
        <v>33</v>
      </c>
      <c r="I26" s="27"/>
      <c r="J26" s="32">
        <f>D11</f>
        <v>6.7500000000000004E-2</v>
      </c>
      <c r="K26" s="27"/>
      <c r="L26" s="193">
        <f>PMT(D11/12,D9,-H9)</f>
        <v>1079.9158307860762</v>
      </c>
      <c r="Q26"/>
      <c r="R26"/>
      <c r="S26"/>
      <c r="V26" s="239">
        <f>V25+31</f>
        <v>37408</v>
      </c>
      <c r="W26" s="227">
        <f t="shared" ref="W26:W69" si="4">V26</f>
        <v>37408</v>
      </c>
      <c r="X26" s="231">
        <v>7</v>
      </c>
      <c r="Y26" s="231">
        <f t="shared" si="3"/>
        <v>37438</v>
      </c>
      <c r="Z26" s="67"/>
      <c r="AA26" s="67"/>
    </row>
    <row r="27" spans="1:27" ht="15" customHeight="1" x14ac:dyDescent="0.25">
      <c r="A27" s="43"/>
      <c r="B27" s="27">
        <v>1113</v>
      </c>
      <c r="C27" s="27"/>
      <c r="D27" s="44" t="s">
        <v>34</v>
      </c>
      <c r="E27" s="75">
        <v>50</v>
      </c>
      <c r="F27" s="24"/>
      <c r="G27" s="31"/>
      <c r="H27" s="44" t="s">
        <v>35</v>
      </c>
      <c r="I27" s="27" t="s">
        <v>2</v>
      </c>
      <c r="J27" s="33"/>
      <c r="K27" s="27"/>
      <c r="L27" s="193">
        <f>J18</f>
        <v>385.41666666666669</v>
      </c>
      <c r="Q27"/>
      <c r="R27"/>
      <c r="S27"/>
      <c r="V27" s="239">
        <f>V26+30</f>
        <v>37438</v>
      </c>
      <c r="W27" s="227">
        <f t="shared" si="4"/>
        <v>37438</v>
      </c>
      <c r="X27" s="231">
        <v>8</v>
      </c>
      <c r="Y27" s="231">
        <f t="shared" si="3"/>
        <v>37469</v>
      </c>
      <c r="Z27" s="67"/>
      <c r="AA27" s="67"/>
    </row>
    <row r="28" spans="1:27" ht="15" customHeight="1" x14ac:dyDescent="0.25">
      <c r="A28" s="43"/>
      <c r="B28" s="27">
        <v>816</v>
      </c>
      <c r="C28" s="27" t="s">
        <v>2</v>
      </c>
      <c r="D28" s="44" t="s">
        <v>36</v>
      </c>
      <c r="E28" s="77">
        <v>175</v>
      </c>
      <c r="F28" s="24"/>
      <c r="G28" s="31"/>
      <c r="H28" s="44" t="s">
        <v>37</v>
      </c>
      <c r="I28" s="27"/>
      <c r="J28" s="27"/>
      <c r="K28" s="27"/>
      <c r="L28" s="193">
        <f>J19</f>
        <v>75</v>
      </c>
      <c r="M28" s="67" t="s">
        <v>2</v>
      </c>
      <c r="O28" s="67" t="s">
        <v>2</v>
      </c>
      <c r="Q28"/>
      <c r="R28"/>
      <c r="S28"/>
      <c r="V28" s="239">
        <f>V27+31</f>
        <v>37469</v>
      </c>
      <c r="W28" s="227">
        <f t="shared" si="4"/>
        <v>37469</v>
      </c>
      <c r="X28" s="231">
        <v>9</v>
      </c>
      <c r="Y28" s="231">
        <f t="shared" si="3"/>
        <v>37500</v>
      </c>
      <c r="Z28" s="67"/>
      <c r="AA28" s="67"/>
    </row>
    <row r="29" spans="1:27" ht="15" customHeight="1" thickBot="1" x14ac:dyDescent="0.3">
      <c r="A29" s="43"/>
      <c r="B29" s="27"/>
      <c r="C29" s="27" t="s">
        <v>2</v>
      </c>
      <c r="D29" s="46" t="s">
        <v>67</v>
      </c>
      <c r="E29" s="255">
        <f>SUM(E17:E28)</f>
        <v>995</v>
      </c>
      <c r="F29" s="24"/>
      <c r="G29" s="31"/>
      <c r="H29" s="44" t="s">
        <v>38</v>
      </c>
      <c r="I29" s="27"/>
      <c r="J29" s="27"/>
      <c r="K29" s="27"/>
      <c r="L29" s="193">
        <f>PMT(D12/12,180,-H10)</f>
        <v>0</v>
      </c>
      <c r="M29" s="67" t="s">
        <v>2</v>
      </c>
      <c r="O29" s="207" t="s">
        <v>2</v>
      </c>
      <c r="P29" s="67" t="s">
        <v>2</v>
      </c>
      <c r="Q29"/>
      <c r="R29"/>
      <c r="S29"/>
      <c r="V29" s="239">
        <f>V28+31</f>
        <v>37500</v>
      </c>
      <c r="W29" s="227">
        <f t="shared" si="4"/>
        <v>37500</v>
      </c>
      <c r="X29" s="231">
        <v>10</v>
      </c>
      <c r="Y29" s="231">
        <f t="shared" si="3"/>
        <v>37530</v>
      </c>
      <c r="Z29" s="67"/>
      <c r="AA29" s="67"/>
    </row>
    <row r="30" spans="1:27" ht="15" customHeight="1" thickTop="1" x14ac:dyDescent="0.25">
      <c r="A30" s="48" t="s">
        <v>39</v>
      </c>
      <c r="B30" s="23"/>
      <c r="C30" s="23"/>
      <c r="D30" s="49"/>
      <c r="E30" s="28"/>
      <c r="F30" s="10"/>
      <c r="G30" s="31"/>
      <c r="H30" s="44" t="s">
        <v>40</v>
      </c>
      <c r="I30" s="27"/>
      <c r="J30" s="27"/>
      <c r="K30" s="27"/>
      <c r="L30" s="193">
        <f>J20</f>
        <v>0</v>
      </c>
      <c r="Q30"/>
      <c r="R30"/>
      <c r="S30"/>
      <c r="V30" s="239">
        <f>V29+30</f>
        <v>37530</v>
      </c>
      <c r="W30" s="227">
        <f t="shared" si="4"/>
        <v>37530</v>
      </c>
      <c r="X30" s="231">
        <v>11</v>
      </c>
      <c r="Y30" s="231">
        <f t="shared" si="3"/>
        <v>37561</v>
      </c>
      <c r="Z30" s="67"/>
      <c r="AA30" s="67"/>
    </row>
    <row r="31" spans="1:27" ht="15" customHeight="1" x14ac:dyDescent="0.25">
      <c r="A31" s="43"/>
      <c r="B31" s="27">
        <v>1109</v>
      </c>
      <c r="C31" s="27"/>
      <c r="D31" s="44" t="s">
        <v>41</v>
      </c>
      <c r="E31" s="216">
        <f>IF($H$9&lt;100000,(($H$9-100000)*0.00805)+992-$O$14,(($H$9-100000)*0.00628)+992-$O$14)</f>
        <v>859.33679999999981</v>
      </c>
      <c r="F31" s="24" t="s">
        <v>2</v>
      </c>
      <c r="G31" s="31"/>
      <c r="H31" s="44" t="s">
        <v>42</v>
      </c>
      <c r="I31" s="27"/>
      <c r="J31" s="27"/>
      <c r="K31" s="27"/>
      <c r="L31" s="193">
        <f>J21</f>
        <v>0</v>
      </c>
      <c r="O31" s="224" t="s">
        <v>2</v>
      </c>
      <c r="Q31"/>
      <c r="R31"/>
      <c r="S31"/>
      <c r="V31" s="239">
        <f>V30+31</f>
        <v>37561</v>
      </c>
      <c r="W31" s="227">
        <f t="shared" si="4"/>
        <v>37561</v>
      </c>
      <c r="X31" s="231">
        <v>0</v>
      </c>
      <c r="Y31" s="231">
        <f t="shared" si="3"/>
        <v>37591</v>
      </c>
      <c r="Z31" s="67"/>
      <c r="AA31" s="67"/>
    </row>
    <row r="32" spans="1:27" ht="15" customHeight="1" x14ac:dyDescent="0.25">
      <c r="A32" s="43"/>
      <c r="B32" s="27">
        <v>1110</v>
      </c>
      <c r="C32" s="27"/>
      <c r="D32" s="44" t="s">
        <v>43</v>
      </c>
      <c r="E32" s="78" t="s">
        <v>90</v>
      </c>
      <c r="F32" s="24" t="s">
        <v>2</v>
      </c>
      <c r="G32" s="31"/>
      <c r="H32" s="44" t="s">
        <v>2</v>
      </c>
      <c r="I32" s="27"/>
      <c r="J32" s="27"/>
      <c r="K32" s="27"/>
      <c r="L32" s="198"/>
      <c r="O32" s="67" t="s">
        <v>2</v>
      </c>
      <c r="Q32"/>
      <c r="R32"/>
      <c r="S32"/>
      <c r="V32" s="239">
        <f>V31+30</f>
        <v>37591</v>
      </c>
      <c r="W32" s="227">
        <f t="shared" si="4"/>
        <v>37591</v>
      </c>
      <c r="X32" s="231">
        <v>1</v>
      </c>
      <c r="Y32" s="231">
        <f t="shared" si="3"/>
        <v>37622</v>
      </c>
      <c r="Z32" s="67"/>
      <c r="AA32" s="67"/>
    </row>
    <row r="33" spans="1:27" ht="15" customHeight="1" x14ac:dyDescent="0.25">
      <c r="A33" s="43"/>
      <c r="B33" s="27">
        <v>1112</v>
      </c>
      <c r="C33" s="27"/>
      <c r="D33" s="44" t="s">
        <v>44</v>
      </c>
      <c r="E33" s="75">
        <v>125</v>
      </c>
      <c r="F33" s="24"/>
      <c r="G33" s="31"/>
      <c r="H33" s="27" t="s">
        <v>2</v>
      </c>
      <c r="I33" s="27"/>
      <c r="J33" s="27"/>
      <c r="K33" s="27"/>
      <c r="L33" s="199"/>
      <c r="Q33"/>
      <c r="R33"/>
      <c r="S33"/>
      <c r="V33" s="239">
        <f>V32+31</f>
        <v>37622</v>
      </c>
      <c r="W33" s="227">
        <f t="shared" si="4"/>
        <v>37622</v>
      </c>
      <c r="X33" s="231">
        <v>2</v>
      </c>
      <c r="Y33" s="231">
        <f t="shared" si="3"/>
        <v>37653</v>
      </c>
      <c r="Z33" s="67"/>
      <c r="AA33" s="67"/>
    </row>
    <row r="34" spans="1:27" ht="15" customHeight="1" thickBot="1" x14ac:dyDescent="0.3">
      <c r="A34" s="43"/>
      <c r="B34" s="27">
        <v>1113</v>
      </c>
      <c r="C34" s="27"/>
      <c r="D34" s="44" t="s">
        <v>34</v>
      </c>
      <c r="E34" s="75">
        <v>50</v>
      </c>
      <c r="F34" s="25"/>
      <c r="G34" s="31"/>
      <c r="H34" s="44" t="s">
        <v>2</v>
      </c>
      <c r="I34" s="27"/>
      <c r="J34" s="27"/>
      <c r="K34" s="46" t="s">
        <v>70</v>
      </c>
      <c r="L34" s="194">
        <f>SUM(L26:L32)</f>
        <v>1540.3324974527429</v>
      </c>
      <c r="Q34"/>
      <c r="R34"/>
      <c r="S34"/>
      <c r="V34" s="239">
        <f>V33+31</f>
        <v>37653</v>
      </c>
      <c r="W34" s="227">
        <f t="shared" si="4"/>
        <v>37653</v>
      </c>
      <c r="X34" s="231">
        <v>3</v>
      </c>
      <c r="Y34" s="231">
        <f t="shared" si="3"/>
        <v>37681</v>
      </c>
      <c r="Z34" s="67"/>
      <c r="AA34" s="67"/>
    </row>
    <row r="35" spans="1:27" ht="15" customHeight="1" thickTop="1" x14ac:dyDescent="0.25">
      <c r="A35" s="43"/>
      <c r="B35" s="27">
        <v>1201</v>
      </c>
      <c r="C35" s="27"/>
      <c r="D35" s="44" t="s">
        <v>45</v>
      </c>
      <c r="E35" s="75">
        <v>75</v>
      </c>
      <c r="F35" s="24"/>
      <c r="G35" s="34"/>
      <c r="H35" s="35"/>
      <c r="I35" s="35"/>
      <c r="J35" s="35"/>
      <c r="K35" s="35"/>
      <c r="L35" s="200"/>
      <c r="Q35" s="222" t="s">
        <v>2</v>
      </c>
      <c r="V35" s="239">
        <f>V34+28</f>
        <v>37681</v>
      </c>
      <c r="W35" s="227">
        <f t="shared" si="4"/>
        <v>37681</v>
      </c>
      <c r="X35" s="231">
        <v>4</v>
      </c>
      <c r="Y35" s="231">
        <f t="shared" si="3"/>
        <v>37712</v>
      </c>
      <c r="Z35" s="67"/>
      <c r="AA35" s="67"/>
    </row>
    <row r="36" spans="1:27" ht="15" customHeight="1" x14ac:dyDescent="0.25">
      <c r="A36" s="43"/>
      <c r="B36" s="27">
        <v>1204</v>
      </c>
      <c r="C36" s="27"/>
      <c r="D36" s="44" t="s">
        <v>46</v>
      </c>
      <c r="E36" s="75">
        <v>0</v>
      </c>
      <c r="F36" s="24"/>
      <c r="G36" s="15" t="s">
        <v>47</v>
      </c>
      <c r="H36" s="22"/>
      <c r="I36" s="22"/>
      <c r="J36" s="22"/>
      <c r="K36" s="22"/>
      <c r="L36" s="201"/>
      <c r="Q36" s="222"/>
      <c r="V36" s="239">
        <f>V35+31</f>
        <v>37712</v>
      </c>
      <c r="W36" s="227">
        <f t="shared" si="4"/>
        <v>37712</v>
      </c>
      <c r="X36" s="231">
        <v>5</v>
      </c>
      <c r="Y36" s="231">
        <f t="shared" si="3"/>
        <v>37742</v>
      </c>
      <c r="Z36" s="67"/>
      <c r="AA36" s="67"/>
    </row>
    <row r="37" spans="1:27" ht="15" customHeight="1" x14ac:dyDescent="0.25">
      <c r="A37" s="43"/>
      <c r="B37" s="27">
        <v>1301</v>
      </c>
      <c r="C37" s="27"/>
      <c r="D37" s="44" t="s">
        <v>48</v>
      </c>
      <c r="E37" s="75" t="s">
        <v>91</v>
      </c>
      <c r="F37" s="24"/>
      <c r="G37" s="31"/>
      <c r="H37" s="44" t="s">
        <v>89</v>
      </c>
      <c r="I37" s="27"/>
      <c r="J37" s="27"/>
      <c r="K37" s="27"/>
      <c r="L37" s="206">
        <v>161100</v>
      </c>
      <c r="M37" s="67" t="s">
        <v>2</v>
      </c>
      <c r="Q37" s="222"/>
      <c r="V37" s="239">
        <f>V36+30</f>
        <v>37742</v>
      </c>
      <c r="W37" s="227">
        <f t="shared" si="4"/>
        <v>37742</v>
      </c>
      <c r="X37" s="231">
        <v>6</v>
      </c>
      <c r="Y37" s="231">
        <f t="shared" si="3"/>
        <v>37773</v>
      </c>
      <c r="Z37" s="67"/>
      <c r="AA37" s="67"/>
    </row>
    <row r="38" spans="1:27" ht="15" customHeight="1" x14ac:dyDescent="0.25">
      <c r="A38" s="43"/>
      <c r="B38" s="166" t="s">
        <v>86</v>
      </c>
      <c r="C38" s="27"/>
      <c r="D38" s="44" t="s">
        <v>49</v>
      </c>
      <c r="E38" s="76">
        <v>150</v>
      </c>
      <c r="F38" s="24"/>
      <c r="G38" s="31"/>
      <c r="H38" s="44" t="s">
        <v>50</v>
      </c>
      <c r="I38" s="27"/>
      <c r="J38" s="27"/>
      <c r="K38" s="27"/>
      <c r="L38" s="202">
        <f>E29</f>
        <v>995</v>
      </c>
      <c r="Q38" s="222" t="s">
        <v>2</v>
      </c>
      <c r="V38" s="239">
        <f>V37+31</f>
        <v>37773</v>
      </c>
      <c r="W38" s="227">
        <f t="shared" si="4"/>
        <v>37773</v>
      </c>
      <c r="X38" s="231">
        <v>7</v>
      </c>
      <c r="Y38" s="231">
        <f t="shared" si="3"/>
        <v>37803</v>
      </c>
      <c r="Z38" s="67"/>
      <c r="AA38" s="67"/>
    </row>
    <row r="39" spans="1:27" ht="15" customHeight="1" x14ac:dyDescent="0.25">
      <c r="A39" s="43"/>
      <c r="B39" s="166" t="s">
        <v>86</v>
      </c>
      <c r="C39" s="27"/>
      <c r="D39" s="44" t="s">
        <v>51</v>
      </c>
      <c r="E39" s="75">
        <v>0</v>
      </c>
      <c r="F39" s="26"/>
      <c r="G39" s="31"/>
      <c r="H39" s="44" t="s">
        <v>52</v>
      </c>
      <c r="I39" s="27"/>
      <c r="J39" s="27"/>
      <c r="K39" s="27"/>
      <c r="L39" s="202">
        <f>E44</f>
        <v>1259.3367999999998</v>
      </c>
      <c r="Q39"/>
      <c r="R39"/>
      <c r="V39" s="239">
        <f>V38+30</f>
        <v>37803</v>
      </c>
      <c r="W39" s="227">
        <f t="shared" si="4"/>
        <v>37803</v>
      </c>
      <c r="X39" s="231">
        <v>8</v>
      </c>
      <c r="Y39" s="231">
        <f t="shared" si="3"/>
        <v>37834</v>
      </c>
      <c r="Z39" s="67"/>
      <c r="AA39" s="67"/>
    </row>
    <row r="40" spans="1:27" ht="15" customHeight="1" x14ac:dyDescent="0.25">
      <c r="A40" s="43"/>
      <c r="B40" s="27">
        <v>1302</v>
      </c>
      <c r="C40" s="27"/>
      <c r="D40" s="27" t="s">
        <v>53</v>
      </c>
      <c r="E40" s="75">
        <v>0</v>
      </c>
      <c r="F40" s="26"/>
      <c r="G40" s="31"/>
      <c r="H40" s="44" t="s">
        <v>54</v>
      </c>
      <c r="I40" s="27"/>
      <c r="J40" s="27"/>
      <c r="K40" s="27"/>
      <c r="L40" s="202">
        <f>L22</f>
        <v>4662.7477168949781</v>
      </c>
      <c r="Q40"/>
      <c r="R40"/>
      <c r="V40" s="239">
        <f>V39+31</f>
        <v>37834</v>
      </c>
      <c r="W40" s="227">
        <f t="shared" si="4"/>
        <v>37834</v>
      </c>
      <c r="X40" s="231">
        <v>9</v>
      </c>
      <c r="Y40" s="231">
        <f t="shared" si="3"/>
        <v>37865</v>
      </c>
      <c r="Z40" s="67"/>
      <c r="AA40" s="67"/>
    </row>
    <row r="41" spans="1:27" ht="15" customHeight="1" thickBot="1" x14ac:dyDescent="0.3">
      <c r="A41" s="43"/>
      <c r="B41" s="166" t="s">
        <v>86</v>
      </c>
      <c r="C41" s="27"/>
      <c r="D41" s="27" t="s">
        <v>55</v>
      </c>
      <c r="E41" s="75">
        <v>0</v>
      </c>
      <c r="F41" s="26"/>
      <c r="G41" s="31"/>
      <c r="H41" s="44" t="s">
        <v>56</v>
      </c>
      <c r="I41" s="27"/>
      <c r="J41" s="27"/>
      <c r="K41" s="27"/>
      <c r="L41" s="203">
        <f>SUM(L37:L40)</f>
        <v>168017.08451689497</v>
      </c>
      <c r="V41" s="239">
        <f>V40+31</f>
        <v>37865</v>
      </c>
      <c r="W41" s="227">
        <f t="shared" si="4"/>
        <v>37865</v>
      </c>
      <c r="X41" s="231">
        <v>10</v>
      </c>
      <c r="Y41" s="231">
        <f t="shared" si="3"/>
        <v>37895</v>
      </c>
      <c r="Z41" s="67"/>
    </row>
    <row r="42" spans="1:27" ht="15" customHeight="1" thickTop="1" x14ac:dyDescent="0.25">
      <c r="A42" s="43"/>
      <c r="B42" s="80" t="s">
        <v>86</v>
      </c>
      <c r="C42" s="27"/>
      <c r="D42" s="27" t="s">
        <v>2</v>
      </c>
      <c r="E42" s="167" t="s">
        <v>86</v>
      </c>
      <c r="F42" s="26"/>
      <c r="G42" s="31"/>
      <c r="H42" s="44"/>
      <c r="I42" s="27"/>
      <c r="J42" s="27"/>
      <c r="K42" s="27"/>
      <c r="L42" s="204" t="s">
        <v>2</v>
      </c>
      <c r="V42" s="239">
        <f>V41+30</f>
        <v>37895</v>
      </c>
      <c r="W42" s="227">
        <f t="shared" si="4"/>
        <v>37895</v>
      </c>
      <c r="X42" s="231">
        <v>11</v>
      </c>
      <c r="Y42" s="231">
        <f t="shared" si="3"/>
        <v>37926</v>
      </c>
      <c r="Z42" s="67"/>
    </row>
    <row r="43" spans="1:27" ht="15" customHeight="1" x14ac:dyDescent="0.25">
      <c r="A43" s="43"/>
      <c r="B43" s="27"/>
      <c r="C43" s="27"/>
      <c r="D43" s="27"/>
      <c r="E43" s="50"/>
      <c r="F43" s="26"/>
      <c r="G43" s="31"/>
      <c r="H43" s="44" t="s">
        <v>92</v>
      </c>
      <c r="I43" s="27"/>
      <c r="J43" s="27"/>
      <c r="K43" s="27"/>
      <c r="L43" s="169">
        <f>-H9</f>
        <v>-166500</v>
      </c>
      <c r="V43" s="239">
        <f>V42+31</f>
        <v>37926</v>
      </c>
      <c r="W43" s="227">
        <f t="shared" si="4"/>
        <v>37926</v>
      </c>
      <c r="X43" s="231">
        <v>0</v>
      </c>
      <c r="Y43" s="231">
        <f t="shared" si="3"/>
        <v>37956</v>
      </c>
      <c r="Z43" s="67"/>
    </row>
    <row r="44" spans="1:27" ht="15" customHeight="1" thickBot="1" x14ac:dyDescent="0.3">
      <c r="A44" s="43"/>
      <c r="B44" s="44"/>
      <c r="C44" s="27"/>
      <c r="D44" s="46" t="s">
        <v>68</v>
      </c>
      <c r="E44" s="256">
        <f>SUM(E31:E42)</f>
        <v>1259.3367999999998</v>
      </c>
      <c r="F44" s="26"/>
      <c r="G44" s="31"/>
      <c r="H44" s="44" t="s">
        <v>87</v>
      </c>
      <c r="I44" s="27"/>
      <c r="J44" s="27"/>
      <c r="K44" s="27"/>
      <c r="L44" s="169">
        <v>-375</v>
      </c>
      <c r="V44" s="239">
        <f>V43+30</f>
        <v>37956</v>
      </c>
      <c r="W44" s="227">
        <f t="shared" si="4"/>
        <v>37956</v>
      </c>
      <c r="X44" s="231">
        <v>1</v>
      </c>
      <c r="Y44" s="231">
        <f t="shared" si="3"/>
        <v>37987</v>
      </c>
      <c r="Z44" s="67"/>
    </row>
    <row r="45" spans="1:27" ht="15" customHeight="1" thickTop="1" thickBot="1" x14ac:dyDescent="0.3">
      <c r="A45" s="43"/>
      <c r="B45" s="47"/>
      <c r="C45" s="47"/>
      <c r="D45" s="47"/>
      <c r="E45" s="47"/>
      <c r="F45" s="11"/>
      <c r="G45" s="31"/>
      <c r="H45" s="44" t="s">
        <v>64</v>
      </c>
      <c r="I45" s="27"/>
      <c r="J45" s="27"/>
      <c r="K45" s="27"/>
      <c r="L45" s="170" t="s">
        <v>57</v>
      </c>
      <c r="M45" s="46" t="s">
        <v>2</v>
      </c>
      <c r="V45" s="239">
        <f>V44+31</f>
        <v>37987</v>
      </c>
      <c r="W45" s="227">
        <f t="shared" si="4"/>
        <v>37987</v>
      </c>
      <c r="X45" s="231">
        <v>2</v>
      </c>
      <c r="Y45" s="231">
        <f t="shared" si="3"/>
        <v>38018</v>
      </c>
      <c r="Z45" s="67"/>
    </row>
    <row r="46" spans="1:27" ht="15" customHeight="1" thickBot="1" x14ac:dyDescent="0.3">
      <c r="A46" s="43"/>
      <c r="B46" s="47"/>
      <c r="C46" s="47"/>
      <c r="D46" s="47" t="s">
        <v>2</v>
      </c>
      <c r="E46" s="51" t="s">
        <v>2</v>
      </c>
      <c r="F46" s="168" t="s">
        <v>86</v>
      </c>
      <c r="G46" s="31"/>
      <c r="H46" s="217"/>
      <c r="I46" s="217"/>
      <c r="J46" s="217"/>
      <c r="K46" s="218" t="str">
        <f>IF(L46&lt;0,"Cash Due to Owner at Closing =","Cash Due to Mortgage Company at Closing =")</f>
        <v>Cash Due to Mortgage Company at Closing =</v>
      </c>
      <c r="L46" s="205">
        <f>SUM(L41:L45)</f>
        <v>1142.0845168949745</v>
      </c>
      <c r="V46" s="239">
        <f>V45+31</f>
        <v>38018</v>
      </c>
      <c r="W46" s="227">
        <f t="shared" si="4"/>
        <v>38018</v>
      </c>
      <c r="X46" s="231">
        <v>3</v>
      </c>
      <c r="Y46" s="231">
        <f t="shared" si="3"/>
        <v>38047</v>
      </c>
      <c r="Z46" s="67"/>
    </row>
    <row r="47" spans="1:27" ht="15" customHeight="1" thickBot="1" x14ac:dyDescent="0.3">
      <c r="A47" s="52"/>
      <c r="B47" s="53"/>
      <c r="C47" s="53"/>
      <c r="D47" s="53" t="s">
        <v>2</v>
      </c>
      <c r="E47" s="53"/>
      <c r="F47" s="53"/>
      <c r="G47" s="54" t="s">
        <v>94</v>
      </c>
      <c r="H47" s="55"/>
      <c r="I47" s="53"/>
      <c r="J47" s="53"/>
      <c r="K47" s="53"/>
      <c r="L47" s="56"/>
      <c r="V47" s="239">
        <f>V46+29</f>
        <v>38047</v>
      </c>
      <c r="W47" s="227">
        <f t="shared" si="4"/>
        <v>38047</v>
      </c>
      <c r="X47" s="231">
        <v>4</v>
      </c>
      <c r="Y47" s="231">
        <f t="shared" si="3"/>
        <v>38078</v>
      </c>
      <c r="Z47" s="67"/>
    </row>
    <row r="48" spans="1:27" ht="15" customHeight="1" x14ac:dyDescent="0.25">
      <c r="A48" s="12"/>
      <c r="B48" s="12"/>
      <c r="C48" s="12"/>
      <c r="D48" s="12"/>
      <c r="E48" s="12"/>
      <c r="F48" s="12"/>
      <c r="G48" s="12"/>
      <c r="H48" s="13"/>
      <c r="I48" s="12"/>
      <c r="J48" s="12"/>
      <c r="K48" s="12"/>
      <c r="L48" s="14"/>
      <c r="V48" s="239">
        <f>V47+31</f>
        <v>38078</v>
      </c>
      <c r="W48" s="227">
        <f t="shared" si="4"/>
        <v>38078</v>
      </c>
      <c r="X48" s="231">
        <v>5</v>
      </c>
      <c r="Y48" s="231">
        <f t="shared" si="3"/>
        <v>38108</v>
      </c>
      <c r="Z48" s="67"/>
    </row>
    <row r="49" spans="1:26" ht="15" customHeight="1" x14ac:dyDescent="0.25">
      <c r="V49" s="239">
        <f>V48+30</f>
        <v>38108</v>
      </c>
      <c r="W49" s="227">
        <f t="shared" si="4"/>
        <v>38108</v>
      </c>
      <c r="X49" s="231">
        <v>6</v>
      </c>
      <c r="Y49" s="231">
        <f t="shared" si="3"/>
        <v>38139</v>
      </c>
      <c r="Z49" s="67"/>
    </row>
    <row r="50" spans="1:26" ht="15" customHeight="1" x14ac:dyDescent="0.25">
      <c r="V50" s="239">
        <f>V49+31</f>
        <v>38139</v>
      </c>
      <c r="W50" s="227">
        <f t="shared" si="4"/>
        <v>38139</v>
      </c>
      <c r="X50" s="231">
        <v>7</v>
      </c>
      <c r="Y50" s="231">
        <f t="shared" si="3"/>
        <v>38169</v>
      </c>
      <c r="Z50" s="67"/>
    </row>
    <row r="51" spans="1:26" ht="15" customHeight="1" x14ac:dyDescent="0.25">
      <c r="V51" s="239">
        <f>V50+30</f>
        <v>38169</v>
      </c>
      <c r="W51" s="227">
        <f t="shared" si="4"/>
        <v>38169</v>
      </c>
      <c r="X51" s="231">
        <v>8</v>
      </c>
      <c r="Y51" s="231">
        <f t="shared" si="3"/>
        <v>38200</v>
      </c>
      <c r="Z51" s="67"/>
    </row>
    <row r="52" spans="1:26" ht="15" customHeight="1" x14ac:dyDescent="0.25">
      <c r="A52" s="271" t="str">
        <f>IF(N1="BC","Estimate provided by Bill Caruso.  Phone# 713-802-6014",IF(N1="BS","Estimate provided by Bill Shoemaker.  Phone# 713-802-6031",IF(N1="DB","Estimate provided by Dan Beyer.  Phone# 713-802-6020",IF(N1="JS","Estimate provided by June Sedwick.  Phone# 713-802-6043",IF(N1="LR","Estimate provided by Linda Rhoden.  Phone# 713-802-6025",IF(N1="OR","Estimate provided by Owen Raun.  Phone# 713-802-6040",IF(N1="JB","Estimate provided by Jim Backhus.  Phone# 281-N52364-0868",IF(N1="Please Select","NO SPECIFIED LOAN OFFICER"))))))))</f>
        <v>Estimate provided by Linda Rhoden.  Phone# 713-802-6025</v>
      </c>
      <c r="B52" s="271"/>
      <c r="C52" s="271"/>
      <c r="D52" s="271"/>
      <c r="E52" s="271"/>
      <c r="F52" s="271"/>
      <c r="G52" s="271"/>
      <c r="H52" s="271"/>
      <c r="I52" s="271"/>
      <c r="J52" s="271"/>
      <c r="K52" s="271"/>
      <c r="L52" s="271"/>
      <c r="M52" s="3"/>
      <c r="N52" s="3"/>
      <c r="O52" s="3"/>
      <c r="P52" s="3"/>
      <c r="V52" s="239">
        <f>V51+31</f>
        <v>38200</v>
      </c>
      <c r="W52" s="227">
        <f t="shared" si="4"/>
        <v>38200</v>
      </c>
      <c r="X52" s="231">
        <v>9</v>
      </c>
      <c r="Y52" s="231">
        <f t="shared" si="3"/>
        <v>38231</v>
      </c>
      <c r="Z52" s="67"/>
    </row>
    <row r="53" spans="1:26" ht="15" customHeight="1" x14ac:dyDescent="0.25">
      <c r="A53" s="271" t="s">
        <v>128</v>
      </c>
      <c r="B53" s="271"/>
      <c r="C53" s="271"/>
      <c r="D53" s="271"/>
      <c r="E53" s="271"/>
      <c r="F53" s="271"/>
      <c r="G53" s="271"/>
      <c r="H53" s="271"/>
      <c r="I53" s="271"/>
      <c r="J53" s="271"/>
      <c r="K53" s="271"/>
      <c r="L53" s="271"/>
      <c r="M53" s="3"/>
      <c r="N53" s="3"/>
      <c r="O53" s="3"/>
      <c r="P53" s="3"/>
      <c r="V53" s="239">
        <f>V52+31</f>
        <v>38231</v>
      </c>
      <c r="W53" s="227">
        <f t="shared" si="4"/>
        <v>38231</v>
      </c>
      <c r="X53" s="231">
        <v>10</v>
      </c>
      <c r="Y53" s="231">
        <f t="shared" si="3"/>
        <v>38261</v>
      </c>
      <c r="Z53" s="67"/>
    </row>
    <row r="54" spans="1:26" ht="15" customHeight="1" x14ac:dyDescent="0.25">
      <c r="V54" s="239">
        <f>V53+30</f>
        <v>38261</v>
      </c>
      <c r="W54" s="227">
        <f t="shared" si="4"/>
        <v>38261</v>
      </c>
      <c r="X54" s="231">
        <v>11</v>
      </c>
      <c r="Y54" s="231">
        <f t="shared" si="3"/>
        <v>38292</v>
      </c>
      <c r="Z54" s="67"/>
    </row>
    <row r="55" spans="1:26" ht="15" customHeight="1" x14ac:dyDescent="0.25">
      <c r="V55" s="239">
        <f>V54+31</f>
        <v>38292</v>
      </c>
      <c r="W55" s="227">
        <f t="shared" si="4"/>
        <v>38292</v>
      </c>
      <c r="X55" s="231">
        <v>0</v>
      </c>
      <c r="Y55" s="231">
        <f t="shared" si="3"/>
        <v>38322</v>
      </c>
      <c r="Z55" s="67"/>
    </row>
    <row r="56" spans="1:26" ht="15" customHeight="1" x14ac:dyDescent="0.25">
      <c r="V56" s="239">
        <f>V55+30</f>
        <v>38322</v>
      </c>
      <c r="W56" s="227">
        <f t="shared" si="4"/>
        <v>38322</v>
      </c>
      <c r="X56" s="231">
        <v>1</v>
      </c>
      <c r="Y56" s="252">
        <f t="shared" si="3"/>
        <v>38353</v>
      </c>
      <c r="Z56" s="67"/>
    </row>
    <row r="57" spans="1:26" ht="12.75" customHeight="1" x14ac:dyDescent="0.25">
      <c r="V57" s="239">
        <f>V56+31</f>
        <v>38353</v>
      </c>
      <c r="W57" s="227">
        <f t="shared" si="4"/>
        <v>38353</v>
      </c>
      <c r="X57" s="231">
        <v>2</v>
      </c>
      <c r="Y57" s="252">
        <f t="shared" si="3"/>
        <v>38384</v>
      </c>
      <c r="Z57" s="67"/>
    </row>
    <row r="58" spans="1:26" x14ac:dyDescent="0.25">
      <c r="V58" s="239">
        <f>V57+31</f>
        <v>38384</v>
      </c>
      <c r="W58" s="227">
        <f t="shared" si="4"/>
        <v>38384</v>
      </c>
      <c r="X58" s="231">
        <v>3</v>
      </c>
      <c r="Y58" s="252">
        <f t="shared" si="3"/>
        <v>38412</v>
      </c>
      <c r="Z58" s="67"/>
    </row>
    <row r="59" spans="1:26" x14ac:dyDescent="0.25">
      <c r="V59" s="239">
        <f>V58+28</f>
        <v>38412</v>
      </c>
      <c r="W59" s="227">
        <f t="shared" si="4"/>
        <v>38412</v>
      </c>
      <c r="X59" s="231">
        <v>4</v>
      </c>
      <c r="Y59" s="252">
        <f t="shared" si="3"/>
        <v>38443</v>
      </c>
      <c r="Z59" s="67"/>
    </row>
    <row r="60" spans="1:26" x14ac:dyDescent="0.25">
      <c r="V60" s="239">
        <f>V59+31</f>
        <v>38443</v>
      </c>
      <c r="W60" s="227">
        <f t="shared" si="4"/>
        <v>38443</v>
      </c>
      <c r="X60" s="231">
        <v>5</v>
      </c>
      <c r="Y60" s="252">
        <f t="shared" si="3"/>
        <v>38473</v>
      </c>
      <c r="Z60" s="67"/>
    </row>
    <row r="61" spans="1:26" x14ac:dyDescent="0.25">
      <c r="V61" s="239">
        <f>V60+30</f>
        <v>38473</v>
      </c>
      <c r="W61" s="227">
        <f t="shared" si="4"/>
        <v>38473</v>
      </c>
      <c r="X61" s="231">
        <v>6</v>
      </c>
      <c r="Y61" s="252">
        <f t="shared" si="3"/>
        <v>38504</v>
      </c>
      <c r="Z61" s="67"/>
    </row>
    <row r="62" spans="1:26" x14ac:dyDescent="0.25">
      <c r="V62" s="239">
        <f>V61+31</f>
        <v>38504</v>
      </c>
      <c r="W62" s="227">
        <f t="shared" si="4"/>
        <v>38504</v>
      </c>
      <c r="X62" s="231">
        <v>7</v>
      </c>
      <c r="Y62" s="252">
        <f t="shared" si="3"/>
        <v>38534</v>
      </c>
      <c r="Z62" s="67"/>
    </row>
    <row r="63" spans="1:26" x14ac:dyDescent="0.25">
      <c r="V63" s="239">
        <f>V62+30</f>
        <v>38534</v>
      </c>
      <c r="W63" s="227">
        <f t="shared" si="4"/>
        <v>38534</v>
      </c>
      <c r="X63" s="231">
        <v>8</v>
      </c>
      <c r="Y63" s="252">
        <f t="shared" si="3"/>
        <v>38565</v>
      </c>
      <c r="Z63" s="67"/>
    </row>
    <row r="64" spans="1:26" x14ac:dyDescent="0.25">
      <c r="V64" s="239">
        <f>V63+31</f>
        <v>38565</v>
      </c>
      <c r="W64" s="227">
        <f t="shared" si="4"/>
        <v>38565</v>
      </c>
      <c r="X64" s="231">
        <v>9</v>
      </c>
      <c r="Y64" s="252">
        <f t="shared" si="3"/>
        <v>38596</v>
      </c>
      <c r="Z64" s="67"/>
    </row>
    <row r="65" spans="22:26" x14ac:dyDescent="0.25">
      <c r="V65" s="239">
        <f>V64+31</f>
        <v>38596</v>
      </c>
      <c r="W65" s="227">
        <f t="shared" si="4"/>
        <v>38596</v>
      </c>
      <c r="X65" s="231">
        <v>10</v>
      </c>
      <c r="Y65" s="252">
        <f t="shared" si="3"/>
        <v>38626</v>
      </c>
      <c r="Z65" s="67"/>
    </row>
    <row r="66" spans="22:26" x14ac:dyDescent="0.25">
      <c r="V66" s="239">
        <f>V65+30</f>
        <v>38626</v>
      </c>
      <c r="W66" s="227">
        <f t="shared" si="4"/>
        <v>38626</v>
      </c>
      <c r="X66" s="231">
        <v>11</v>
      </c>
      <c r="Y66" s="252">
        <f t="shared" si="3"/>
        <v>38657</v>
      </c>
      <c r="Z66" s="67"/>
    </row>
    <row r="67" spans="22:26" x14ac:dyDescent="0.25">
      <c r="V67" s="239">
        <f>V66+31</f>
        <v>38657</v>
      </c>
      <c r="W67" s="227">
        <f t="shared" si="4"/>
        <v>38657</v>
      </c>
      <c r="X67" s="231">
        <v>0</v>
      </c>
      <c r="Y67" s="252">
        <f t="shared" si="3"/>
        <v>38687</v>
      </c>
      <c r="Z67" s="67"/>
    </row>
    <row r="68" spans="22:26" ht="16.5" thickBot="1" x14ac:dyDescent="0.3">
      <c r="V68" s="240">
        <f>V67+30</f>
        <v>38687</v>
      </c>
      <c r="W68" s="241">
        <f t="shared" si="4"/>
        <v>38687</v>
      </c>
      <c r="X68" s="234">
        <v>1</v>
      </c>
      <c r="Y68" s="250">
        <f t="shared" si="3"/>
        <v>38718</v>
      </c>
      <c r="Z68" s="67"/>
    </row>
    <row r="69" spans="22:26" hidden="1" x14ac:dyDescent="0.25">
      <c r="V69" s="251">
        <f>V68+31</f>
        <v>38718</v>
      </c>
      <c r="W69" s="227">
        <f t="shared" si="4"/>
        <v>38718</v>
      </c>
      <c r="Z69" s="67"/>
    </row>
    <row r="70" spans="22:26" x14ac:dyDescent="0.25">
      <c r="Z70" s="67"/>
    </row>
    <row r="71" spans="22:26" x14ac:dyDescent="0.25">
      <c r="Z71" s="67"/>
    </row>
    <row r="72" spans="22:26" x14ac:dyDescent="0.25">
      <c r="Z72" s="67"/>
    </row>
    <row r="73" spans="22:26" x14ac:dyDescent="0.25">
      <c r="Z73" s="67"/>
    </row>
    <row r="74" spans="22:26" x14ac:dyDescent="0.25">
      <c r="Z74" s="67"/>
    </row>
    <row r="75" spans="22:26" x14ac:dyDescent="0.25">
      <c r="Z75" s="67"/>
    </row>
    <row r="76" spans="22:26" x14ac:dyDescent="0.25">
      <c r="Z76" s="67"/>
    </row>
    <row r="77" spans="22:26" x14ac:dyDescent="0.25">
      <c r="Z77" s="67"/>
    </row>
    <row r="78" spans="22:26" x14ac:dyDescent="0.25">
      <c r="Z78" s="67"/>
    </row>
    <row r="79" spans="22:26" x14ac:dyDescent="0.25">
      <c r="Z79" s="67"/>
    </row>
    <row r="80" spans="22:26" x14ac:dyDescent="0.25">
      <c r="Z80" s="67"/>
    </row>
    <row r="81" spans="26:26" x14ac:dyDescent="0.25">
      <c r="Z81" s="67"/>
    </row>
    <row r="82" spans="26:26" x14ac:dyDescent="0.25">
      <c r="Z82" s="67"/>
    </row>
    <row r="83" spans="26:26" x14ac:dyDescent="0.25">
      <c r="Z83" s="67"/>
    </row>
    <row r="84" spans="26:26" x14ac:dyDescent="0.25">
      <c r="Z84" s="67"/>
    </row>
    <row r="85" spans="26:26" x14ac:dyDescent="0.25">
      <c r="Z85" s="67"/>
    </row>
    <row r="86" spans="26:26" x14ac:dyDescent="0.25">
      <c r="Z86" s="67"/>
    </row>
    <row r="87" spans="26:26" x14ac:dyDescent="0.25">
      <c r="Z87" s="67"/>
    </row>
    <row r="88" spans="26:26" x14ac:dyDescent="0.25">
      <c r="Z88" s="67"/>
    </row>
    <row r="89" spans="26:26" x14ac:dyDescent="0.25">
      <c r="Z89" s="67"/>
    </row>
    <row r="90" spans="26:26" x14ac:dyDescent="0.25">
      <c r="Z90" s="67"/>
    </row>
  </sheetData>
  <mergeCells count="8">
    <mergeCell ref="A1:L1"/>
    <mergeCell ref="A2:L2"/>
    <mergeCell ref="A52:L52"/>
    <mergeCell ref="A53:L53"/>
    <mergeCell ref="Y5:Y7"/>
    <mergeCell ref="T5:U7"/>
    <mergeCell ref="Q5:S7"/>
    <mergeCell ref="V5:X7"/>
  </mergeCells>
  <phoneticPr fontId="0" type="noConversion"/>
  <dataValidations count="1">
    <dataValidation type="list" allowBlank="1" showInputMessage="1" showErrorMessage="1" sqref="N1">
      <formula1>$Z$1:$Z$8</formula1>
    </dataValidation>
  </dataValidations>
  <printOptions horizontalCentered="1" gridLinesSet="0"/>
  <pageMargins left="0.35" right="0.17" top="0.5" bottom="0.28999999999999998" header="0.5" footer="0.5"/>
  <pageSetup scale="85"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Option (1)</vt:lpstr>
      <vt:lpstr>Option (2)</vt:lpstr>
      <vt:lpstr>Option (3)</vt:lpstr>
      <vt:lpstr>Option (4)</vt:lpstr>
      <vt:lpstr>Option (5)</vt:lpstr>
      <vt:lpstr>Option (6)</vt:lpstr>
      <vt:lpstr>DataEntry</vt:lpstr>
      <vt:lpstr>DataEntry!Print_Area</vt:lpstr>
      <vt:lpstr>'Option (1)'!Print_Area</vt:lpstr>
      <vt:lpstr>'Option (2)'!Print_Area</vt:lpstr>
      <vt:lpstr>'Option (3)'!Print_Area</vt:lpstr>
      <vt:lpstr>'Option (4)'!Print_Area</vt:lpstr>
      <vt:lpstr>'Option (5)'!Print_Area</vt:lpstr>
      <vt:lpstr>'Option (6)'!Print_Area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gferun</dc:title>
  <dc:creator>Owen Raun</dc:creator>
  <cp:lastModifiedBy>Jan Havlíček</cp:lastModifiedBy>
  <cp:lastPrinted>2000-12-16T17:36:57Z</cp:lastPrinted>
  <dcterms:created xsi:type="dcterms:W3CDTF">1998-02-23T21:25:03Z</dcterms:created>
  <dcterms:modified xsi:type="dcterms:W3CDTF">2023-09-17T13:20:17Z</dcterms:modified>
</cp:coreProperties>
</file>