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820CF8-B812-43D3-946E-DAAB055892DC}" xr6:coauthVersionLast="47" xr6:coauthVersionMax="47" xr10:uidLastSave="{00000000-0000-0000-0000-000000000000}"/>
  <bookViews>
    <workbookView xWindow="-120" yWindow="-120" windowWidth="38640" windowHeight="15720" tabRatio="812" activeTab="1"/>
  </bookViews>
  <sheets>
    <sheet name="Recap" sheetId="18" r:id="rId1"/>
    <sheet name="$ VOLS" sheetId="14" r:id="rId2"/>
    <sheet name="GALV 249-L  250" sheetId="20" r:id="rId3"/>
    <sheet name="SP 18" sheetId="11" r:id="rId4"/>
    <sheet name="HI 235" sheetId="6" r:id="rId5"/>
    <sheet name="HI 235-flash" sheetId="16" r:id="rId6"/>
    <sheet name="WCAM 39" sheetId="5" r:id="rId7"/>
    <sheet name="WCAM 522-543" sheetId="3" r:id="rId8"/>
    <sheet name="VERM 84" sheetId="2" r:id="rId9"/>
    <sheet name="VERM376-375" sheetId="21" r:id="rId10"/>
    <sheet name="BRAZ 368" sheetId="1" r:id="rId11"/>
    <sheet name="HI 199" sheetId="19" r:id="rId12"/>
    <sheet name="GB-236-367" sheetId="22" r:id="rId13"/>
    <sheet name="ECAM 138-152" sheetId="12" r:id="rId14"/>
  </sheets>
  <externalReferences>
    <externalReference r:id="rId15"/>
  </externalReferences>
  <definedNames>
    <definedName name="_xlnm.Database" localSheetId="1">'$ VOLS'!#REF!</definedName>
    <definedName name="_xlnm.Database" localSheetId="13">'ECAM 138-152'!#REF!</definedName>
    <definedName name="_xlnm.Database" localSheetId="2">'GALV 249-L  250'!#REF!</definedName>
    <definedName name="_xlnm.Database" localSheetId="12">'GB-236-367'!#REF!</definedName>
    <definedName name="_xlnm.Database" localSheetId="11">'HI 199'!#REF!</definedName>
    <definedName name="_xlnm.Database" localSheetId="4">'HI 235'!#REF!</definedName>
    <definedName name="_xlnm.Database" localSheetId="5">'HI 235-flash'!#REF!</definedName>
    <definedName name="_xlnm.Database" localSheetId="3">'SP 18'!#REF!</definedName>
    <definedName name="_xlnm.Database" localSheetId="8">'VERM 84'!#REF!</definedName>
    <definedName name="_xlnm.Database" localSheetId="9">'VERM376-375'!#REF!</definedName>
    <definedName name="_xlnm.Database" localSheetId="6">'WCAM 39'!#REF!</definedName>
    <definedName name="_xlnm.Database" localSheetId="7">'WCAM 522-543'!#REF!</definedName>
    <definedName name="_xlnm.Database">'BRAZ 368'!#REF!</definedName>
    <definedName name="GAS_PRODUCER" localSheetId="1">'$ VOLS'!#REF!</definedName>
    <definedName name="GAS_PRODUCER" localSheetId="13">'ECAM 138-152'!#REF!</definedName>
    <definedName name="GAS_PRODUCER" localSheetId="2">'GALV 249-L  250'!#REF!</definedName>
    <definedName name="GAS_PRODUCER" localSheetId="12">'GB-236-367'!#REF!</definedName>
    <definedName name="GAS_PRODUCER" localSheetId="11">'HI 199'!#REF!</definedName>
    <definedName name="GAS_PRODUCER" localSheetId="4">'HI 235'!#REF!</definedName>
    <definedName name="GAS_PRODUCER" localSheetId="5">'HI 235-flash'!#REF!</definedName>
    <definedName name="GAS_PRODUCER" localSheetId="3">'SP 18'!#REF!</definedName>
    <definedName name="GAS_PRODUCER" localSheetId="8">'VERM 84'!#REF!</definedName>
    <definedName name="GAS_PRODUCER" localSheetId="9">'VERM376-375'!#REF!</definedName>
    <definedName name="GAS_PRODUCER" localSheetId="6">'WCAM 39'!#REF!</definedName>
    <definedName name="GAS_PRODUCER" localSheetId="7">'WCAM 522-543'!#REF!</definedName>
    <definedName name="GAS_PRODUCER">'BRAZ 368'!#REF!</definedName>
    <definedName name="OIL_PRODUCER" localSheetId="1">'$ VOLS'!#REF!</definedName>
    <definedName name="OIL_PRODUCER" localSheetId="13">'ECAM 138-152'!#REF!</definedName>
    <definedName name="OIL_PRODUCER" localSheetId="2">'GALV 249-L  250'!#REF!</definedName>
    <definedName name="OIL_PRODUCER" localSheetId="12">'GB-236-367'!#REF!</definedName>
    <definedName name="OIL_PRODUCER" localSheetId="11">'HI 199'!#REF!</definedName>
    <definedName name="OIL_PRODUCER" localSheetId="4">'HI 235'!#REF!</definedName>
    <definedName name="OIL_PRODUCER" localSheetId="5">'HI 235-flash'!#REF!</definedName>
    <definedName name="OIL_PRODUCER" localSheetId="3">'SP 18'!#REF!</definedName>
    <definedName name="OIL_PRODUCER" localSheetId="8">'VERM 84'!#REF!</definedName>
    <definedName name="OIL_PRODUCER" localSheetId="9">'VERM376-375'!#REF!</definedName>
    <definedName name="OIL_PRODUCER" localSheetId="6">'WCAM 39'!#REF!</definedName>
    <definedName name="OIL_PRODUCER" localSheetId="7">'WCAM 522-543'!#REF!</definedName>
    <definedName name="OIL_PRODUCER">'BRAZ 368'!#REF!</definedName>
    <definedName name="_xlnm.Print_Area" localSheetId="1">'$ VOLS'!$A$24:$D$85</definedName>
    <definedName name="_xlnm.Print_Area" localSheetId="10">'BRAZ 368'!$B$2:$J$50</definedName>
    <definedName name="_xlnm.Print_Area" localSheetId="13">'ECAM 138-152'!$B$2:$L$51</definedName>
    <definedName name="_xlnm.Print_Area" localSheetId="2">'GALV 249-L  250'!$B$2:$J$50</definedName>
    <definedName name="_xlnm.Print_Area" localSheetId="12">'GB-236-367'!$B$2:$J$50</definedName>
    <definedName name="_xlnm.Print_Area" localSheetId="11">'HI 199'!$C$2:$N$50</definedName>
    <definedName name="_xlnm.Print_Area" localSheetId="4">'HI 235'!$B$2:$J$50</definedName>
    <definedName name="_xlnm.Print_Area" localSheetId="5">'HI 235-flash'!$B$2:$J$50</definedName>
    <definedName name="_xlnm.Print_Area" localSheetId="0">Recap!$A$1:$I$17</definedName>
    <definedName name="_xlnm.Print_Area" localSheetId="3">'SP 18'!$B$2:$J$50</definedName>
    <definedName name="_xlnm.Print_Area" localSheetId="8">'VERM 84'!$B$2:$J$50</definedName>
    <definedName name="_xlnm.Print_Area" localSheetId="9">'VERM376-375'!$B$2:$J$50</definedName>
    <definedName name="_xlnm.Print_Area" localSheetId="6">'WCAM 39'!$B$2:$J$50</definedName>
    <definedName name="_xlnm.Print_Area" localSheetId="7">'WCAM 522-543'!$B$2:$L$50</definedName>
    <definedName name="_xlnm.Print_Titles" localSheetId="1">'$ VOLS'!#REF!</definedName>
    <definedName name="_xlnm.Print_Titles" localSheetId="10">'BRAZ 368'!#REF!</definedName>
    <definedName name="_xlnm.Print_Titles" localSheetId="13">'ECAM 138-152'!#REF!</definedName>
    <definedName name="_xlnm.Print_Titles" localSheetId="2">'GALV 249-L  250'!#REF!</definedName>
    <definedName name="_xlnm.Print_Titles" localSheetId="12">'GB-236-367'!#REF!</definedName>
    <definedName name="_xlnm.Print_Titles" localSheetId="11">'HI 199'!#REF!</definedName>
    <definedName name="_xlnm.Print_Titles" localSheetId="4">'HI 235'!#REF!</definedName>
    <definedName name="_xlnm.Print_Titles" localSheetId="5">'HI 235-flash'!#REF!</definedName>
    <definedName name="_xlnm.Print_Titles" localSheetId="3">'SP 18'!#REF!</definedName>
    <definedName name="_xlnm.Print_Titles" localSheetId="8">'VERM 84'!#REF!</definedName>
    <definedName name="_xlnm.Print_Titles" localSheetId="9">'VERM376-375'!#REF!</definedName>
    <definedName name="_xlnm.Print_Titles" localSheetId="6">'WCAM 39'!#REF!</definedName>
    <definedName name="_xlnm.Print_Titles" localSheetId="7">'WCAM 522-543'!#REF!</definedName>
    <definedName name="WSHEET" localSheetId="1">'$ VOLS'!#REF!</definedName>
    <definedName name="WSHEET" localSheetId="13">'ECAM 138-152'!#REF!</definedName>
    <definedName name="WSHEET" localSheetId="2">'GALV 249-L  250'!#REF!</definedName>
    <definedName name="WSHEET" localSheetId="12">'GB-236-367'!#REF!</definedName>
    <definedName name="WSHEET" localSheetId="11">'HI 199'!#REF!</definedName>
    <definedName name="WSHEET" localSheetId="4">'HI 235'!#REF!</definedName>
    <definedName name="WSHEET" localSheetId="5">'HI 235-flash'!#REF!</definedName>
    <definedName name="WSHEET" localSheetId="3">'SP 18'!#REF!</definedName>
    <definedName name="WSHEET" localSheetId="8">'VERM 84'!#REF!</definedName>
    <definedName name="WSHEET" localSheetId="9">'VERM376-375'!#REF!</definedName>
    <definedName name="WSHEET" localSheetId="6">'WCAM 39'!#REF!</definedName>
    <definedName name="WSHEET" localSheetId="7">'WCAM 522-543'!#REF!</definedName>
    <definedName name="WSHEET">'BRAZ 368'!#REF!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4" l="1"/>
  <c r="J7" i="14"/>
  <c r="E8" i="14"/>
  <c r="K8" i="14"/>
  <c r="L8" i="14"/>
  <c r="M8" i="14"/>
  <c r="E9" i="14"/>
  <c r="E10" i="14"/>
  <c r="K10" i="14"/>
  <c r="L10" i="14"/>
  <c r="M10" i="14"/>
  <c r="E11" i="14"/>
  <c r="E12" i="14"/>
  <c r="G12" i="14"/>
  <c r="K12" i="14"/>
  <c r="E13" i="14"/>
  <c r="K13" i="14"/>
  <c r="L13" i="14"/>
  <c r="M13" i="14"/>
  <c r="E14" i="14"/>
  <c r="K14" i="14"/>
  <c r="L14" i="14"/>
  <c r="M14" i="14"/>
  <c r="E15" i="14"/>
  <c r="K15" i="14"/>
  <c r="L15" i="14"/>
  <c r="M15" i="14"/>
  <c r="E16" i="14"/>
  <c r="K16" i="14"/>
  <c r="L16" i="14"/>
  <c r="M16" i="14"/>
  <c r="E17" i="14"/>
  <c r="K17" i="14"/>
  <c r="L17" i="14"/>
  <c r="M17" i="14"/>
  <c r="E18" i="14"/>
  <c r="K18" i="14"/>
  <c r="L18" i="14"/>
  <c r="M18" i="14"/>
  <c r="E19" i="14"/>
  <c r="K19" i="14"/>
  <c r="L19" i="14"/>
  <c r="M19" i="14"/>
  <c r="E20" i="14"/>
  <c r="G20" i="14"/>
  <c r="K20" i="14"/>
  <c r="L20" i="14"/>
  <c r="M20" i="14"/>
  <c r="E21" i="14"/>
  <c r="B22" i="14"/>
  <c r="E22" i="14"/>
  <c r="K22" i="14"/>
  <c r="L22" i="14"/>
  <c r="M22" i="14"/>
  <c r="E23" i="14"/>
  <c r="C28" i="14"/>
  <c r="F28" i="14"/>
  <c r="C30" i="14"/>
  <c r="D30" i="14"/>
  <c r="C36" i="14"/>
  <c r="C38" i="14"/>
  <c r="D38" i="14"/>
  <c r="C43" i="14"/>
  <c r="C45" i="14"/>
  <c r="D45" i="14"/>
  <c r="C51" i="14"/>
  <c r="C53" i="14"/>
  <c r="D53" i="14"/>
  <c r="C58" i="14"/>
  <c r="C60" i="14"/>
  <c r="D60" i="14"/>
  <c r="C66" i="14"/>
  <c r="C68" i="14"/>
  <c r="D68" i="14"/>
  <c r="C72" i="14"/>
  <c r="C74" i="14"/>
  <c r="C76" i="14"/>
  <c r="D76" i="14"/>
  <c r="C82" i="14"/>
  <c r="C84" i="14"/>
  <c r="D84" i="14"/>
  <c r="C91" i="14"/>
  <c r="C93" i="14"/>
  <c r="D93" i="14"/>
  <c r="C100" i="14"/>
  <c r="C102" i="14"/>
  <c r="D102" i="14"/>
  <c r="B4" i="1"/>
  <c r="D6" i="1"/>
  <c r="D7" i="1"/>
  <c r="D8" i="1"/>
  <c r="H10" i="1"/>
  <c r="D11" i="1"/>
  <c r="H11" i="1"/>
  <c r="A12" i="1"/>
  <c r="D12" i="1"/>
  <c r="E12" i="1"/>
  <c r="F12" i="1"/>
  <c r="G12" i="1"/>
  <c r="H12" i="1"/>
  <c r="I12" i="1"/>
  <c r="J12" i="1"/>
  <c r="A13" i="1"/>
  <c r="B13" i="1"/>
  <c r="D13" i="1"/>
  <c r="E13" i="1"/>
  <c r="F13" i="1"/>
  <c r="G13" i="1"/>
  <c r="H13" i="1"/>
  <c r="I13" i="1"/>
  <c r="J13" i="1"/>
  <c r="A14" i="1"/>
  <c r="B14" i="1"/>
  <c r="D14" i="1"/>
  <c r="E14" i="1"/>
  <c r="F14" i="1"/>
  <c r="G14" i="1"/>
  <c r="H14" i="1"/>
  <c r="I14" i="1"/>
  <c r="J14" i="1"/>
  <c r="A15" i="1"/>
  <c r="B15" i="1"/>
  <c r="D15" i="1"/>
  <c r="E15" i="1"/>
  <c r="F15" i="1"/>
  <c r="G15" i="1"/>
  <c r="H15" i="1"/>
  <c r="I15" i="1"/>
  <c r="J15" i="1"/>
  <c r="A16" i="1"/>
  <c r="B16" i="1"/>
  <c r="D16" i="1"/>
  <c r="E16" i="1"/>
  <c r="F16" i="1"/>
  <c r="G16" i="1"/>
  <c r="H16" i="1"/>
  <c r="I16" i="1"/>
  <c r="J16" i="1"/>
  <c r="A17" i="1"/>
  <c r="B17" i="1"/>
  <c r="D17" i="1"/>
  <c r="E17" i="1"/>
  <c r="F17" i="1"/>
  <c r="G17" i="1"/>
  <c r="H17" i="1"/>
  <c r="I17" i="1"/>
  <c r="J17" i="1"/>
  <c r="A18" i="1"/>
  <c r="B18" i="1"/>
  <c r="D18" i="1"/>
  <c r="E18" i="1"/>
  <c r="F18" i="1"/>
  <c r="G18" i="1"/>
  <c r="H18" i="1"/>
  <c r="I18" i="1"/>
  <c r="J18" i="1"/>
  <c r="A19" i="1"/>
  <c r="B19" i="1"/>
  <c r="D19" i="1"/>
  <c r="E19" i="1"/>
  <c r="F19" i="1"/>
  <c r="G19" i="1"/>
  <c r="H19" i="1"/>
  <c r="I19" i="1"/>
  <c r="J19" i="1"/>
  <c r="A20" i="1"/>
  <c r="B20" i="1"/>
  <c r="D20" i="1"/>
  <c r="E20" i="1"/>
  <c r="F20" i="1"/>
  <c r="G20" i="1"/>
  <c r="H20" i="1"/>
  <c r="I20" i="1"/>
  <c r="J20" i="1"/>
  <c r="A21" i="1"/>
  <c r="B21" i="1"/>
  <c r="D21" i="1"/>
  <c r="E21" i="1"/>
  <c r="F21" i="1"/>
  <c r="G21" i="1"/>
  <c r="H21" i="1"/>
  <c r="I21" i="1"/>
  <c r="J21" i="1"/>
  <c r="A22" i="1"/>
  <c r="B22" i="1"/>
  <c r="D22" i="1"/>
  <c r="E22" i="1"/>
  <c r="F22" i="1"/>
  <c r="G22" i="1"/>
  <c r="H22" i="1"/>
  <c r="I22" i="1"/>
  <c r="J22" i="1"/>
  <c r="A23" i="1"/>
  <c r="B23" i="1"/>
  <c r="D23" i="1"/>
  <c r="E23" i="1"/>
  <c r="F23" i="1"/>
  <c r="G23" i="1"/>
  <c r="H23" i="1"/>
  <c r="I23" i="1"/>
  <c r="J23" i="1"/>
  <c r="A24" i="1"/>
  <c r="B24" i="1"/>
  <c r="D24" i="1"/>
  <c r="E24" i="1"/>
  <c r="F24" i="1"/>
  <c r="G24" i="1"/>
  <c r="H24" i="1"/>
  <c r="I24" i="1"/>
  <c r="J24" i="1"/>
  <c r="A25" i="1"/>
  <c r="B25" i="1"/>
  <c r="D25" i="1"/>
  <c r="E25" i="1"/>
  <c r="F25" i="1"/>
  <c r="G25" i="1"/>
  <c r="H25" i="1"/>
  <c r="I25" i="1"/>
  <c r="J25" i="1"/>
  <c r="A26" i="1"/>
  <c r="B26" i="1"/>
  <c r="D26" i="1"/>
  <c r="E26" i="1"/>
  <c r="F26" i="1"/>
  <c r="G26" i="1"/>
  <c r="H26" i="1"/>
  <c r="I26" i="1"/>
  <c r="J26" i="1"/>
  <c r="A27" i="1"/>
  <c r="B27" i="1"/>
  <c r="D27" i="1"/>
  <c r="E27" i="1"/>
  <c r="F27" i="1"/>
  <c r="G27" i="1"/>
  <c r="H27" i="1"/>
  <c r="I27" i="1"/>
  <c r="J27" i="1"/>
  <c r="A28" i="1"/>
  <c r="B28" i="1"/>
  <c r="D28" i="1"/>
  <c r="E28" i="1"/>
  <c r="F28" i="1"/>
  <c r="G28" i="1"/>
  <c r="H28" i="1"/>
  <c r="I28" i="1"/>
  <c r="J28" i="1"/>
  <c r="A29" i="1"/>
  <c r="B29" i="1"/>
  <c r="D29" i="1"/>
  <c r="E29" i="1"/>
  <c r="F29" i="1"/>
  <c r="G29" i="1"/>
  <c r="H29" i="1"/>
  <c r="I29" i="1"/>
  <c r="J29" i="1"/>
  <c r="A30" i="1"/>
  <c r="B30" i="1"/>
  <c r="D30" i="1"/>
  <c r="E30" i="1"/>
  <c r="F30" i="1"/>
  <c r="G30" i="1"/>
  <c r="H30" i="1"/>
  <c r="I30" i="1"/>
  <c r="J30" i="1"/>
  <c r="A31" i="1"/>
  <c r="B31" i="1"/>
  <c r="D31" i="1"/>
  <c r="E31" i="1"/>
  <c r="F31" i="1"/>
  <c r="G31" i="1"/>
  <c r="H31" i="1"/>
  <c r="I31" i="1"/>
  <c r="J31" i="1"/>
  <c r="A32" i="1"/>
  <c r="B32" i="1"/>
  <c r="D32" i="1"/>
  <c r="E32" i="1"/>
  <c r="F32" i="1"/>
  <c r="G32" i="1"/>
  <c r="H32" i="1"/>
  <c r="I32" i="1"/>
  <c r="J32" i="1"/>
  <c r="A33" i="1"/>
  <c r="B33" i="1"/>
  <c r="D33" i="1"/>
  <c r="E33" i="1"/>
  <c r="F33" i="1"/>
  <c r="G33" i="1"/>
  <c r="H33" i="1"/>
  <c r="I33" i="1"/>
  <c r="J33" i="1"/>
  <c r="A34" i="1"/>
  <c r="B34" i="1"/>
  <c r="D34" i="1"/>
  <c r="E34" i="1"/>
  <c r="F34" i="1"/>
  <c r="G34" i="1"/>
  <c r="H34" i="1"/>
  <c r="I34" i="1"/>
  <c r="J34" i="1"/>
  <c r="A35" i="1"/>
  <c r="B35" i="1"/>
  <c r="D35" i="1"/>
  <c r="E35" i="1"/>
  <c r="F35" i="1"/>
  <c r="G35" i="1"/>
  <c r="H35" i="1"/>
  <c r="I35" i="1"/>
  <c r="J35" i="1"/>
  <c r="A36" i="1"/>
  <c r="B36" i="1"/>
  <c r="D36" i="1"/>
  <c r="E36" i="1"/>
  <c r="F36" i="1"/>
  <c r="G36" i="1"/>
  <c r="H36" i="1"/>
  <c r="I36" i="1"/>
  <c r="J36" i="1"/>
  <c r="A37" i="1"/>
  <c r="B37" i="1"/>
  <c r="D37" i="1"/>
  <c r="E37" i="1"/>
  <c r="F37" i="1"/>
  <c r="G37" i="1"/>
  <c r="H37" i="1"/>
  <c r="I37" i="1"/>
  <c r="J37" i="1"/>
  <c r="A38" i="1"/>
  <c r="B38" i="1"/>
  <c r="D38" i="1"/>
  <c r="E38" i="1"/>
  <c r="F38" i="1"/>
  <c r="G38" i="1"/>
  <c r="H38" i="1"/>
  <c r="I38" i="1"/>
  <c r="J38" i="1"/>
  <c r="A39" i="1"/>
  <c r="B39" i="1"/>
  <c r="D39" i="1"/>
  <c r="E39" i="1"/>
  <c r="F39" i="1"/>
  <c r="G39" i="1"/>
  <c r="H39" i="1"/>
  <c r="I39" i="1"/>
  <c r="J39" i="1"/>
  <c r="A40" i="1"/>
  <c r="B40" i="1"/>
  <c r="D40" i="1"/>
  <c r="E40" i="1"/>
  <c r="F40" i="1"/>
  <c r="G40" i="1"/>
  <c r="H40" i="1"/>
  <c r="I40" i="1"/>
  <c r="J40" i="1"/>
  <c r="A41" i="1"/>
  <c r="B41" i="1"/>
  <c r="D41" i="1"/>
  <c r="E41" i="1"/>
  <c r="F41" i="1"/>
  <c r="G41" i="1"/>
  <c r="H41" i="1"/>
  <c r="I41" i="1"/>
  <c r="J41" i="1"/>
  <c r="A42" i="1"/>
  <c r="B42" i="1"/>
  <c r="D42" i="1"/>
  <c r="E42" i="1"/>
  <c r="F42" i="1"/>
  <c r="G42" i="1"/>
  <c r="H42" i="1"/>
  <c r="I42" i="1"/>
  <c r="J42" i="1"/>
  <c r="A43" i="1"/>
  <c r="C43" i="1"/>
  <c r="D43" i="1"/>
  <c r="E43" i="1"/>
  <c r="F43" i="1"/>
  <c r="G43" i="1"/>
  <c r="H43" i="1"/>
  <c r="I43" i="1"/>
  <c r="C44" i="1"/>
  <c r="C45" i="1"/>
  <c r="E47" i="1"/>
  <c r="F47" i="1"/>
  <c r="G47" i="1"/>
  <c r="E48" i="1"/>
  <c r="G48" i="1"/>
  <c r="G49" i="1"/>
  <c r="E50" i="1"/>
  <c r="F50" i="1"/>
  <c r="G50" i="1"/>
  <c r="B4" i="12"/>
  <c r="F6" i="12"/>
  <c r="F7" i="12"/>
  <c r="F8" i="12"/>
  <c r="J10" i="12"/>
  <c r="F11" i="12"/>
  <c r="J11" i="12"/>
  <c r="A12" i="12"/>
  <c r="F12" i="12"/>
  <c r="G12" i="12"/>
  <c r="H12" i="12"/>
  <c r="I12" i="12"/>
  <c r="J12" i="12"/>
  <c r="K12" i="12"/>
  <c r="L12" i="12"/>
  <c r="A13" i="12"/>
  <c r="B13" i="12"/>
  <c r="F13" i="12"/>
  <c r="G13" i="12"/>
  <c r="H13" i="12"/>
  <c r="I13" i="12"/>
  <c r="J13" i="12"/>
  <c r="L13" i="12"/>
  <c r="A14" i="12"/>
  <c r="B14" i="12"/>
  <c r="F14" i="12"/>
  <c r="G14" i="12"/>
  <c r="H14" i="12"/>
  <c r="I14" i="12"/>
  <c r="J14" i="12"/>
  <c r="L14" i="12"/>
  <c r="A15" i="12"/>
  <c r="B15" i="12"/>
  <c r="F15" i="12"/>
  <c r="G15" i="12"/>
  <c r="H15" i="12"/>
  <c r="I15" i="12"/>
  <c r="J15" i="12"/>
  <c r="L15" i="12"/>
  <c r="A16" i="12"/>
  <c r="B16" i="12"/>
  <c r="F16" i="12"/>
  <c r="G16" i="12"/>
  <c r="H16" i="12"/>
  <c r="I16" i="12"/>
  <c r="J16" i="12"/>
  <c r="L16" i="12"/>
  <c r="A17" i="12"/>
  <c r="B17" i="12"/>
  <c r="F17" i="12"/>
  <c r="G17" i="12"/>
  <c r="H17" i="12"/>
  <c r="I17" i="12"/>
  <c r="J17" i="12"/>
  <c r="L17" i="12"/>
  <c r="A18" i="12"/>
  <c r="B18" i="12"/>
  <c r="F18" i="12"/>
  <c r="G18" i="12"/>
  <c r="H18" i="12"/>
  <c r="I18" i="12"/>
  <c r="J18" i="12"/>
  <c r="L18" i="12"/>
  <c r="A19" i="12"/>
  <c r="B19" i="12"/>
  <c r="F19" i="12"/>
  <c r="G19" i="12"/>
  <c r="H19" i="12"/>
  <c r="I19" i="12"/>
  <c r="J19" i="12"/>
  <c r="L19" i="12"/>
  <c r="A20" i="12"/>
  <c r="B20" i="12"/>
  <c r="F20" i="12"/>
  <c r="G20" i="12"/>
  <c r="H20" i="12"/>
  <c r="I20" i="12"/>
  <c r="J20" i="12"/>
  <c r="L20" i="12"/>
  <c r="A21" i="12"/>
  <c r="B21" i="12"/>
  <c r="F21" i="12"/>
  <c r="G21" i="12"/>
  <c r="H21" i="12"/>
  <c r="I21" i="12"/>
  <c r="J21" i="12"/>
  <c r="L21" i="12"/>
  <c r="A22" i="12"/>
  <c r="B22" i="12"/>
  <c r="F22" i="12"/>
  <c r="G22" i="12"/>
  <c r="H22" i="12"/>
  <c r="I22" i="12"/>
  <c r="J22" i="12"/>
  <c r="L22" i="12"/>
  <c r="A23" i="12"/>
  <c r="B23" i="12"/>
  <c r="F23" i="12"/>
  <c r="G23" i="12"/>
  <c r="H23" i="12"/>
  <c r="I23" i="12"/>
  <c r="J23" i="12"/>
  <c r="L23" i="12"/>
  <c r="A24" i="12"/>
  <c r="B24" i="12"/>
  <c r="F24" i="12"/>
  <c r="G24" i="12"/>
  <c r="H24" i="12"/>
  <c r="I24" i="12"/>
  <c r="J24" i="12"/>
  <c r="L24" i="12"/>
  <c r="A25" i="12"/>
  <c r="B25" i="12"/>
  <c r="F25" i="12"/>
  <c r="G25" i="12"/>
  <c r="H25" i="12"/>
  <c r="I25" i="12"/>
  <c r="J25" i="12"/>
  <c r="L25" i="12"/>
  <c r="A26" i="12"/>
  <c r="B26" i="12"/>
  <c r="F26" i="12"/>
  <c r="G26" i="12"/>
  <c r="H26" i="12"/>
  <c r="I26" i="12"/>
  <c r="J26" i="12"/>
  <c r="L26" i="12"/>
  <c r="A27" i="12"/>
  <c r="B27" i="12"/>
  <c r="F27" i="12"/>
  <c r="G27" i="12"/>
  <c r="H27" i="12"/>
  <c r="I27" i="12"/>
  <c r="J27" i="12"/>
  <c r="L27" i="12"/>
  <c r="A28" i="12"/>
  <c r="B28" i="12"/>
  <c r="F28" i="12"/>
  <c r="G28" i="12"/>
  <c r="H28" i="12"/>
  <c r="I28" i="12"/>
  <c r="J28" i="12"/>
  <c r="L28" i="12"/>
  <c r="A29" i="12"/>
  <c r="B29" i="12"/>
  <c r="F29" i="12"/>
  <c r="G29" i="12"/>
  <c r="H29" i="12"/>
  <c r="I29" i="12"/>
  <c r="J29" i="12"/>
  <c r="L29" i="12"/>
  <c r="A30" i="12"/>
  <c r="B30" i="12"/>
  <c r="F30" i="12"/>
  <c r="G30" i="12"/>
  <c r="H30" i="12"/>
  <c r="I30" i="12"/>
  <c r="J30" i="12"/>
  <c r="L30" i="12"/>
  <c r="A31" i="12"/>
  <c r="B31" i="12"/>
  <c r="F31" i="12"/>
  <c r="G31" i="12"/>
  <c r="H31" i="12"/>
  <c r="I31" i="12"/>
  <c r="J31" i="12"/>
  <c r="L31" i="12"/>
  <c r="A32" i="12"/>
  <c r="B32" i="12"/>
  <c r="F32" i="12"/>
  <c r="G32" i="12"/>
  <c r="H32" i="12"/>
  <c r="I32" i="12"/>
  <c r="J32" i="12"/>
  <c r="L32" i="12"/>
  <c r="A33" i="12"/>
  <c r="B33" i="12"/>
  <c r="F33" i="12"/>
  <c r="G33" i="12"/>
  <c r="H33" i="12"/>
  <c r="I33" i="12"/>
  <c r="J33" i="12"/>
  <c r="L33" i="12"/>
  <c r="A34" i="12"/>
  <c r="B34" i="12"/>
  <c r="F34" i="12"/>
  <c r="G34" i="12"/>
  <c r="H34" i="12"/>
  <c r="I34" i="12"/>
  <c r="J34" i="12"/>
  <c r="L34" i="12"/>
  <c r="A35" i="12"/>
  <c r="B35" i="12"/>
  <c r="F35" i="12"/>
  <c r="G35" i="12"/>
  <c r="H35" i="12"/>
  <c r="I35" i="12"/>
  <c r="J35" i="12"/>
  <c r="L35" i="12"/>
  <c r="A36" i="12"/>
  <c r="B36" i="12"/>
  <c r="F36" i="12"/>
  <c r="G36" i="12"/>
  <c r="H36" i="12"/>
  <c r="I36" i="12"/>
  <c r="J36" i="12"/>
  <c r="L36" i="12"/>
  <c r="A37" i="12"/>
  <c r="B37" i="12"/>
  <c r="F37" i="12"/>
  <c r="G37" i="12"/>
  <c r="H37" i="12"/>
  <c r="I37" i="12"/>
  <c r="J37" i="12"/>
  <c r="L37" i="12"/>
  <c r="A38" i="12"/>
  <c r="B38" i="12"/>
  <c r="F38" i="12"/>
  <c r="G38" i="12"/>
  <c r="H38" i="12"/>
  <c r="I38" i="12"/>
  <c r="J38" i="12"/>
  <c r="L38" i="12"/>
  <c r="A39" i="12"/>
  <c r="B39" i="12"/>
  <c r="F39" i="12"/>
  <c r="G39" i="12"/>
  <c r="H39" i="12"/>
  <c r="I39" i="12"/>
  <c r="J39" i="12"/>
  <c r="L39" i="12"/>
  <c r="A40" i="12"/>
  <c r="B40" i="12"/>
  <c r="F40" i="12"/>
  <c r="G40" i="12"/>
  <c r="H40" i="12"/>
  <c r="I40" i="12"/>
  <c r="J40" i="12"/>
  <c r="L40" i="12"/>
  <c r="A41" i="12"/>
  <c r="B41" i="12"/>
  <c r="C41" i="12"/>
  <c r="D41" i="12"/>
  <c r="F41" i="12"/>
  <c r="G41" i="12"/>
  <c r="H41" i="12"/>
  <c r="I41" i="12"/>
  <c r="J41" i="12"/>
  <c r="L41" i="12"/>
  <c r="A42" i="12"/>
  <c r="B42" i="12"/>
  <c r="F42" i="12"/>
  <c r="G42" i="12"/>
  <c r="I42" i="12"/>
  <c r="J42" i="12"/>
  <c r="L42" i="12"/>
  <c r="A43" i="12"/>
  <c r="E43" i="12"/>
  <c r="F43" i="12"/>
  <c r="G43" i="12"/>
  <c r="H43" i="12"/>
  <c r="I43" i="12"/>
  <c r="J43" i="12"/>
  <c r="K43" i="12"/>
  <c r="L43" i="12"/>
  <c r="E44" i="12"/>
  <c r="C45" i="12"/>
  <c r="D45" i="12"/>
  <c r="E45" i="12"/>
  <c r="G48" i="12"/>
  <c r="H48" i="12"/>
  <c r="I48" i="12"/>
  <c r="G49" i="12"/>
  <c r="I49" i="12"/>
  <c r="G50" i="12"/>
  <c r="I50" i="12"/>
  <c r="G51" i="12"/>
  <c r="H51" i="12"/>
  <c r="I51" i="12"/>
  <c r="B4" i="20"/>
  <c r="D6" i="20"/>
  <c r="D7" i="20"/>
  <c r="D8" i="20"/>
  <c r="H10" i="20"/>
  <c r="D11" i="20"/>
  <c r="H11" i="20"/>
  <c r="A12" i="20"/>
  <c r="D12" i="20"/>
  <c r="E12" i="20"/>
  <c r="F12" i="20"/>
  <c r="G12" i="20"/>
  <c r="H12" i="20"/>
  <c r="I12" i="20"/>
  <c r="A13" i="20"/>
  <c r="B13" i="20"/>
  <c r="D13" i="20"/>
  <c r="E13" i="20"/>
  <c r="F13" i="20"/>
  <c r="G13" i="20"/>
  <c r="H13" i="20"/>
  <c r="I13" i="20"/>
  <c r="A14" i="20"/>
  <c r="B14" i="20"/>
  <c r="D14" i="20"/>
  <c r="E14" i="20"/>
  <c r="F14" i="20"/>
  <c r="G14" i="20"/>
  <c r="H14" i="20"/>
  <c r="I14" i="20"/>
  <c r="A15" i="20"/>
  <c r="B15" i="20"/>
  <c r="D15" i="20"/>
  <c r="E15" i="20"/>
  <c r="F15" i="20"/>
  <c r="G15" i="20"/>
  <c r="H15" i="20"/>
  <c r="I15" i="20"/>
  <c r="A16" i="20"/>
  <c r="B16" i="20"/>
  <c r="D16" i="20"/>
  <c r="E16" i="20"/>
  <c r="F16" i="20"/>
  <c r="G16" i="20"/>
  <c r="H16" i="20"/>
  <c r="I16" i="20"/>
  <c r="A17" i="20"/>
  <c r="B17" i="20"/>
  <c r="D17" i="20"/>
  <c r="E17" i="20"/>
  <c r="F17" i="20"/>
  <c r="G17" i="20"/>
  <c r="H17" i="20"/>
  <c r="I17" i="20"/>
  <c r="A18" i="20"/>
  <c r="B18" i="20"/>
  <c r="D18" i="20"/>
  <c r="E18" i="20"/>
  <c r="F18" i="20"/>
  <c r="G18" i="20"/>
  <c r="H18" i="20"/>
  <c r="I18" i="20"/>
  <c r="A19" i="20"/>
  <c r="B19" i="20"/>
  <c r="D19" i="20"/>
  <c r="E19" i="20"/>
  <c r="F19" i="20"/>
  <c r="G19" i="20"/>
  <c r="H19" i="20"/>
  <c r="I19" i="20"/>
  <c r="A20" i="20"/>
  <c r="B20" i="20"/>
  <c r="D20" i="20"/>
  <c r="E20" i="20"/>
  <c r="F20" i="20"/>
  <c r="G20" i="20"/>
  <c r="H20" i="20"/>
  <c r="I20" i="20"/>
  <c r="A21" i="20"/>
  <c r="B21" i="20"/>
  <c r="D21" i="20"/>
  <c r="E21" i="20"/>
  <c r="F21" i="20"/>
  <c r="G21" i="20"/>
  <c r="H21" i="20"/>
  <c r="I21" i="20"/>
  <c r="A22" i="20"/>
  <c r="B22" i="20"/>
  <c r="D22" i="20"/>
  <c r="E22" i="20"/>
  <c r="F22" i="20"/>
  <c r="G22" i="20"/>
  <c r="H22" i="20"/>
  <c r="I22" i="20"/>
  <c r="A23" i="20"/>
  <c r="B23" i="20"/>
  <c r="D23" i="20"/>
  <c r="E23" i="20"/>
  <c r="F23" i="20"/>
  <c r="G23" i="20"/>
  <c r="H23" i="20"/>
  <c r="I23" i="20"/>
  <c r="A24" i="20"/>
  <c r="B24" i="20"/>
  <c r="D24" i="20"/>
  <c r="E24" i="20"/>
  <c r="F24" i="20"/>
  <c r="G24" i="20"/>
  <c r="H24" i="20"/>
  <c r="I24" i="20"/>
  <c r="A25" i="20"/>
  <c r="B25" i="20"/>
  <c r="D25" i="20"/>
  <c r="E25" i="20"/>
  <c r="F25" i="20"/>
  <c r="G25" i="20"/>
  <c r="H25" i="20"/>
  <c r="I25" i="20"/>
  <c r="A26" i="20"/>
  <c r="B26" i="20"/>
  <c r="D26" i="20"/>
  <c r="E26" i="20"/>
  <c r="F26" i="20"/>
  <c r="G26" i="20"/>
  <c r="H26" i="20"/>
  <c r="I26" i="20"/>
  <c r="A27" i="20"/>
  <c r="B27" i="20"/>
  <c r="D27" i="20"/>
  <c r="E27" i="20"/>
  <c r="F27" i="20"/>
  <c r="G27" i="20"/>
  <c r="H27" i="20"/>
  <c r="I27" i="20"/>
  <c r="A28" i="20"/>
  <c r="B28" i="20"/>
  <c r="D28" i="20"/>
  <c r="E28" i="20"/>
  <c r="F28" i="20"/>
  <c r="G28" i="20"/>
  <c r="H28" i="20"/>
  <c r="I28" i="20"/>
  <c r="A29" i="20"/>
  <c r="B29" i="20"/>
  <c r="D29" i="20"/>
  <c r="E29" i="20"/>
  <c r="F29" i="20"/>
  <c r="G29" i="20"/>
  <c r="H29" i="20"/>
  <c r="I29" i="20"/>
  <c r="A30" i="20"/>
  <c r="B30" i="20"/>
  <c r="D30" i="20"/>
  <c r="E30" i="20"/>
  <c r="F30" i="20"/>
  <c r="G30" i="20"/>
  <c r="H30" i="20"/>
  <c r="I30" i="20"/>
  <c r="A31" i="20"/>
  <c r="B31" i="20"/>
  <c r="D31" i="20"/>
  <c r="E31" i="20"/>
  <c r="F31" i="20"/>
  <c r="G31" i="20"/>
  <c r="H31" i="20"/>
  <c r="I31" i="20"/>
  <c r="A32" i="20"/>
  <c r="B32" i="20"/>
  <c r="D32" i="20"/>
  <c r="E32" i="20"/>
  <c r="F32" i="20"/>
  <c r="G32" i="20"/>
  <c r="H32" i="20"/>
  <c r="I32" i="20"/>
  <c r="A33" i="20"/>
  <c r="B33" i="20"/>
  <c r="D33" i="20"/>
  <c r="E33" i="20"/>
  <c r="F33" i="20"/>
  <c r="G33" i="20"/>
  <c r="H33" i="20"/>
  <c r="I33" i="20"/>
  <c r="A34" i="20"/>
  <c r="B34" i="20"/>
  <c r="D34" i="20"/>
  <c r="E34" i="20"/>
  <c r="F34" i="20"/>
  <c r="G34" i="20"/>
  <c r="H34" i="20"/>
  <c r="I34" i="20"/>
  <c r="A35" i="20"/>
  <c r="B35" i="20"/>
  <c r="D35" i="20"/>
  <c r="E35" i="20"/>
  <c r="F35" i="20"/>
  <c r="G35" i="20"/>
  <c r="H35" i="20"/>
  <c r="I35" i="20"/>
  <c r="A36" i="20"/>
  <c r="B36" i="20"/>
  <c r="D36" i="20"/>
  <c r="E36" i="20"/>
  <c r="F36" i="20"/>
  <c r="G36" i="20"/>
  <c r="H36" i="20"/>
  <c r="I36" i="20"/>
  <c r="A37" i="20"/>
  <c r="B37" i="20"/>
  <c r="D37" i="20"/>
  <c r="E37" i="20"/>
  <c r="F37" i="20"/>
  <c r="G37" i="20"/>
  <c r="H37" i="20"/>
  <c r="I37" i="20"/>
  <c r="A38" i="20"/>
  <c r="B38" i="20"/>
  <c r="D38" i="20"/>
  <c r="E38" i="20"/>
  <c r="F38" i="20"/>
  <c r="G38" i="20"/>
  <c r="H38" i="20"/>
  <c r="I38" i="20"/>
  <c r="A39" i="20"/>
  <c r="B39" i="20"/>
  <c r="D39" i="20"/>
  <c r="E39" i="20"/>
  <c r="F39" i="20"/>
  <c r="G39" i="20"/>
  <c r="H39" i="20"/>
  <c r="I39" i="20"/>
  <c r="A40" i="20"/>
  <c r="B40" i="20"/>
  <c r="D40" i="20"/>
  <c r="E40" i="20"/>
  <c r="F40" i="20"/>
  <c r="G40" i="20"/>
  <c r="H40" i="20"/>
  <c r="I40" i="20"/>
  <c r="A41" i="20"/>
  <c r="B41" i="20"/>
  <c r="D41" i="20"/>
  <c r="E41" i="20"/>
  <c r="F41" i="20"/>
  <c r="G41" i="20"/>
  <c r="H41" i="20"/>
  <c r="I41" i="20"/>
  <c r="A42" i="20"/>
  <c r="B42" i="20"/>
  <c r="D42" i="20"/>
  <c r="E42" i="20"/>
  <c r="F42" i="20"/>
  <c r="G42" i="20"/>
  <c r="H42" i="20"/>
  <c r="I42" i="20"/>
  <c r="A43" i="20"/>
  <c r="C43" i="20"/>
  <c r="D43" i="20"/>
  <c r="E43" i="20"/>
  <c r="F43" i="20"/>
  <c r="G43" i="20"/>
  <c r="H43" i="20"/>
  <c r="I43" i="20"/>
  <c r="C44" i="20"/>
  <c r="C45" i="20"/>
  <c r="E47" i="20"/>
  <c r="F47" i="20"/>
  <c r="G47" i="20"/>
  <c r="J47" i="20"/>
  <c r="E48" i="20"/>
  <c r="G48" i="20"/>
  <c r="J48" i="20"/>
  <c r="G49" i="20"/>
  <c r="E50" i="20"/>
  <c r="F50" i="20"/>
  <c r="G50" i="20"/>
  <c r="B3" i="22"/>
  <c r="B4" i="22"/>
  <c r="D6" i="22"/>
  <c r="D7" i="22"/>
  <c r="D8" i="22"/>
  <c r="H10" i="22"/>
  <c r="D11" i="22"/>
  <c r="H11" i="22"/>
  <c r="A12" i="22"/>
  <c r="D12" i="22"/>
  <c r="E12" i="22"/>
  <c r="F12" i="22"/>
  <c r="G12" i="22"/>
  <c r="H12" i="22"/>
  <c r="I12" i="22"/>
  <c r="J12" i="22"/>
  <c r="A13" i="22"/>
  <c r="B13" i="22"/>
  <c r="D13" i="22"/>
  <c r="E13" i="22"/>
  <c r="F13" i="22"/>
  <c r="G13" i="22"/>
  <c r="H13" i="22"/>
  <c r="I13" i="22"/>
  <c r="J13" i="22"/>
  <c r="A14" i="22"/>
  <c r="B14" i="22"/>
  <c r="D14" i="22"/>
  <c r="E14" i="22"/>
  <c r="F14" i="22"/>
  <c r="G14" i="22"/>
  <c r="H14" i="22"/>
  <c r="I14" i="22"/>
  <c r="J14" i="22"/>
  <c r="A15" i="22"/>
  <c r="B15" i="22"/>
  <c r="D15" i="22"/>
  <c r="E15" i="22"/>
  <c r="F15" i="22"/>
  <c r="G15" i="22"/>
  <c r="H15" i="22"/>
  <c r="I15" i="22"/>
  <c r="J15" i="22"/>
  <c r="A16" i="22"/>
  <c r="B16" i="22"/>
  <c r="D16" i="22"/>
  <c r="E16" i="22"/>
  <c r="F16" i="22"/>
  <c r="G16" i="22"/>
  <c r="H16" i="22"/>
  <c r="I16" i="22"/>
  <c r="J16" i="22"/>
  <c r="A17" i="22"/>
  <c r="B17" i="22"/>
  <c r="D17" i="22"/>
  <c r="E17" i="22"/>
  <c r="F17" i="22"/>
  <c r="G17" i="22"/>
  <c r="H17" i="22"/>
  <c r="I17" i="22"/>
  <c r="J17" i="22"/>
  <c r="A18" i="22"/>
  <c r="B18" i="22"/>
  <c r="D18" i="22"/>
  <c r="E18" i="22"/>
  <c r="F18" i="22"/>
  <c r="G18" i="22"/>
  <c r="H18" i="22"/>
  <c r="I18" i="22"/>
  <c r="J18" i="22"/>
  <c r="A19" i="22"/>
  <c r="B19" i="22"/>
  <c r="D19" i="22"/>
  <c r="E19" i="22"/>
  <c r="F19" i="22"/>
  <c r="G19" i="22"/>
  <c r="H19" i="22"/>
  <c r="I19" i="22"/>
  <c r="J19" i="22"/>
  <c r="A20" i="22"/>
  <c r="B20" i="22"/>
  <c r="D20" i="22"/>
  <c r="E20" i="22"/>
  <c r="F20" i="22"/>
  <c r="G20" i="22"/>
  <c r="H20" i="22"/>
  <c r="I20" i="22"/>
  <c r="J20" i="22"/>
  <c r="A21" i="22"/>
  <c r="B21" i="22"/>
  <c r="D21" i="22"/>
  <c r="E21" i="22"/>
  <c r="F21" i="22"/>
  <c r="G21" i="22"/>
  <c r="H21" i="22"/>
  <c r="I21" i="22"/>
  <c r="J21" i="22"/>
  <c r="A22" i="22"/>
  <c r="B22" i="22"/>
  <c r="D22" i="22"/>
  <c r="E22" i="22"/>
  <c r="F22" i="22"/>
  <c r="G22" i="22"/>
  <c r="H22" i="22"/>
  <c r="I22" i="22"/>
  <c r="J22" i="22"/>
  <c r="A23" i="22"/>
  <c r="B23" i="22"/>
  <c r="D23" i="22"/>
  <c r="E23" i="22"/>
  <c r="F23" i="22"/>
  <c r="G23" i="22"/>
  <c r="H23" i="22"/>
  <c r="I23" i="22"/>
  <c r="J23" i="22"/>
  <c r="A24" i="22"/>
  <c r="B24" i="22"/>
  <c r="D24" i="22"/>
  <c r="E24" i="22"/>
  <c r="F24" i="22"/>
  <c r="G24" i="22"/>
  <c r="H24" i="22"/>
  <c r="I24" i="22"/>
  <c r="J24" i="22"/>
  <c r="A25" i="22"/>
  <c r="B25" i="22"/>
  <c r="D25" i="22"/>
  <c r="E25" i="22"/>
  <c r="F25" i="22"/>
  <c r="G25" i="22"/>
  <c r="H25" i="22"/>
  <c r="I25" i="22"/>
  <c r="J25" i="22"/>
  <c r="A26" i="22"/>
  <c r="B26" i="22"/>
  <c r="D26" i="22"/>
  <c r="E26" i="22"/>
  <c r="F26" i="22"/>
  <c r="G26" i="22"/>
  <c r="H26" i="22"/>
  <c r="I26" i="22"/>
  <c r="J26" i="22"/>
  <c r="A27" i="22"/>
  <c r="B27" i="22"/>
  <c r="D27" i="22"/>
  <c r="E27" i="22"/>
  <c r="F27" i="22"/>
  <c r="G27" i="22"/>
  <c r="H27" i="22"/>
  <c r="I27" i="22"/>
  <c r="J27" i="22"/>
  <c r="A28" i="22"/>
  <c r="B28" i="22"/>
  <c r="D28" i="22"/>
  <c r="E28" i="22"/>
  <c r="F28" i="22"/>
  <c r="G28" i="22"/>
  <c r="H28" i="22"/>
  <c r="I28" i="22"/>
  <c r="J28" i="22"/>
  <c r="A29" i="22"/>
  <c r="B29" i="22"/>
  <c r="D29" i="22"/>
  <c r="E29" i="22"/>
  <c r="F29" i="22"/>
  <c r="G29" i="22"/>
  <c r="H29" i="22"/>
  <c r="I29" i="22"/>
  <c r="J29" i="22"/>
  <c r="A30" i="22"/>
  <c r="B30" i="22"/>
  <c r="D30" i="22"/>
  <c r="E30" i="22"/>
  <c r="F30" i="22"/>
  <c r="G30" i="22"/>
  <c r="H30" i="22"/>
  <c r="I30" i="22"/>
  <c r="J30" i="22"/>
  <c r="A31" i="22"/>
  <c r="B31" i="22"/>
  <c r="D31" i="22"/>
  <c r="E31" i="22"/>
  <c r="F31" i="22"/>
  <c r="G31" i="22"/>
  <c r="H31" i="22"/>
  <c r="I31" i="22"/>
  <c r="J31" i="22"/>
  <c r="A32" i="22"/>
  <c r="B32" i="22"/>
  <c r="D32" i="22"/>
  <c r="E32" i="22"/>
  <c r="F32" i="22"/>
  <c r="G32" i="22"/>
  <c r="H32" i="22"/>
  <c r="I32" i="22"/>
  <c r="J32" i="22"/>
  <c r="A33" i="22"/>
  <c r="B33" i="22"/>
  <c r="D33" i="22"/>
  <c r="E33" i="22"/>
  <c r="F33" i="22"/>
  <c r="G33" i="22"/>
  <c r="H33" i="22"/>
  <c r="I33" i="22"/>
  <c r="J33" i="22"/>
  <c r="A34" i="22"/>
  <c r="B34" i="22"/>
  <c r="D34" i="22"/>
  <c r="E34" i="22"/>
  <c r="F34" i="22"/>
  <c r="G34" i="22"/>
  <c r="H34" i="22"/>
  <c r="I34" i="22"/>
  <c r="J34" i="22"/>
  <c r="A35" i="22"/>
  <c r="B35" i="22"/>
  <c r="D35" i="22"/>
  <c r="E35" i="22"/>
  <c r="F35" i="22"/>
  <c r="G35" i="22"/>
  <c r="H35" i="22"/>
  <c r="I35" i="22"/>
  <c r="J35" i="22"/>
  <c r="A36" i="22"/>
  <c r="B36" i="22"/>
  <c r="D36" i="22"/>
  <c r="E36" i="22"/>
  <c r="F36" i="22"/>
  <c r="G36" i="22"/>
  <c r="H36" i="22"/>
  <c r="I36" i="22"/>
  <c r="J36" i="22"/>
  <c r="A37" i="22"/>
  <c r="B37" i="22"/>
  <c r="D37" i="22"/>
  <c r="E37" i="22"/>
  <c r="F37" i="22"/>
  <c r="G37" i="22"/>
  <c r="H37" i="22"/>
  <c r="I37" i="22"/>
  <c r="J37" i="22"/>
  <c r="A38" i="22"/>
  <c r="B38" i="22"/>
  <c r="D38" i="22"/>
  <c r="E38" i="22"/>
  <c r="F38" i="22"/>
  <c r="G38" i="22"/>
  <c r="H38" i="22"/>
  <c r="I38" i="22"/>
  <c r="J38" i="22"/>
  <c r="A39" i="22"/>
  <c r="B39" i="22"/>
  <c r="D39" i="22"/>
  <c r="E39" i="22"/>
  <c r="F39" i="22"/>
  <c r="G39" i="22"/>
  <c r="H39" i="22"/>
  <c r="I39" i="22"/>
  <c r="J39" i="22"/>
  <c r="A40" i="22"/>
  <c r="B40" i="22"/>
  <c r="D40" i="22"/>
  <c r="E40" i="22"/>
  <c r="F40" i="22"/>
  <c r="G40" i="22"/>
  <c r="H40" i="22"/>
  <c r="I40" i="22"/>
  <c r="J40" i="22"/>
  <c r="A41" i="22"/>
  <c r="B41" i="22"/>
  <c r="D41" i="22"/>
  <c r="E41" i="22"/>
  <c r="F41" i="22"/>
  <c r="G41" i="22"/>
  <c r="H41" i="22"/>
  <c r="I41" i="22"/>
  <c r="J41" i="22"/>
  <c r="A42" i="22"/>
  <c r="B42" i="22"/>
  <c r="D42" i="22"/>
  <c r="E42" i="22"/>
  <c r="G42" i="22"/>
  <c r="H42" i="22"/>
  <c r="I42" i="22"/>
  <c r="J42" i="22"/>
  <c r="A43" i="22"/>
  <c r="C43" i="22"/>
  <c r="D43" i="22"/>
  <c r="E43" i="22"/>
  <c r="F43" i="22"/>
  <c r="H43" i="22"/>
  <c r="I43" i="22"/>
  <c r="C44" i="22"/>
  <c r="C45" i="22"/>
  <c r="E47" i="22"/>
  <c r="F47" i="22"/>
  <c r="G47" i="22"/>
  <c r="E48" i="22"/>
  <c r="G48" i="22"/>
  <c r="G49" i="22"/>
  <c r="E50" i="22"/>
  <c r="F50" i="22"/>
  <c r="G50" i="22"/>
  <c r="C4" i="19"/>
  <c r="E6" i="19"/>
  <c r="E7" i="19"/>
  <c r="E8" i="19"/>
  <c r="L10" i="19"/>
  <c r="E11" i="19"/>
  <c r="A12" i="19"/>
  <c r="E12" i="19"/>
  <c r="F12" i="19"/>
  <c r="G12" i="19"/>
  <c r="J12" i="19"/>
  <c r="K12" i="19"/>
  <c r="L12" i="19"/>
  <c r="M12" i="19"/>
  <c r="N12" i="19"/>
  <c r="A13" i="19"/>
  <c r="C13" i="19"/>
  <c r="E13" i="19"/>
  <c r="F13" i="19"/>
  <c r="G13" i="19"/>
  <c r="J13" i="19"/>
  <c r="K13" i="19"/>
  <c r="L13" i="19"/>
  <c r="M13" i="19"/>
  <c r="N13" i="19"/>
  <c r="A14" i="19"/>
  <c r="C14" i="19"/>
  <c r="E14" i="19"/>
  <c r="F14" i="19"/>
  <c r="G14" i="19"/>
  <c r="J14" i="19"/>
  <c r="K14" i="19"/>
  <c r="L14" i="19"/>
  <c r="M14" i="19"/>
  <c r="N14" i="19"/>
  <c r="A15" i="19"/>
  <c r="B15" i="19"/>
  <c r="C15" i="19"/>
  <c r="E15" i="19"/>
  <c r="F15" i="19"/>
  <c r="G15" i="19"/>
  <c r="J15" i="19"/>
  <c r="K15" i="19"/>
  <c r="L15" i="19"/>
  <c r="M15" i="19"/>
  <c r="N15" i="19"/>
  <c r="A16" i="19"/>
  <c r="B16" i="19"/>
  <c r="C16" i="19"/>
  <c r="E16" i="19"/>
  <c r="F16" i="19"/>
  <c r="G16" i="19"/>
  <c r="J16" i="19"/>
  <c r="K16" i="19"/>
  <c r="L16" i="19"/>
  <c r="M16" i="19"/>
  <c r="N16" i="19"/>
  <c r="A17" i="19"/>
  <c r="C17" i="19"/>
  <c r="E17" i="19"/>
  <c r="F17" i="19"/>
  <c r="G17" i="19"/>
  <c r="J17" i="19"/>
  <c r="K17" i="19"/>
  <c r="L17" i="19"/>
  <c r="M17" i="19"/>
  <c r="N17" i="19"/>
  <c r="A18" i="19"/>
  <c r="C18" i="19"/>
  <c r="E18" i="19"/>
  <c r="F18" i="19"/>
  <c r="G18" i="19"/>
  <c r="J18" i="19"/>
  <c r="K18" i="19"/>
  <c r="L18" i="19"/>
  <c r="M18" i="19"/>
  <c r="N18" i="19"/>
  <c r="A19" i="19"/>
  <c r="C19" i="19"/>
  <c r="E19" i="19"/>
  <c r="F19" i="19"/>
  <c r="G19" i="19"/>
  <c r="J19" i="19"/>
  <c r="K19" i="19"/>
  <c r="L19" i="19"/>
  <c r="M19" i="19"/>
  <c r="N19" i="19"/>
  <c r="A20" i="19"/>
  <c r="C20" i="19"/>
  <c r="E20" i="19"/>
  <c r="F20" i="19"/>
  <c r="G20" i="19"/>
  <c r="J20" i="19"/>
  <c r="K20" i="19"/>
  <c r="L20" i="19"/>
  <c r="M20" i="19"/>
  <c r="N20" i="19"/>
  <c r="A21" i="19"/>
  <c r="C21" i="19"/>
  <c r="E21" i="19"/>
  <c r="F21" i="19"/>
  <c r="G21" i="19"/>
  <c r="J21" i="19"/>
  <c r="K21" i="19"/>
  <c r="L21" i="19"/>
  <c r="M21" i="19"/>
  <c r="N21" i="19"/>
  <c r="A22" i="19"/>
  <c r="B22" i="19"/>
  <c r="C22" i="19"/>
  <c r="E22" i="19"/>
  <c r="F22" i="19"/>
  <c r="G22" i="19"/>
  <c r="J22" i="19"/>
  <c r="K22" i="19"/>
  <c r="L22" i="19"/>
  <c r="M22" i="19"/>
  <c r="N22" i="19"/>
  <c r="A23" i="19"/>
  <c r="B23" i="19"/>
  <c r="C23" i="19"/>
  <c r="E23" i="19"/>
  <c r="F23" i="19"/>
  <c r="G23" i="19"/>
  <c r="J23" i="19"/>
  <c r="K23" i="19"/>
  <c r="L23" i="19"/>
  <c r="M23" i="19"/>
  <c r="N23" i="19"/>
  <c r="A24" i="19"/>
  <c r="B24" i="19"/>
  <c r="C24" i="19"/>
  <c r="E24" i="19"/>
  <c r="F24" i="19"/>
  <c r="G24" i="19"/>
  <c r="J24" i="19"/>
  <c r="K24" i="19"/>
  <c r="L24" i="19"/>
  <c r="M24" i="19"/>
  <c r="N24" i="19"/>
  <c r="A25" i="19"/>
  <c r="C25" i="19"/>
  <c r="E25" i="19"/>
  <c r="F25" i="19"/>
  <c r="G25" i="19"/>
  <c r="J25" i="19"/>
  <c r="K25" i="19"/>
  <c r="L25" i="19"/>
  <c r="M25" i="19"/>
  <c r="N25" i="19"/>
  <c r="A26" i="19"/>
  <c r="C26" i="19"/>
  <c r="E26" i="19"/>
  <c r="F26" i="19"/>
  <c r="G26" i="19"/>
  <c r="J26" i="19"/>
  <c r="K26" i="19"/>
  <c r="L26" i="19"/>
  <c r="M26" i="19"/>
  <c r="N26" i="19"/>
  <c r="A27" i="19"/>
  <c r="C27" i="19"/>
  <c r="E27" i="19"/>
  <c r="F27" i="19"/>
  <c r="G27" i="19"/>
  <c r="J27" i="19"/>
  <c r="K27" i="19"/>
  <c r="L27" i="19"/>
  <c r="M27" i="19"/>
  <c r="N27" i="19"/>
  <c r="A28" i="19"/>
  <c r="C28" i="19"/>
  <c r="E28" i="19"/>
  <c r="F28" i="19"/>
  <c r="G28" i="19"/>
  <c r="J28" i="19"/>
  <c r="K28" i="19"/>
  <c r="L28" i="19"/>
  <c r="M28" i="19"/>
  <c r="N28" i="19"/>
  <c r="A29" i="19"/>
  <c r="B29" i="19"/>
  <c r="C29" i="19"/>
  <c r="E29" i="19"/>
  <c r="F29" i="19"/>
  <c r="G29" i="19"/>
  <c r="J29" i="19"/>
  <c r="K29" i="19"/>
  <c r="L29" i="19"/>
  <c r="M29" i="19"/>
  <c r="N29" i="19"/>
  <c r="A30" i="19"/>
  <c r="B30" i="19"/>
  <c r="C30" i="19"/>
  <c r="E30" i="19"/>
  <c r="F30" i="19"/>
  <c r="G30" i="19"/>
  <c r="J30" i="19"/>
  <c r="K30" i="19"/>
  <c r="L30" i="19"/>
  <c r="M30" i="19"/>
  <c r="N30" i="19"/>
  <c r="A31" i="19"/>
  <c r="C31" i="19"/>
  <c r="E31" i="19"/>
  <c r="F31" i="19"/>
  <c r="G31" i="19"/>
  <c r="J31" i="19"/>
  <c r="K31" i="19"/>
  <c r="L31" i="19"/>
  <c r="M31" i="19"/>
  <c r="N31" i="19"/>
  <c r="A32" i="19"/>
  <c r="C32" i="19"/>
  <c r="E32" i="19"/>
  <c r="F32" i="19"/>
  <c r="G32" i="19"/>
  <c r="J32" i="19"/>
  <c r="K32" i="19"/>
  <c r="L32" i="19"/>
  <c r="M32" i="19"/>
  <c r="N32" i="19"/>
  <c r="A33" i="19"/>
  <c r="C33" i="19"/>
  <c r="E33" i="19"/>
  <c r="F33" i="19"/>
  <c r="G33" i="19"/>
  <c r="J33" i="19"/>
  <c r="K33" i="19"/>
  <c r="L33" i="19"/>
  <c r="M33" i="19"/>
  <c r="N33" i="19"/>
  <c r="C34" i="19"/>
  <c r="E34" i="19"/>
  <c r="F34" i="19"/>
  <c r="G34" i="19"/>
  <c r="J34" i="19"/>
  <c r="K34" i="19"/>
  <c r="L34" i="19"/>
  <c r="M34" i="19"/>
  <c r="N34" i="19"/>
  <c r="B35" i="19"/>
  <c r="C35" i="19"/>
  <c r="E35" i="19"/>
  <c r="F35" i="19"/>
  <c r="G35" i="19"/>
  <c r="J35" i="19"/>
  <c r="K35" i="19"/>
  <c r="L35" i="19"/>
  <c r="M35" i="19"/>
  <c r="N35" i="19"/>
  <c r="B36" i="19"/>
  <c r="C36" i="19"/>
  <c r="E36" i="19"/>
  <c r="F36" i="19"/>
  <c r="G36" i="19"/>
  <c r="J36" i="19"/>
  <c r="K36" i="19"/>
  <c r="L36" i="19"/>
  <c r="M36" i="19"/>
  <c r="N36" i="19"/>
  <c r="C37" i="19"/>
  <c r="E37" i="19"/>
  <c r="F37" i="19"/>
  <c r="G37" i="19"/>
  <c r="J37" i="19"/>
  <c r="K37" i="19"/>
  <c r="L37" i="19"/>
  <c r="M37" i="19"/>
  <c r="N37" i="19"/>
  <c r="C38" i="19"/>
  <c r="E38" i="19"/>
  <c r="F38" i="19"/>
  <c r="G38" i="19"/>
  <c r="J38" i="19"/>
  <c r="K38" i="19"/>
  <c r="L38" i="19"/>
  <c r="M38" i="19"/>
  <c r="N38" i="19"/>
  <c r="C39" i="19"/>
  <c r="E39" i="19"/>
  <c r="F39" i="19"/>
  <c r="G39" i="19"/>
  <c r="J39" i="19"/>
  <c r="K39" i="19"/>
  <c r="L39" i="19"/>
  <c r="M39" i="19"/>
  <c r="N39" i="19"/>
  <c r="C40" i="19"/>
  <c r="E40" i="19"/>
  <c r="F40" i="19"/>
  <c r="G40" i="19"/>
  <c r="J40" i="19"/>
  <c r="K40" i="19"/>
  <c r="L40" i="19"/>
  <c r="M40" i="19"/>
  <c r="N40" i="19"/>
  <c r="C41" i="19"/>
  <c r="E41" i="19"/>
  <c r="F41" i="19"/>
  <c r="G41" i="19"/>
  <c r="J41" i="19"/>
  <c r="K41" i="19"/>
  <c r="L41" i="19"/>
  <c r="M41" i="19"/>
  <c r="N41" i="19"/>
  <c r="A42" i="19"/>
  <c r="C42" i="19"/>
  <c r="E42" i="19"/>
  <c r="F42" i="19"/>
  <c r="J42" i="19"/>
  <c r="K42" i="19"/>
  <c r="L42" i="19"/>
  <c r="M42" i="19"/>
  <c r="N42" i="19"/>
  <c r="A43" i="19"/>
  <c r="B43" i="19"/>
  <c r="D43" i="19"/>
  <c r="E43" i="19"/>
  <c r="F43" i="19"/>
  <c r="G43" i="19"/>
  <c r="J43" i="19"/>
  <c r="K43" i="19"/>
  <c r="L43" i="19"/>
  <c r="M43" i="19"/>
  <c r="D44" i="19"/>
  <c r="A45" i="19"/>
  <c r="D45" i="19"/>
  <c r="F47" i="19"/>
  <c r="G47" i="19"/>
  <c r="J47" i="19"/>
  <c r="F48" i="19"/>
  <c r="J48" i="19"/>
  <c r="J49" i="19"/>
  <c r="F50" i="19"/>
  <c r="G50" i="19"/>
  <c r="J50" i="19"/>
  <c r="B4" i="6"/>
  <c r="D6" i="6"/>
  <c r="D7" i="6"/>
  <c r="D8" i="6"/>
  <c r="H10" i="6"/>
  <c r="D11" i="6"/>
  <c r="H11" i="6"/>
  <c r="A12" i="6"/>
  <c r="D12" i="6"/>
  <c r="E12" i="6"/>
  <c r="F12" i="6"/>
  <c r="G12" i="6"/>
  <c r="H12" i="6"/>
  <c r="J12" i="6"/>
  <c r="A13" i="6"/>
  <c r="B13" i="6"/>
  <c r="D13" i="6"/>
  <c r="E13" i="6"/>
  <c r="F13" i="6"/>
  <c r="G13" i="6"/>
  <c r="H13" i="6"/>
  <c r="J13" i="6"/>
  <c r="A14" i="6"/>
  <c r="B14" i="6"/>
  <c r="D14" i="6"/>
  <c r="E14" i="6"/>
  <c r="F14" i="6"/>
  <c r="G14" i="6"/>
  <c r="H14" i="6"/>
  <c r="J14" i="6"/>
  <c r="A15" i="6"/>
  <c r="B15" i="6"/>
  <c r="D15" i="6"/>
  <c r="E15" i="6"/>
  <c r="F15" i="6"/>
  <c r="G15" i="6"/>
  <c r="H15" i="6"/>
  <c r="J15" i="6"/>
  <c r="A16" i="6"/>
  <c r="B16" i="6"/>
  <c r="D16" i="6"/>
  <c r="E16" i="6"/>
  <c r="F16" i="6"/>
  <c r="G16" i="6"/>
  <c r="H16" i="6"/>
  <c r="J16" i="6"/>
  <c r="A17" i="6"/>
  <c r="B17" i="6"/>
  <c r="D17" i="6"/>
  <c r="E17" i="6"/>
  <c r="F17" i="6"/>
  <c r="G17" i="6"/>
  <c r="H17" i="6"/>
  <c r="J17" i="6"/>
  <c r="A18" i="6"/>
  <c r="B18" i="6"/>
  <c r="D18" i="6"/>
  <c r="E18" i="6"/>
  <c r="F18" i="6"/>
  <c r="G18" i="6"/>
  <c r="H18" i="6"/>
  <c r="J18" i="6"/>
  <c r="A19" i="6"/>
  <c r="B19" i="6"/>
  <c r="D19" i="6"/>
  <c r="E19" i="6"/>
  <c r="F19" i="6"/>
  <c r="G19" i="6"/>
  <c r="H19" i="6"/>
  <c r="J19" i="6"/>
  <c r="A20" i="6"/>
  <c r="B20" i="6"/>
  <c r="D20" i="6"/>
  <c r="E20" i="6"/>
  <c r="F20" i="6"/>
  <c r="G20" i="6"/>
  <c r="H20" i="6"/>
  <c r="J20" i="6"/>
  <c r="A21" i="6"/>
  <c r="B21" i="6"/>
  <c r="D21" i="6"/>
  <c r="E21" i="6"/>
  <c r="F21" i="6"/>
  <c r="G21" i="6"/>
  <c r="H21" i="6"/>
  <c r="J21" i="6"/>
  <c r="A22" i="6"/>
  <c r="B22" i="6"/>
  <c r="D22" i="6"/>
  <c r="E22" i="6"/>
  <c r="F22" i="6"/>
  <c r="G22" i="6"/>
  <c r="H22" i="6"/>
  <c r="J22" i="6"/>
  <c r="A23" i="6"/>
  <c r="B23" i="6"/>
  <c r="D23" i="6"/>
  <c r="E23" i="6"/>
  <c r="F23" i="6"/>
  <c r="G23" i="6"/>
  <c r="H23" i="6"/>
  <c r="J23" i="6"/>
  <c r="A24" i="6"/>
  <c r="B24" i="6"/>
  <c r="D24" i="6"/>
  <c r="E24" i="6"/>
  <c r="F24" i="6"/>
  <c r="G24" i="6"/>
  <c r="H24" i="6"/>
  <c r="J24" i="6"/>
  <c r="A25" i="6"/>
  <c r="B25" i="6"/>
  <c r="D25" i="6"/>
  <c r="E25" i="6"/>
  <c r="F25" i="6"/>
  <c r="G25" i="6"/>
  <c r="H25" i="6"/>
  <c r="J25" i="6"/>
  <c r="A26" i="6"/>
  <c r="B26" i="6"/>
  <c r="D26" i="6"/>
  <c r="E26" i="6"/>
  <c r="F26" i="6"/>
  <c r="G26" i="6"/>
  <c r="H26" i="6"/>
  <c r="J26" i="6"/>
  <c r="A27" i="6"/>
  <c r="B27" i="6"/>
  <c r="D27" i="6"/>
  <c r="E27" i="6"/>
  <c r="F27" i="6"/>
  <c r="G27" i="6"/>
  <c r="H27" i="6"/>
  <c r="J27" i="6"/>
  <c r="A28" i="6"/>
  <c r="B28" i="6"/>
  <c r="D28" i="6"/>
  <c r="E28" i="6"/>
  <c r="F28" i="6"/>
  <c r="G28" i="6"/>
  <c r="H28" i="6"/>
  <c r="J28" i="6"/>
  <c r="A29" i="6"/>
  <c r="B29" i="6"/>
  <c r="D29" i="6"/>
  <c r="E29" i="6"/>
  <c r="F29" i="6"/>
  <c r="G29" i="6"/>
  <c r="H29" i="6"/>
  <c r="J29" i="6"/>
  <c r="A30" i="6"/>
  <c r="B30" i="6"/>
  <c r="D30" i="6"/>
  <c r="E30" i="6"/>
  <c r="F30" i="6"/>
  <c r="G30" i="6"/>
  <c r="H30" i="6"/>
  <c r="J30" i="6"/>
  <c r="A31" i="6"/>
  <c r="B31" i="6"/>
  <c r="D31" i="6"/>
  <c r="E31" i="6"/>
  <c r="F31" i="6"/>
  <c r="G31" i="6"/>
  <c r="H31" i="6"/>
  <c r="J31" i="6"/>
  <c r="A32" i="6"/>
  <c r="B32" i="6"/>
  <c r="D32" i="6"/>
  <c r="E32" i="6"/>
  <c r="F32" i="6"/>
  <c r="G32" i="6"/>
  <c r="H32" i="6"/>
  <c r="J32" i="6"/>
  <c r="A33" i="6"/>
  <c r="B33" i="6"/>
  <c r="D33" i="6"/>
  <c r="E33" i="6"/>
  <c r="F33" i="6"/>
  <c r="G33" i="6"/>
  <c r="H33" i="6"/>
  <c r="J33" i="6"/>
  <c r="A34" i="6"/>
  <c r="B34" i="6"/>
  <c r="D34" i="6"/>
  <c r="E34" i="6"/>
  <c r="F34" i="6"/>
  <c r="G34" i="6"/>
  <c r="H34" i="6"/>
  <c r="J34" i="6"/>
  <c r="A35" i="6"/>
  <c r="B35" i="6"/>
  <c r="D35" i="6"/>
  <c r="E35" i="6"/>
  <c r="F35" i="6"/>
  <c r="G35" i="6"/>
  <c r="H35" i="6"/>
  <c r="J35" i="6"/>
  <c r="A36" i="6"/>
  <c r="B36" i="6"/>
  <c r="D36" i="6"/>
  <c r="E36" i="6"/>
  <c r="F36" i="6"/>
  <c r="G36" i="6"/>
  <c r="H36" i="6"/>
  <c r="J36" i="6"/>
  <c r="A37" i="6"/>
  <c r="B37" i="6"/>
  <c r="D37" i="6"/>
  <c r="E37" i="6"/>
  <c r="F37" i="6"/>
  <c r="G37" i="6"/>
  <c r="H37" i="6"/>
  <c r="J37" i="6"/>
  <c r="A38" i="6"/>
  <c r="B38" i="6"/>
  <c r="D38" i="6"/>
  <c r="E38" i="6"/>
  <c r="F38" i="6"/>
  <c r="G38" i="6"/>
  <c r="H38" i="6"/>
  <c r="J38" i="6"/>
  <c r="A39" i="6"/>
  <c r="B39" i="6"/>
  <c r="D39" i="6"/>
  <c r="E39" i="6"/>
  <c r="F39" i="6"/>
  <c r="G39" i="6"/>
  <c r="H39" i="6"/>
  <c r="J39" i="6"/>
  <c r="A40" i="6"/>
  <c r="B40" i="6"/>
  <c r="D40" i="6"/>
  <c r="E40" i="6"/>
  <c r="F40" i="6"/>
  <c r="G40" i="6"/>
  <c r="H40" i="6"/>
  <c r="J40" i="6"/>
  <c r="A41" i="6"/>
  <c r="B41" i="6"/>
  <c r="D41" i="6"/>
  <c r="E41" i="6"/>
  <c r="F41" i="6"/>
  <c r="G41" i="6"/>
  <c r="H41" i="6"/>
  <c r="J41" i="6"/>
  <c r="A42" i="6"/>
  <c r="B42" i="6"/>
  <c r="D42" i="6"/>
  <c r="E42" i="6"/>
  <c r="F42" i="6"/>
  <c r="G42" i="6"/>
  <c r="H42" i="6"/>
  <c r="J42" i="6"/>
  <c r="A43" i="6"/>
  <c r="D43" i="6"/>
  <c r="E43" i="6"/>
  <c r="F43" i="6"/>
  <c r="H43" i="6"/>
  <c r="I43" i="6"/>
  <c r="C44" i="6"/>
  <c r="C45" i="6"/>
  <c r="E47" i="6"/>
  <c r="F47" i="6"/>
  <c r="G47" i="6"/>
  <c r="I47" i="6"/>
  <c r="E48" i="6"/>
  <c r="G48" i="6"/>
  <c r="I48" i="6"/>
  <c r="G49" i="6"/>
  <c r="E50" i="6"/>
  <c r="F50" i="6"/>
  <c r="G50" i="6"/>
  <c r="D6" i="16"/>
  <c r="D7" i="16"/>
  <c r="D8" i="16"/>
  <c r="D11" i="16"/>
  <c r="H11" i="16"/>
  <c r="D12" i="16"/>
  <c r="F12" i="16"/>
  <c r="H12" i="16"/>
  <c r="I12" i="16"/>
  <c r="A13" i="16"/>
  <c r="D13" i="16"/>
  <c r="F13" i="16"/>
  <c r="H13" i="16"/>
  <c r="I13" i="16"/>
  <c r="A14" i="16"/>
  <c r="D14" i="16"/>
  <c r="F14" i="16"/>
  <c r="H14" i="16"/>
  <c r="I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H42" i="16"/>
  <c r="C43" i="16"/>
  <c r="D43" i="16"/>
  <c r="E43" i="16"/>
  <c r="F43" i="16"/>
  <c r="H43" i="16"/>
  <c r="I43" i="16"/>
  <c r="C44" i="16"/>
  <c r="C45" i="16"/>
  <c r="E47" i="16"/>
  <c r="F47" i="16"/>
  <c r="G47" i="16"/>
  <c r="E48" i="16"/>
  <c r="G49" i="16"/>
  <c r="E50" i="16"/>
  <c r="F50" i="16"/>
  <c r="G50" i="16"/>
  <c r="A2" i="18"/>
  <c r="B4" i="18"/>
  <c r="F4" i="18"/>
  <c r="G4" i="18"/>
  <c r="H4" i="18"/>
  <c r="I4" i="18"/>
  <c r="K4" i="18"/>
  <c r="B5" i="18"/>
  <c r="F5" i="18"/>
  <c r="G5" i="18"/>
  <c r="H5" i="18"/>
  <c r="I5" i="18"/>
  <c r="K5" i="18"/>
  <c r="F6" i="18"/>
  <c r="G6" i="18"/>
  <c r="H6" i="18"/>
  <c r="I6" i="18"/>
  <c r="K6" i="18"/>
  <c r="B7" i="18"/>
  <c r="F7" i="18"/>
  <c r="G7" i="18"/>
  <c r="H7" i="18"/>
  <c r="I7" i="18"/>
  <c r="K7" i="18"/>
  <c r="B8" i="18"/>
  <c r="F8" i="18"/>
  <c r="G8" i="18"/>
  <c r="H8" i="18"/>
  <c r="I8" i="18"/>
  <c r="F9" i="18"/>
  <c r="G9" i="18"/>
  <c r="H9" i="18"/>
  <c r="I9" i="18"/>
  <c r="K9" i="18"/>
  <c r="B10" i="18"/>
  <c r="F10" i="18"/>
  <c r="G10" i="18"/>
  <c r="H10" i="18"/>
  <c r="I10" i="18"/>
  <c r="K10" i="18"/>
  <c r="B11" i="18"/>
  <c r="F11" i="18"/>
  <c r="G11" i="18"/>
  <c r="H11" i="18"/>
  <c r="I11" i="18"/>
  <c r="K11" i="18"/>
  <c r="B12" i="18"/>
  <c r="F12" i="18"/>
  <c r="G12" i="18"/>
  <c r="H12" i="18"/>
  <c r="I12" i="18"/>
  <c r="K12" i="18"/>
  <c r="B13" i="18"/>
  <c r="F13" i="18"/>
  <c r="G13" i="18"/>
  <c r="H13" i="18"/>
  <c r="I13" i="18"/>
  <c r="B14" i="18"/>
  <c r="F14" i="18"/>
  <c r="G14" i="18"/>
  <c r="H14" i="18"/>
  <c r="I14" i="18"/>
  <c r="K14" i="18"/>
  <c r="B15" i="18"/>
  <c r="F15" i="18"/>
  <c r="G15" i="18"/>
  <c r="H15" i="18"/>
  <c r="I15" i="18"/>
  <c r="K15" i="18"/>
  <c r="F16" i="18"/>
  <c r="G16" i="18"/>
  <c r="H16" i="18"/>
  <c r="I16" i="18"/>
  <c r="J16" i="18"/>
  <c r="K16" i="18"/>
  <c r="F19" i="18"/>
  <c r="G19" i="18"/>
  <c r="H19" i="18"/>
  <c r="I19" i="18"/>
  <c r="I23" i="18"/>
  <c r="B4" i="11"/>
  <c r="D6" i="11"/>
  <c r="D7" i="11"/>
  <c r="D8" i="11"/>
  <c r="H10" i="11"/>
  <c r="D11" i="11"/>
  <c r="H11" i="11"/>
  <c r="A12" i="11"/>
  <c r="D12" i="11"/>
  <c r="E12" i="11"/>
  <c r="F12" i="11"/>
  <c r="G12" i="11"/>
  <c r="H12" i="11"/>
  <c r="I12" i="11"/>
  <c r="J12" i="11"/>
  <c r="A13" i="11"/>
  <c r="B13" i="11"/>
  <c r="D13" i="11"/>
  <c r="E13" i="11"/>
  <c r="F13" i="11"/>
  <c r="G13" i="11"/>
  <c r="H13" i="11"/>
  <c r="I13" i="11"/>
  <c r="J13" i="11"/>
  <c r="A14" i="11"/>
  <c r="B14" i="11"/>
  <c r="D14" i="11"/>
  <c r="E14" i="11"/>
  <c r="F14" i="11"/>
  <c r="G14" i="11"/>
  <c r="H14" i="11"/>
  <c r="I14" i="11"/>
  <c r="J14" i="11"/>
  <c r="A15" i="11"/>
  <c r="B15" i="11"/>
  <c r="D15" i="11"/>
  <c r="E15" i="11"/>
  <c r="F15" i="11"/>
  <c r="G15" i="11"/>
  <c r="H15" i="11"/>
  <c r="I15" i="11"/>
  <c r="J15" i="11"/>
  <c r="A16" i="11"/>
  <c r="B16" i="11"/>
  <c r="D16" i="11"/>
  <c r="E16" i="11"/>
  <c r="F16" i="11"/>
  <c r="G16" i="11"/>
  <c r="H16" i="11"/>
  <c r="J16" i="11"/>
  <c r="A17" i="11"/>
  <c r="B17" i="11"/>
  <c r="D17" i="11"/>
  <c r="E17" i="11"/>
  <c r="F17" i="11"/>
  <c r="G17" i="11"/>
  <c r="H17" i="11"/>
  <c r="I17" i="11"/>
  <c r="J17" i="11"/>
  <c r="A18" i="11"/>
  <c r="B18" i="11"/>
  <c r="D18" i="11"/>
  <c r="E18" i="11"/>
  <c r="F18" i="11"/>
  <c r="G18" i="11"/>
  <c r="H18" i="11"/>
  <c r="I18" i="11"/>
  <c r="J18" i="11"/>
  <c r="A19" i="11"/>
  <c r="B19" i="11"/>
  <c r="D19" i="11"/>
  <c r="E19" i="11"/>
  <c r="F19" i="11"/>
  <c r="G19" i="11"/>
  <c r="H19" i="11"/>
  <c r="I19" i="11"/>
  <c r="J19" i="11"/>
  <c r="A20" i="11"/>
  <c r="B20" i="11"/>
  <c r="D20" i="11"/>
  <c r="E20" i="11"/>
  <c r="F20" i="11"/>
  <c r="G20" i="11"/>
  <c r="H20" i="11"/>
  <c r="I20" i="11"/>
  <c r="J20" i="11"/>
  <c r="A21" i="11"/>
  <c r="B21" i="11"/>
  <c r="D21" i="11"/>
  <c r="E21" i="11"/>
  <c r="F21" i="11"/>
  <c r="G21" i="11"/>
  <c r="H21" i="11"/>
  <c r="I21" i="11"/>
  <c r="J21" i="11"/>
  <c r="A22" i="11"/>
  <c r="B22" i="11"/>
  <c r="D22" i="11"/>
  <c r="E22" i="11"/>
  <c r="F22" i="11"/>
  <c r="G22" i="11"/>
  <c r="H22" i="11"/>
  <c r="I22" i="11"/>
  <c r="J22" i="11"/>
  <c r="A23" i="11"/>
  <c r="B23" i="11"/>
  <c r="D23" i="11"/>
  <c r="E23" i="11"/>
  <c r="F23" i="11"/>
  <c r="G23" i="11"/>
  <c r="H23" i="11"/>
  <c r="I23" i="11"/>
  <c r="J23" i="11"/>
  <c r="A24" i="11"/>
  <c r="B24" i="11"/>
  <c r="D24" i="11"/>
  <c r="E24" i="11"/>
  <c r="F24" i="11"/>
  <c r="G24" i="11"/>
  <c r="H24" i="11"/>
  <c r="I24" i="11"/>
  <c r="J24" i="11"/>
  <c r="A25" i="11"/>
  <c r="B25" i="11"/>
  <c r="D25" i="11"/>
  <c r="E25" i="11"/>
  <c r="F25" i="11"/>
  <c r="G25" i="11"/>
  <c r="H25" i="11"/>
  <c r="I25" i="11"/>
  <c r="J25" i="11"/>
  <c r="A26" i="11"/>
  <c r="B26" i="11"/>
  <c r="D26" i="11"/>
  <c r="E26" i="11"/>
  <c r="F26" i="11"/>
  <c r="G26" i="11"/>
  <c r="H26" i="11"/>
  <c r="I26" i="11"/>
  <c r="J26" i="11"/>
  <c r="A27" i="11"/>
  <c r="B27" i="11"/>
  <c r="D27" i="11"/>
  <c r="E27" i="11"/>
  <c r="F27" i="11"/>
  <c r="G27" i="11"/>
  <c r="H27" i="11"/>
  <c r="I27" i="11"/>
  <c r="J27" i="11"/>
  <c r="A28" i="11"/>
  <c r="B28" i="11"/>
  <c r="D28" i="11"/>
  <c r="E28" i="11"/>
  <c r="F28" i="11"/>
  <c r="G28" i="11"/>
  <c r="H28" i="11"/>
  <c r="I28" i="11"/>
  <c r="J28" i="11"/>
  <c r="A29" i="11"/>
  <c r="B29" i="11"/>
  <c r="D29" i="11"/>
  <c r="E29" i="11"/>
  <c r="F29" i="11"/>
  <c r="G29" i="11"/>
  <c r="H29" i="11"/>
  <c r="I29" i="11"/>
  <c r="J29" i="11"/>
  <c r="A30" i="11"/>
  <c r="B30" i="11"/>
  <c r="D30" i="11"/>
  <c r="E30" i="11"/>
  <c r="F30" i="11"/>
  <c r="G30" i="11"/>
  <c r="H30" i="11"/>
  <c r="I30" i="11"/>
  <c r="J30" i="11"/>
  <c r="A31" i="11"/>
  <c r="B31" i="11"/>
  <c r="D31" i="11"/>
  <c r="E31" i="11"/>
  <c r="F31" i="11"/>
  <c r="G31" i="11"/>
  <c r="H31" i="11"/>
  <c r="I31" i="11"/>
  <c r="J31" i="11"/>
  <c r="A32" i="11"/>
  <c r="B32" i="11"/>
  <c r="D32" i="11"/>
  <c r="E32" i="11"/>
  <c r="F32" i="11"/>
  <c r="G32" i="11"/>
  <c r="H32" i="11"/>
  <c r="I32" i="11"/>
  <c r="J32" i="11"/>
  <c r="A33" i="11"/>
  <c r="B33" i="11"/>
  <c r="D33" i="11"/>
  <c r="E33" i="11"/>
  <c r="F33" i="11"/>
  <c r="G33" i="11"/>
  <c r="H33" i="11"/>
  <c r="I33" i="11"/>
  <c r="J33" i="11"/>
  <c r="A34" i="11"/>
  <c r="B34" i="11"/>
  <c r="D34" i="11"/>
  <c r="E34" i="11"/>
  <c r="F34" i="11"/>
  <c r="G34" i="11"/>
  <c r="H34" i="11"/>
  <c r="I34" i="11"/>
  <c r="J34" i="11"/>
  <c r="A35" i="11"/>
  <c r="B35" i="11"/>
  <c r="D35" i="11"/>
  <c r="E35" i="11"/>
  <c r="F35" i="11"/>
  <c r="G35" i="11"/>
  <c r="H35" i="11"/>
  <c r="I35" i="11"/>
  <c r="J35" i="11"/>
  <c r="A36" i="11"/>
  <c r="B36" i="11"/>
  <c r="D36" i="11"/>
  <c r="E36" i="11"/>
  <c r="F36" i="11"/>
  <c r="G36" i="11"/>
  <c r="H36" i="11"/>
  <c r="I36" i="11"/>
  <c r="J36" i="11"/>
  <c r="A37" i="11"/>
  <c r="B37" i="11"/>
  <c r="D37" i="11"/>
  <c r="E37" i="11"/>
  <c r="F37" i="11"/>
  <c r="G37" i="11"/>
  <c r="H37" i="11"/>
  <c r="I37" i="11"/>
  <c r="J37" i="11"/>
  <c r="A38" i="11"/>
  <c r="B38" i="11"/>
  <c r="D38" i="11"/>
  <c r="E38" i="11"/>
  <c r="F38" i="11"/>
  <c r="G38" i="11"/>
  <c r="H38" i="11"/>
  <c r="J38" i="11"/>
  <c r="A39" i="11"/>
  <c r="B39" i="11"/>
  <c r="D39" i="11"/>
  <c r="E39" i="11"/>
  <c r="F39" i="11"/>
  <c r="G39" i="11"/>
  <c r="H39" i="11"/>
  <c r="J39" i="11"/>
  <c r="A40" i="11"/>
  <c r="B40" i="11"/>
  <c r="D40" i="11"/>
  <c r="E40" i="11"/>
  <c r="F40" i="11"/>
  <c r="G40" i="11"/>
  <c r="H40" i="11"/>
  <c r="J40" i="11"/>
  <c r="A41" i="11"/>
  <c r="B41" i="11"/>
  <c r="D41" i="11"/>
  <c r="E41" i="11"/>
  <c r="F41" i="11"/>
  <c r="G41" i="11"/>
  <c r="H41" i="11"/>
  <c r="I41" i="11"/>
  <c r="J41" i="11"/>
  <c r="A42" i="11"/>
  <c r="B42" i="11"/>
  <c r="D42" i="11"/>
  <c r="E42" i="11"/>
  <c r="F42" i="11"/>
  <c r="G42" i="11"/>
  <c r="H42" i="11"/>
  <c r="I42" i="11"/>
  <c r="J42" i="11"/>
  <c r="A43" i="11"/>
  <c r="C43" i="11"/>
  <c r="D43" i="11"/>
  <c r="E43" i="11"/>
  <c r="F43" i="11"/>
  <c r="G43" i="11"/>
  <c r="H43" i="11"/>
  <c r="I43" i="11"/>
  <c r="C44" i="11"/>
  <c r="C45" i="11"/>
  <c r="E47" i="11"/>
  <c r="F47" i="11"/>
  <c r="G47" i="11"/>
  <c r="I47" i="11"/>
  <c r="E48" i="11"/>
  <c r="G48" i="11"/>
  <c r="I48" i="11"/>
  <c r="G49" i="11"/>
  <c r="E50" i="11"/>
  <c r="F50" i="11"/>
  <c r="G50" i="11"/>
  <c r="B4" i="2"/>
  <c r="D6" i="2"/>
  <c r="D7" i="2"/>
  <c r="D8" i="2"/>
  <c r="H10" i="2"/>
  <c r="D11" i="2"/>
  <c r="H11" i="2"/>
  <c r="A12" i="2"/>
  <c r="D12" i="2"/>
  <c r="E12" i="2"/>
  <c r="F12" i="2"/>
  <c r="G12" i="2"/>
  <c r="H12" i="2"/>
  <c r="I12" i="2"/>
  <c r="J12" i="2"/>
  <c r="A13" i="2"/>
  <c r="B13" i="2"/>
  <c r="D13" i="2"/>
  <c r="E13" i="2"/>
  <c r="F13" i="2"/>
  <c r="G13" i="2"/>
  <c r="H13" i="2"/>
  <c r="I13" i="2"/>
  <c r="J13" i="2"/>
  <c r="A14" i="2"/>
  <c r="B14" i="2"/>
  <c r="D14" i="2"/>
  <c r="E14" i="2"/>
  <c r="F14" i="2"/>
  <c r="G14" i="2"/>
  <c r="H14" i="2"/>
  <c r="I14" i="2"/>
  <c r="J14" i="2"/>
  <c r="A15" i="2"/>
  <c r="B15" i="2"/>
  <c r="D15" i="2"/>
  <c r="E15" i="2"/>
  <c r="F15" i="2"/>
  <c r="G15" i="2"/>
  <c r="H15" i="2"/>
  <c r="I15" i="2"/>
  <c r="J15" i="2"/>
  <c r="A16" i="2"/>
  <c r="B16" i="2"/>
  <c r="D16" i="2"/>
  <c r="E16" i="2"/>
  <c r="F16" i="2"/>
  <c r="G16" i="2"/>
  <c r="H16" i="2"/>
  <c r="I16" i="2"/>
  <c r="J16" i="2"/>
  <c r="A17" i="2"/>
  <c r="B17" i="2"/>
  <c r="D17" i="2"/>
  <c r="E17" i="2"/>
  <c r="F17" i="2"/>
  <c r="G17" i="2"/>
  <c r="H17" i="2"/>
  <c r="I17" i="2"/>
  <c r="J17" i="2"/>
  <c r="A18" i="2"/>
  <c r="B18" i="2"/>
  <c r="D18" i="2"/>
  <c r="E18" i="2"/>
  <c r="F18" i="2"/>
  <c r="G18" i="2"/>
  <c r="H18" i="2"/>
  <c r="I18" i="2"/>
  <c r="J18" i="2"/>
  <c r="A19" i="2"/>
  <c r="B19" i="2"/>
  <c r="D19" i="2"/>
  <c r="E19" i="2"/>
  <c r="F19" i="2"/>
  <c r="G19" i="2"/>
  <c r="H19" i="2"/>
  <c r="I19" i="2"/>
  <c r="J19" i="2"/>
  <c r="A20" i="2"/>
  <c r="B20" i="2"/>
  <c r="D20" i="2"/>
  <c r="E20" i="2"/>
  <c r="F20" i="2"/>
  <c r="G20" i="2"/>
  <c r="H20" i="2"/>
  <c r="I20" i="2"/>
  <c r="J20" i="2"/>
  <c r="A21" i="2"/>
  <c r="B21" i="2"/>
  <c r="D21" i="2"/>
  <c r="E21" i="2"/>
  <c r="F21" i="2"/>
  <c r="G21" i="2"/>
  <c r="H21" i="2"/>
  <c r="I21" i="2"/>
  <c r="J21" i="2"/>
  <c r="A22" i="2"/>
  <c r="B22" i="2"/>
  <c r="D22" i="2"/>
  <c r="E22" i="2"/>
  <c r="F22" i="2"/>
  <c r="G22" i="2"/>
  <c r="H22" i="2"/>
  <c r="I22" i="2"/>
  <c r="J22" i="2"/>
  <c r="A23" i="2"/>
  <c r="B23" i="2"/>
  <c r="D23" i="2"/>
  <c r="E23" i="2"/>
  <c r="F23" i="2"/>
  <c r="G23" i="2"/>
  <c r="H23" i="2"/>
  <c r="I23" i="2"/>
  <c r="J23" i="2"/>
  <c r="A24" i="2"/>
  <c r="B24" i="2"/>
  <c r="D24" i="2"/>
  <c r="E24" i="2"/>
  <c r="F24" i="2"/>
  <c r="G24" i="2"/>
  <c r="H24" i="2"/>
  <c r="I24" i="2"/>
  <c r="J24" i="2"/>
  <c r="A25" i="2"/>
  <c r="B25" i="2"/>
  <c r="D25" i="2"/>
  <c r="E25" i="2"/>
  <c r="F25" i="2"/>
  <c r="G25" i="2"/>
  <c r="H25" i="2"/>
  <c r="I25" i="2"/>
  <c r="J25" i="2"/>
  <c r="A26" i="2"/>
  <c r="B26" i="2"/>
  <c r="D26" i="2"/>
  <c r="E26" i="2"/>
  <c r="F26" i="2"/>
  <c r="G26" i="2"/>
  <c r="H26" i="2"/>
  <c r="I26" i="2"/>
  <c r="J26" i="2"/>
  <c r="A27" i="2"/>
  <c r="B27" i="2"/>
  <c r="D27" i="2"/>
  <c r="E27" i="2"/>
  <c r="F27" i="2"/>
  <c r="G27" i="2"/>
  <c r="H27" i="2"/>
  <c r="I27" i="2"/>
  <c r="J27" i="2"/>
  <c r="A28" i="2"/>
  <c r="B28" i="2"/>
  <c r="D28" i="2"/>
  <c r="E28" i="2"/>
  <c r="F28" i="2"/>
  <c r="G28" i="2"/>
  <c r="H28" i="2"/>
  <c r="I28" i="2"/>
  <c r="J28" i="2"/>
  <c r="A29" i="2"/>
  <c r="B29" i="2"/>
  <c r="D29" i="2"/>
  <c r="E29" i="2"/>
  <c r="F29" i="2"/>
  <c r="G29" i="2"/>
  <c r="H29" i="2"/>
  <c r="I29" i="2"/>
  <c r="J29" i="2"/>
  <c r="A30" i="2"/>
  <c r="B30" i="2"/>
  <c r="D30" i="2"/>
  <c r="E30" i="2"/>
  <c r="F30" i="2"/>
  <c r="G30" i="2"/>
  <c r="H30" i="2"/>
  <c r="I30" i="2"/>
  <c r="J30" i="2"/>
  <c r="A31" i="2"/>
  <c r="B31" i="2"/>
  <c r="D31" i="2"/>
  <c r="E31" i="2"/>
  <c r="F31" i="2"/>
  <c r="G31" i="2"/>
  <c r="H31" i="2"/>
  <c r="I31" i="2"/>
  <c r="J31" i="2"/>
  <c r="A32" i="2"/>
  <c r="B32" i="2"/>
  <c r="D32" i="2"/>
  <c r="E32" i="2"/>
  <c r="F32" i="2"/>
  <c r="G32" i="2"/>
  <c r="H32" i="2"/>
  <c r="I32" i="2"/>
  <c r="J32" i="2"/>
  <c r="A33" i="2"/>
  <c r="B33" i="2"/>
  <c r="D33" i="2"/>
  <c r="E33" i="2"/>
  <c r="F33" i="2"/>
  <c r="G33" i="2"/>
  <c r="H33" i="2"/>
  <c r="I33" i="2"/>
  <c r="J33" i="2"/>
  <c r="A34" i="2"/>
  <c r="B34" i="2"/>
  <c r="D34" i="2"/>
  <c r="E34" i="2"/>
  <c r="F34" i="2"/>
  <c r="G34" i="2"/>
  <c r="H34" i="2"/>
  <c r="I34" i="2"/>
  <c r="J34" i="2"/>
  <c r="A35" i="2"/>
  <c r="B35" i="2"/>
  <c r="D35" i="2"/>
  <c r="E35" i="2"/>
  <c r="F35" i="2"/>
  <c r="G35" i="2"/>
  <c r="H35" i="2"/>
  <c r="I35" i="2"/>
  <c r="J35" i="2"/>
  <c r="A36" i="2"/>
  <c r="B36" i="2"/>
  <c r="D36" i="2"/>
  <c r="E36" i="2"/>
  <c r="F36" i="2"/>
  <c r="G36" i="2"/>
  <c r="H36" i="2"/>
  <c r="I36" i="2"/>
  <c r="J36" i="2"/>
  <c r="A37" i="2"/>
  <c r="B37" i="2"/>
  <c r="D37" i="2"/>
  <c r="E37" i="2"/>
  <c r="F37" i="2"/>
  <c r="G37" i="2"/>
  <c r="H37" i="2"/>
  <c r="I37" i="2"/>
  <c r="J37" i="2"/>
  <c r="A38" i="2"/>
  <c r="B38" i="2"/>
  <c r="D38" i="2"/>
  <c r="E38" i="2"/>
  <c r="F38" i="2"/>
  <c r="G38" i="2"/>
  <c r="H38" i="2"/>
  <c r="I38" i="2"/>
  <c r="J38" i="2"/>
  <c r="A39" i="2"/>
  <c r="B39" i="2"/>
  <c r="D39" i="2"/>
  <c r="E39" i="2"/>
  <c r="F39" i="2"/>
  <c r="G39" i="2"/>
  <c r="H39" i="2"/>
  <c r="I39" i="2"/>
  <c r="J39" i="2"/>
  <c r="A40" i="2"/>
  <c r="B40" i="2"/>
  <c r="D40" i="2"/>
  <c r="E40" i="2"/>
  <c r="F40" i="2"/>
  <c r="G40" i="2"/>
  <c r="H40" i="2"/>
  <c r="I40" i="2"/>
  <c r="J40" i="2"/>
  <c r="A41" i="2"/>
  <c r="B41" i="2"/>
  <c r="D41" i="2"/>
  <c r="E41" i="2"/>
  <c r="F41" i="2"/>
  <c r="G41" i="2"/>
  <c r="H41" i="2"/>
  <c r="I41" i="2"/>
  <c r="J41" i="2"/>
  <c r="A42" i="2"/>
  <c r="B42" i="2"/>
  <c r="D42" i="2"/>
  <c r="E42" i="2"/>
  <c r="G42" i="2"/>
  <c r="H42" i="2"/>
  <c r="I42" i="2"/>
  <c r="J42" i="2"/>
  <c r="A43" i="2"/>
  <c r="D43" i="2"/>
  <c r="E43" i="2"/>
  <c r="F43" i="2"/>
  <c r="G43" i="2"/>
  <c r="H43" i="2"/>
  <c r="I43" i="2"/>
  <c r="C44" i="2"/>
  <c r="C45" i="2"/>
  <c r="E47" i="2"/>
  <c r="F47" i="2"/>
  <c r="G47" i="2"/>
  <c r="J47" i="2"/>
  <c r="E48" i="2"/>
  <c r="G48" i="2"/>
  <c r="J48" i="2"/>
  <c r="G49" i="2"/>
  <c r="E50" i="2"/>
  <c r="F50" i="2"/>
  <c r="G50" i="2"/>
  <c r="B3" i="21"/>
  <c r="B4" i="21"/>
  <c r="D6" i="21"/>
  <c r="D7" i="21"/>
  <c r="D8" i="21"/>
  <c r="H10" i="21"/>
  <c r="D11" i="21"/>
  <c r="H11" i="21"/>
  <c r="A12" i="21"/>
  <c r="C12" i="21"/>
  <c r="D12" i="21"/>
  <c r="E12" i="21"/>
  <c r="G12" i="21"/>
  <c r="H12" i="21"/>
  <c r="I12" i="21"/>
  <c r="J12" i="21"/>
  <c r="A13" i="21"/>
  <c r="B13" i="21"/>
  <c r="C13" i="21"/>
  <c r="D13" i="21"/>
  <c r="E13" i="21"/>
  <c r="G13" i="21"/>
  <c r="H13" i="21"/>
  <c r="I13" i="21"/>
  <c r="J13" i="21"/>
  <c r="A14" i="21"/>
  <c r="B14" i="21"/>
  <c r="C14" i="21"/>
  <c r="D14" i="21"/>
  <c r="E14" i="21"/>
  <c r="G14" i="21"/>
  <c r="H14" i="21"/>
  <c r="I14" i="21"/>
  <c r="J14" i="21"/>
  <c r="A15" i="21"/>
  <c r="B15" i="21"/>
  <c r="C15" i="21"/>
  <c r="D15" i="21"/>
  <c r="E15" i="21"/>
  <c r="G15" i="21"/>
  <c r="H15" i="21"/>
  <c r="I15" i="21"/>
  <c r="J15" i="21"/>
  <c r="A16" i="21"/>
  <c r="B16" i="21"/>
  <c r="C16" i="21"/>
  <c r="D16" i="21"/>
  <c r="E16" i="21"/>
  <c r="G16" i="21"/>
  <c r="H16" i="21"/>
  <c r="I16" i="21"/>
  <c r="J16" i="21"/>
  <c r="A17" i="21"/>
  <c r="B17" i="21"/>
  <c r="C17" i="21"/>
  <c r="D17" i="21"/>
  <c r="E17" i="21"/>
  <c r="G17" i="21"/>
  <c r="H17" i="21"/>
  <c r="I17" i="21"/>
  <c r="J17" i="21"/>
  <c r="A18" i="21"/>
  <c r="B18" i="21"/>
  <c r="C18" i="21"/>
  <c r="D18" i="21"/>
  <c r="E18" i="21"/>
  <c r="G18" i="21"/>
  <c r="H18" i="21"/>
  <c r="I18" i="21"/>
  <c r="J18" i="21"/>
  <c r="A19" i="21"/>
  <c r="B19" i="21"/>
  <c r="C19" i="21"/>
  <c r="D19" i="21"/>
  <c r="E19" i="21"/>
  <c r="G19" i="21"/>
  <c r="H19" i="21"/>
  <c r="I19" i="21"/>
  <c r="J19" i="21"/>
  <c r="A20" i="21"/>
  <c r="B20" i="21"/>
  <c r="C20" i="21"/>
  <c r="D20" i="21"/>
  <c r="E20" i="21"/>
  <c r="G20" i="21"/>
  <c r="H20" i="21"/>
  <c r="I20" i="21"/>
  <c r="J20" i="21"/>
  <c r="A21" i="21"/>
  <c r="B21" i="21"/>
  <c r="C21" i="21"/>
  <c r="D21" i="21"/>
  <c r="E21" i="21"/>
  <c r="G21" i="21"/>
  <c r="H21" i="21"/>
  <c r="I21" i="21"/>
  <c r="J21" i="21"/>
  <c r="A22" i="21"/>
  <c r="B22" i="21"/>
  <c r="C22" i="21"/>
  <c r="D22" i="21"/>
  <c r="E22" i="21"/>
  <c r="G22" i="21"/>
  <c r="H22" i="21"/>
  <c r="I22" i="21"/>
  <c r="J22" i="21"/>
  <c r="A23" i="21"/>
  <c r="B23" i="21"/>
  <c r="C23" i="21"/>
  <c r="D23" i="21"/>
  <c r="E23" i="21"/>
  <c r="G23" i="21"/>
  <c r="H23" i="21"/>
  <c r="I23" i="21"/>
  <c r="J23" i="21"/>
  <c r="A24" i="21"/>
  <c r="B24" i="21"/>
  <c r="C24" i="21"/>
  <c r="D24" i="21"/>
  <c r="E24" i="21"/>
  <c r="G24" i="21"/>
  <c r="H24" i="21"/>
  <c r="I24" i="21"/>
  <c r="J24" i="21"/>
  <c r="A25" i="21"/>
  <c r="B25" i="21"/>
  <c r="C25" i="21"/>
  <c r="D25" i="21"/>
  <c r="E25" i="21"/>
  <c r="G25" i="21"/>
  <c r="H25" i="21"/>
  <c r="I25" i="21"/>
  <c r="J25" i="21"/>
  <c r="A26" i="21"/>
  <c r="B26" i="21"/>
  <c r="C26" i="21"/>
  <c r="D26" i="21"/>
  <c r="E26" i="21"/>
  <c r="G26" i="21"/>
  <c r="H26" i="21"/>
  <c r="I26" i="21"/>
  <c r="J26" i="21"/>
  <c r="A27" i="21"/>
  <c r="B27" i="21"/>
  <c r="C27" i="21"/>
  <c r="D27" i="21"/>
  <c r="E27" i="21"/>
  <c r="G27" i="21"/>
  <c r="H27" i="21"/>
  <c r="I27" i="21"/>
  <c r="J27" i="21"/>
  <c r="A28" i="21"/>
  <c r="B28" i="21"/>
  <c r="C28" i="21"/>
  <c r="D28" i="21"/>
  <c r="E28" i="21"/>
  <c r="G28" i="21"/>
  <c r="H28" i="21"/>
  <c r="I28" i="21"/>
  <c r="J28" i="21"/>
  <c r="A29" i="21"/>
  <c r="B29" i="21"/>
  <c r="C29" i="21"/>
  <c r="D29" i="21"/>
  <c r="E29" i="21"/>
  <c r="G29" i="21"/>
  <c r="H29" i="21"/>
  <c r="I29" i="21"/>
  <c r="J29" i="21"/>
  <c r="A30" i="21"/>
  <c r="B30" i="21"/>
  <c r="C30" i="21"/>
  <c r="D30" i="21"/>
  <c r="E30" i="21"/>
  <c r="G30" i="21"/>
  <c r="H30" i="21"/>
  <c r="I30" i="21"/>
  <c r="J30" i="21"/>
  <c r="A31" i="21"/>
  <c r="B31" i="21"/>
  <c r="C31" i="21"/>
  <c r="D31" i="21"/>
  <c r="E31" i="21"/>
  <c r="G31" i="21"/>
  <c r="H31" i="21"/>
  <c r="I31" i="21"/>
  <c r="J31" i="21"/>
  <c r="A32" i="21"/>
  <c r="B32" i="21"/>
  <c r="C32" i="21"/>
  <c r="D32" i="21"/>
  <c r="E32" i="21"/>
  <c r="G32" i="21"/>
  <c r="H32" i="21"/>
  <c r="I32" i="21"/>
  <c r="J32" i="21"/>
  <c r="A33" i="21"/>
  <c r="B33" i="21"/>
  <c r="C33" i="21"/>
  <c r="D33" i="21"/>
  <c r="E33" i="21"/>
  <c r="G33" i="21"/>
  <c r="H33" i="21"/>
  <c r="I33" i="21"/>
  <c r="J33" i="21"/>
  <c r="A34" i="21"/>
  <c r="B34" i="21"/>
  <c r="C34" i="21"/>
  <c r="D34" i="21"/>
  <c r="E34" i="21"/>
  <c r="G34" i="21"/>
  <c r="H34" i="21"/>
  <c r="I34" i="21"/>
  <c r="J34" i="21"/>
  <c r="A35" i="21"/>
  <c r="B35" i="21"/>
  <c r="C35" i="21"/>
  <c r="D35" i="21"/>
  <c r="E35" i="21"/>
  <c r="G35" i="21"/>
  <c r="H35" i="21"/>
  <c r="I35" i="21"/>
  <c r="J35" i="21"/>
  <c r="A36" i="21"/>
  <c r="B36" i="21"/>
  <c r="C36" i="21"/>
  <c r="D36" i="21"/>
  <c r="E36" i="21"/>
  <c r="G36" i="21"/>
  <c r="H36" i="21"/>
  <c r="I36" i="21"/>
  <c r="J36" i="21"/>
  <c r="A37" i="21"/>
  <c r="B37" i="21"/>
  <c r="C37" i="21"/>
  <c r="D37" i="21"/>
  <c r="E37" i="21"/>
  <c r="G37" i="21"/>
  <c r="H37" i="21"/>
  <c r="I37" i="21"/>
  <c r="J37" i="21"/>
  <c r="A38" i="21"/>
  <c r="B38" i="21"/>
  <c r="C38" i="21"/>
  <c r="D38" i="21"/>
  <c r="E38" i="21"/>
  <c r="G38" i="21"/>
  <c r="H38" i="21"/>
  <c r="I38" i="21"/>
  <c r="J38" i="21"/>
  <c r="A39" i="21"/>
  <c r="B39" i="21"/>
  <c r="C39" i="21"/>
  <c r="D39" i="21"/>
  <c r="E39" i="21"/>
  <c r="G39" i="21"/>
  <c r="H39" i="21"/>
  <c r="I39" i="21"/>
  <c r="J39" i="21"/>
  <c r="A40" i="21"/>
  <c r="B40" i="21"/>
  <c r="C40" i="21"/>
  <c r="D40" i="21"/>
  <c r="E40" i="21"/>
  <c r="G40" i="21"/>
  <c r="H40" i="21"/>
  <c r="I40" i="21"/>
  <c r="J40" i="21"/>
  <c r="A41" i="21"/>
  <c r="B41" i="21"/>
  <c r="C41" i="21"/>
  <c r="D41" i="21"/>
  <c r="E41" i="21"/>
  <c r="G41" i="21"/>
  <c r="H41" i="21"/>
  <c r="I41" i="21"/>
  <c r="J41" i="21"/>
  <c r="A42" i="21"/>
  <c r="B42" i="21"/>
  <c r="C42" i="21"/>
  <c r="D42" i="21"/>
  <c r="E42" i="21"/>
  <c r="G42" i="21"/>
  <c r="H42" i="21"/>
  <c r="I42" i="21"/>
  <c r="J42" i="21"/>
  <c r="A43" i="21"/>
  <c r="C43" i="21"/>
  <c r="D43" i="21"/>
  <c r="E43" i="21"/>
  <c r="F43" i="21"/>
  <c r="G43" i="21"/>
  <c r="H43" i="21"/>
  <c r="I43" i="21"/>
  <c r="C44" i="21"/>
  <c r="C45" i="21"/>
  <c r="E47" i="21"/>
  <c r="F47" i="21"/>
  <c r="G47" i="21"/>
  <c r="E48" i="21"/>
  <c r="G48" i="21"/>
  <c r="G49" i="21"/>
  <c r="E50" i="21"/>
  <c r="F50" i="21"/>
  <c r="G50" i="21"/>
  <c r="B4" i="5"/>
  <c r="D6" i="5"/>
  <c r="D7" i="5"/>
  <c r="D8" i="5"/>
  <c r="H10" i="5"/>
  <c r="D11" i="5"/>
  <c r="H11" i="5"/>
  <c r="A12" i="5"/>
  <c r="D12" i="5"/>
  <c r="E12" i="5"/>
  <c r="F12" i="5"/>
  <c r="G12" i="5"/>
  <c r="H12" i="5"/>
  <c r="I12" i="5"/>
  <c r="J12" i="5"/>
  <c r="A13" i="5"/>
  <c r="B13" i="5"/>
  <c r="D13" i="5"/>
  <c r="E13" i="5"/>
  <c r="F13" i="5"/>
  <c r="G13" i="5"/>
  <c r="H13" i="5"/>
  <c r="J13" i="5"/>
  <c r="A14" i="5"/>
  <c r="B14" i="5"/>
  <c r="D14" i="5"/>
  <c r="E14" i="5"/>
  <c r="F14" i="5"/>
  <c r="G14" i="5"/>
  <c r="H14" i="5"/>
  <c r="I14" i="5"/>
  <c r="J14" i="5"/>
  <c r="A15" i="5"/>
  <c r="B15" i="5"/>
  <c r="D15" i="5"/>
  <c r="E15" i="5"/>
  <c r="F15" i="5"/>
  <c r="G15" i="5"/>
  <c r="H15" i="5"/>
  <c r="I15" i="5"/>
  <c r="J15" i="5"/>
  <c r="A16" i="5"/>
  <c r="B16" i="5"/>
  <c r="D16" i="5"/>
  <c r="E16" i="5"/>
  <c r="F16" i="5"/>
  <c r="G16" i="5"/>
  <c r="H16" i="5"/>
  <c r="I16" i="5"/>
  <c r="J16" i="5"/>
  <c r="A17" i="5"/>
  <c r="B17" i="5"/>
  <c r="D17" i="5"/>
  <c r="E17" i="5"/>
  <c r="F17" i="5"/>
  <c r="G17" i="5"/>
  <c r="H17" i="5"/>
  <c r="I17" i="5"/>
  <c r="J17" i="5"/>
  <c r="A18" i="5"/>
  <c r="B18" i="5"/>
  <c r="D18" i="5"/>
  <c r="E18" i="5"/>
  <c r="F18" i="5"/>
  <c r="G18" i="5"/>
  <c r="H18" i="5"/>
  <c r="I18" i="5"/>
  <c r="J18" i="5"/>
  <c r="A19" i="5"/>
  <c r="B19" i="5"/>
  <c r="D19" i="5"/>
  <c r="E19" i="5"/>
  <c r="F19" i="5"/>
  <c r="G19" i="5"/>
  <c r="H19" i="5"/>
  <c r="I19" i="5"/>
  <c r="J19" i="5"/>
  <c r="A20" i="5"/>
  <c r="B20" i="5"/>
  <c r="D20" i="5"/>
  <c r="E20" i="5"/>
  <c r="F20" i="5"/>
  <c r="G20" i="5"/>
  <c r="H20" i="5"/>
  <c r="I20" i="5"/>
  <c r="J20" i="5"/>
  <c r="A21" i="5"/>
  <c r="B21" i="5"/>
  <c r="D21" i="5"/>
  <c r="E21" i="5"/>
  <c r="F21" i="5"/>
  <c r="G21" i="5"/>
  <c r="H21" i="5"/>
  <c r="I21" i="5"/>
  <c r="J21" i="5"/>
  <c r="A22" i="5"/>
  <c r="B22" i="5"/>
  <c r="D22" i="5"/>
  <c r="E22" i="5"/>
  <c r="F22" i="5"/>
  <c r="G22" i="5"/>
  <c r="H22" i="5"/>
  <c r="I22" i="5"/>
  <c r="J22" i="5"/>
  <c r="A23" i="5"/>
  <c r="B23" i="5"/>
  <c r="D23" i="5"/>
  <c r="E23" i="5"/>
  <c r="F23" i="5"/>
  <c r="G23" i="5"/>
  <c r="H23" i="5"/>
  <c r="J23" i="5"/>
  <c r="A24" i="5"/>
  <c r="B24" i="5"/>
  <c r="D24" i="5"/>
  <c r="E24" i="5"/>
  <c r="F24" i="5"/>
  <c r="G24" i="5"/>
  <c r="H24" i="5"/>
  <c r="J24" i="5"/>
  <c r="A25" i="5"/>
  <c r="B25" i="5"/>
  <c r="D25" i="5"/>
  <c r="E25" i="5"/>
  <c r="F25" i="5"/>
  <c r="G25" i="5"/>
  <c r="H25" i="5"/>
  <c r="J25" i="5"/>
  <c r="A26" i="5"/>
  <c r="B26" i="5"/>
  <c r="D26" i="5"/>
  <c r="E26" i="5"/>
  <c r="F26" i="5"/>
  <c r="G26" i="5"/>
  <c r="H26" i="5"/>
  <c r="J26" i="5"/>
  <c r="A27" i="5"/>
  <c r="B27" i="5"/>
  <c r="D27" i="5"/>
  <c r="E27" i="5"/>
  <c r="F27" i="5"/>
  <c r="G27" i="5"/>
  <c r="H27" i="5"/>
  <c r="I27" i="5"/>
  <c r="J27" i="5"/>
  <c r="A28" i="5"/>
  <c r="B28" i="5"/>
  <c r="D28" i="5"/>
  <c r="E28" i="5"/>
  <c r="F28" i="5"/>
  <c r="G28" i="5"/>
  <c r="H28" i="5"/>
  <c r="I28" i="5"/>
  <c r="J28" i="5"/>
  <c r="A29" i="5"/>
  <c r="B29" i="5"/>
  <c r="D29" i="5"/>
  <c r="E29" i="5"/>
  <c r="G29" i="5"/>
  <c r="H29" i="5"/>
  <c r="J29" i="5"/>
  <c r="A30" i="5"/>
  <c r="B30" i="5"/>
  <c r="D30" i="5"/>
  <c r="E30" i="5"/>
  <c r="F30" i="5"/>
  <c r="G30" i="5"/>
  <c r="H30" i="5"/>
  <c r="J30" i="5"/>
  <c r="A31" i="5"/>
  <c r="B31" i="5"/>
  <c r="D31" i="5"/>
  <c r="E31" i="5"/>
  <c r="F31" i="5"/>
  <c r="G31" i="5"/>
  <c r="H31" i="5"/>
  <c r="J31" i="5"/>
  <c r="A32" i="5"/>
  <c r="B32" i="5"/>
  <c r="D32" i="5"/>
  <c r="E32" i="5"/>
  <c r="F32" i="5"/>
  <c r="G32" i="5"/>
  <c r="H32" i="5"/>
  <c r="J32" i="5"/>
  <c r="A33" i="5"/>
  <c r="B33" i="5"/>
  <c r="D33" i="5"/>
  <c r="E33" i="5"/>
  <c r="F33" i="5"/>
  <c r="G33" i="5"/>
  <c r="H33" i="5"/>
  <c r="J33" i="5"/>
  <c r="A34" i="5"/>
  <c r="B34" i="5"/>
  <c r="D34" i="5"/>
  <c r="E34" i="5"/>
  <c r="F34" i="5"/>
  <c r="G34" i="5"/>
  <c r="H34" i="5"/>
  <c r="J34" i="5"/>
  <c r="A35" i="5"/>
  <c r="B35" i="5"/>
  <c r="D35" i="5"/>
  <c r="E35" i="5"/>
  <c r="F35" i="5"/>
  <c r="G35" i="5"/>
  <c r="H35" i="5"/>
  <c r="J35" i="5"/>
  <c r="A36" i="5"/>
  <c r="B36" i="5"/>
  <c r="D36" i="5"/>
  <c r="E36" i="5"/>
  <c r="F36" i="5"/>
  <c r="G36" i="5"/>
  <c r="H36" i="5"/>
  <c r="J36" i="5"/>
  <c r="A37" i="5"/>
  <c r="B37" i="5"/>
  <c r="D37" i="5"/>
  <c r="E37" i="5"/>
  <c r="F37" i="5"/>
  <c r="G37" i="5"/>
  <c r="H37" i="5"/>
  <c r="J37" i="5"/>
  <c r="A38" i="5"/>
  <c r="B38" i="5"/>
  <c r="D38" i="5"/>
  <c r="E38" i="5"/>
  <c r="F38" i="5"/>
  <c r="G38" i="5"/>
  <c r="H38" i="5"/>
  <c r="J38" i="5"/>
  <c r="A39" i="5"/>
  <c r="B39" i="5"/>
  <c r="D39" i="5"/>
  <c r="E39" i="5"/>
  <c r="F39" i="5"/>
  <c r="G39" i="5"/>
  <c r="H39" i="5"/>
  <c r="J39" i="5"/>
  <c r="A40" i="5"/>
  <c r="B40" i="5"/>
  <c r="D40" i="5"/>
  <c r="E40" i="5"/>
  <c r="F40" i="5"/>
  <c r="G40" i="5"/>
  <c r="H40" i="5"/>
  <c r="J40" i="5"/>
  <c r="A41" i="5"/>
  <c r="B41" i="5"/>
  <c r="D41" i="5"/>
  <c r="E41" i="5"/>
  <c r="F41" i="5"/>
  <c r="G41" i="5"/>
  <c r="H41" i="5"/>
  <c r="J41" i="5"/>
  <c r="A42" i="5"/>
  <c r="B42" i="5"/>
  <c r="D42" i="5"/>
  <c r="E42" i="5"/>
  <c r="G42" i="5"/>
  <c r="H42" i="5"/>
  <c r="J42" i="5"/>
  <c r="A43" i="5"/>
  <c r="C43" i="5"/>
  <c r="D43" i="5"/>
  <c r="E43" i="5"/>
  <c r="F43" i="5"/>
  <c r="G43" i="5"/>
  <c r="H43" i="5"/>
  <c r="I43" i="5"/>
  <c r="C44" i="5"/>
  <c r="C45" i="5"/>
  <c r="E47" i="5"/>
  <c r="F47" i="5"/>
  <c r="G47" i="5"/>
  <c r="I47" i="5"/>
  <c r="E48" i="5"/>
  <c r="G48" i="5"/>
  <c r="I48" i="5"/>
  <c r="G49" i="5"/>
  <c r="E50" i="5"/>
  <c r="F50" i="5"/>
  <c r="G50" i="5"/>
  <c r="B4" i="3"/>
  <c r="F6" i="3"/>
  <c r="F7" i="3"/>
  <c r="F8" i="3"/>
  <c r="J10" i="3"/>
  <c r="F11" i="3"/>
  <c r="J11" i="3"/>
  <c r="A12" i="3"/>
  <c r="F12" i="3"/>
  <c r="G12" i="3"/>
  <c r="H12" i="3"/>
  <c r="I12" i="3"/>
  <c r="J12" i="3"/>
  <c r="K12" i="3"/>
  <c r="L12" i="3"/>
  <c r="A13" i="3"/>
  <c r="B13" i="3"/>
  <c r="F13" i="3"/>
  <c r="G13" i="3"/>
  <c r="H13" i="3"/>
  <c r="I13" i="3"/>
  <c r="J13" i="3"/>
  <c r="K13" i="3"/>
  <c r="L13" i="3"/>
  <c r="A14" i="3"/>
  <c r="B14" i="3"/>
  <c r="F14" i="3"/>
  <c r="G14" i="3"/>
  <c r="H14" i="3"/>
  <c r="I14" i="3"/>
  <c r="J14" i="3"/>
  <c r="K14" i="3"/>
  <c r="L14" i="3"/>
  <c r="A15" i="3"/>
  <c r="B15" i="3"/>
  <c r="F15" i="3"/>
  <c r="G15" i="3"/>
  <c r="H15" i="3"/>
  <c r="I15" i="3"/>
  <c r="J15" i="3"/>
  <c r="K15" i="3"/>
  <c r="L15" i="3"/>
  <c r="A16" i="3"/>
  <c r="B16" i="3"/>
  <c r="F16" i="3"/>
  <c r="G16" i="3"/>
  <c r="H16" i="3"/>
  <c r="I16" i="3"/>
  <c r="J16" i="3"/>
  <c r="K16" i="3"/>
  <c r="L16" i="3"/>
  <c r="A17" i="3"/>
  <c r="B17" i="3"/>
  <c r="F17" i="3"/>
  <c r="G17" i="3"/>
  <c r="H17" i="3"/>
  <c r="I17" i="3"/>
  <c r="J17" i="3"/>
  <c r="K17" i="3"/>
  <c r="L17" i="3"/>
  <c r="A18" i="3"/>
  <c r="B18" i="3"/>
  <c r="F18" i="3"/>
  <c r="G18" i="3"/>
  <c r="H18" i="3"/>
  <c r="I18" i="3"/>
  <c r="J18" i="3"/>
  <c r="K18" i="3"/>
  <c r="L18" i="3"/>
  <c r="A19" i="3"/>
  <c r="B19" i="3"/>
  <c r="F19" i="3"/>
  <c r="G19" i="3"/>
  <c r="H19" i="3"/>
  <c r="I19" i="3"/>
  <c r="J19" i="3"/>
  <c r="K19" i="3"/>
  <c r="L19" i="3"/>
  <c r="A20" i="3"/>
  <c r="B20" i="3"/>
  <c r="F20" i="3"/>
  <c r="G20" i="3"/>
  <c r="H20" i="3"/>
  <c r="I20" i="3"/>
  <c r="J20" i="3"/>
  <c r="K20" i="3"/>
  <c r="L20" i="3"/>
  <c r="A21" i="3"/>
  <c r="B21" i="3"/>
  <c r="F21" i="3"/>
  <c r="G21" i="3"/>
  <c r="H21" i="3"/>
  <c r="I21" i="3"/>
  <c r="J21" i="3"/>
  <c r="K21" i="3"/>
  <c r="L21" i="3"/>
  <c r="A22" i="3"/>
  <c r="B22" i="3"/>
  <c r="F22" i="3"/>
  <c r="G22" i="3"/>
  <c r="H22" i="3"/>
  <c r="I22" i="3"/>
  <c r="J22" i="3"/>
  <c r="K22" i="3"/>
  <c r="L22" i="3"/>
  <c r="A23" i="3"/>
  <c r="B23" i="3"/>
  <c r="F23" i="3"/>
  <c r="G23" i="3"/>
  <c r="H23" i="3"/>
  <c r="I23" i="3"/>
  <c r="J23" i="3"/>
  <c r="K23" i="3"/>
  <c r="L23" i="3"/>
  <c r="A24" i="3"/>
  <c r="B24" i="3"/>
  <c r="F24" i="3"/>
  <c r="G24" i="3"/>
  <c r="H24" i="3"/>
  <c r="I24" i="3"/>
  <c r="J24" i="3"/>
  <c r="K24" i="3"/>
  <c r="L24" i="3"/>
  <c r="A25" i="3"/>
  <c r="B25" i="3"/>
  <c r="F25" i="3"/>
  <c r="G25" i="3"/>
  <c r="H25" i="3"/>
  <c r="I25" i="3"/>
  <c r="J25" i="3"/>
  <c r="K25" i="3"/>
  <c r="L25" i="3"/>
  <c r="A26" i="3"/>
  <c r="B26" i="3"/>
  <c r="F26" i="3"/>
  <c r="G26" i="3"/>
  <c r="H26" i="3"/>
  <c r="I26" i="3"/>
  <c r="J26" i="3"/>
  <c r="K26" i="3"/>
  <c r="L26" i="3"/>
  <c r="A27" i="3"/>
  <c r="B27" i="3"/>
  <c r="F27" i="3"/>
  <c r="G27" i="3"/>
  <c r="H27" i="3"/>
  <c r="I27" i="3"/>
  <c r="J27" i="3"/>
  <c r="K27" i="3"/>
  <c r="L27" i="3"/>
  <c r="A28" i="3"/>
  <c r="B28" i="3"/>
  <c r="F28" i="3"/>
  <c r="G28" i="3"/>
  <c r="H28" i="3"/>
  <c r="I28" i="3"/>
  <c r="J28" i="3"/>
  <c r="K28" i="3"/>
  <c r="L28" i="3"/>
  <c r="A29" i="3"/>
  <c r="B29" i="3"/>
  <c r="F29" i="3"/>
  <c r="G29" i="3"/>
  <c r="H29" i="3"/>
  <c r="I29" i="3"/>
  <c r="J29" i="3"/>
  <c r="K29" i="3"/>
  <c r="L29" i="3"/>
  <c r="A30" i="3"/>
  <c r="B30" i="3"/>
  <c r="F30" i="3"/>
  <c r="G30" i="3"/>
  <c r="H30" i="3"/>
  <c r="I30" i="3"/>
  <c r="J30" i="3"/>
  <c r="K30" i="3"/>
  <c r="L30" i="3"/>
  <c r="A31" i="3"/>
  <c r="B31" i="3"/>
  <c r="F31" i="3"/>
  <c r="G31" i="3"/>
  <c r="H31" i="3"/>
  <c r="I31" i="3"/>
  <c r="J31" i="3"/>
  <c r="K31" i="3"/>
  <c r="L31" i="3"/>
  <c r="A32" i="3"/>
  <c r="B32" i="3"/>
  <c r="F32" i="3"/>
  <c r="G32" i="3"/>
  <c r="H32" i="3"/>
  <c r="I32" i="3"/>
  <c r="J32" i="3"/>
  <c r="K32" i="3"/>
  <c r="L32" i="3"/>
  <c r="A33" i="3"/>
  <c r="B33" i="3"/>
  <c r="F33" i="3"/>
  <c r="G33" i="3"/>
  <c r="H33" i="3"/>
  <c r="I33" i="3"/>
  <c r="J33" i="3"/>
  <c r="K33" i="3"/>
  <c r="L33" i="3"/>
  <c r="A34" i="3"/>
  <c r="B34" i="3"/>
  <c r="F34" i="3"/>
  <c r="G34" i="3"/>
  <c r="H34" i="3"/>
  <c r="I34" i="3"/>
  <c r="J34" i="3"/>
  <c r="K34" i="3"/>
  <c r="L34" i="3"/>
  <c r="A35" i="3"/>
  <c r="B35" i="3"/>
  <c r="F35" i="3"/>
  <c r="G35" i="3"/>
  <c r="H35" i="3"/>
  <c r="I35" i="3"/>
  <c r="J35" i="3"/>
  <c r="K35" i="3"/>
  <c r="L35" i="3"/>
  <c r="A36" i="3"/>
  <c r="B36" i="3"/>
  <c r="F36" i="3"/>
  <c r="G36" i="3"/>
  <c r="H36" i="3"/>
  <c r="I36" i="3"/>
  <c r="J36" i="3"/>
  <c r="K36" i="3"/>
  <c r="L36" i="3"/>
  <c r="A37" i="3"/>
  <c r="B37" i="3"/>
  <c r="F37" i="3"/>
  <c r="G37" i="3"/>
  <c r="H37" i="3"/>
  <c r="I37" i="3"/>
  <c r="J37" i="3"/>
  <c r="K37" i="3"/>
  <c r="L37" i="3"/>
  <c r="A38" i="3"/>
  <c r="B38" i="3"/>
  <c r="F38" i="3"/>
  <c r="G38" i="3"/>
  <c r="H38" i="3"/>
  <c r="I38" i="3"/>
  <c r="J38" i="3"/>
  <c r="K38" i="3"/>
  <c r="L38" i="3"/>
  <c r="A39" i="3"/>
  <c r="B39" i="3"/>
  <c r="F39" i="3"/>
  <c r="G39" i="3"/>
  <c r="H39" i="3"/>
  <c r="I39" i="3"/>
  <c r="J39" i="3"/>
  <c r="K39" i="3"/>
  <c r="L39" i="3"/>
  <c r="A40" i="3"/>
  <c r="B40" i="3"/>
  <c r="F40" i="3"/>
  <c r="G40" i="3"/>
  <c r="H40" i="3"/>
  <c r="I40" i="3"/>
  <c r="J40" i="3"/>
  <c r="K40" i="3"/>
  <c r="L40" i="3"/>
  <c r="A41" i="3"/>
  <c r="B41" i="3"/>
  <c r="F41" i="3"/>
  <c r="G41" i="3"/>
  <c r="H41" i="3"/>
  <c r="I41" i="3"/>
  <c r="J41" i="3"/>
  <c r="K41" i="3"/>
  <c r="L41" i="3"/>
  <c r="A42" i="3"/>
  <c r="B42" i="3"/>
  <c r="F42" i="3"/>
  <c r="G42" i="3"/>
  <c r="H42" i="3"/>
  <c r="I42" i="3"/>
  <c r="J42" i="3"/>
  <c r="K42" i="3"/>
  <c r="L42" i="3"/>
  <c r="A43" i="3"/>
  <c r="C43" i="3"/>
  <c r="D43" i="3"/>
  <c r="E43" i="3"/>
  <c r="F43" i="3"/>
  <c r="G43" i="3"/>
  <c r="H43" i="3"/>
  <c r="I43" i="3"/>
  <c r="J43" i="3"/>
  <c r="K43" i="3"/>
  <c r="E44" i="3"/>
  <c r="C45" i="3"/>
  <c r="D45" i="3"/>
  <c r="E45" i="3"/>
  <c r="G47" i="3"/>
  <c r="H47" i="3"/>
  <c r="I47" i="3"/>
  <c r="K47" i="3"/>
  <c r="G48" i="3"/>
  <c r="I48" i="3"/>
  <c r="K48" i="3"/>
  <c r="I49" i="3"/>
  <c r="G50" i="3"/>
  <c r="H50" i="3"/>
  <c r="I50" i="3"/>
</calcChain>
</file>

<file path=xl/comments1.xml><?xml version="1.0" encoding="utf-8"?>
<comments xmlns="http://schemas.openxmlformats.org/spreadsheetml/2006/main">
  <authors>
    <author>mary ellenberger</author>
  </authors>
  <commentList>
    <comment ref="I1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</commentList>
</comments>
</file>

<file path=xl/sharedStrings.xml><?xml version="1.0" encoding="utf-8"?>
<sst xmlns="http://schemas.openxmlformats.org/spreadsheetml/2006/main" count="888" uniqueCount="159">
  <si>
    <t xml:space="preserve"> </t>
  </si>
  <si>
    <t>ACTUALS</t>
  </si>
  <si>
    <t>GAS DAILY</t>
  </si>
  <si>
    <t>VOLUME</t>
  </si>
  <si>
    <t>BASELOAD</t>
  </si>
  <si>
    <t>CHECK</t>
  </si>
  <si>
    <t>BASELOAD  $ AMOUNT</t>
  </si>
  <si>
    <t>AMOUNT</t>
  </si>
  <si>
    <t>KEEP WHOLE</t>
  </si>
  <si>
    <t>SPINNAKER EXPLORATION COMPANY, L.L.C.</t>
  </si>
  <si>
    <t>BASELOAD VOLUME:</t>
  </si>
  <si>
    <t>EXCESS VOLUME ABOVE:</t>
  </si>
  <si>
    <t>BASELOAD MINIMUM:</t>
  </si>
  <si>
    <t>EXCESS</t>
  </si>
  <si>
    <t>TRCO ZN 2</t>
  </si>
  <si>
    <t>LESS T&amp;E/FUEL</t>
  </si>
  <si>
    <t>MID POINT $</t>
  </si>
  <si>
    <t>EXCESS $ AMOUNT</t>
  </si>
  <si>
    <t>WEST CAMERON 39</t>
  </si>
  <si>
    <t>KEEP WHOLE AMOUNT</t>
  </si>
  <si>
    <t>BELOW</t>
  </si>
  <si>
    <t>MINIMUM</t>
  </si>
  <si>
    <t xml:space="preserve">TRANSPORT = </t>
  </si>
  <si>
    <t xml:space="preserve">FUEL = </t>
  </si>
  <si>
    <t>SOUTH PELTO 18</t>
  </si>
  <si>
    <t>VERMILION 84</t>
  </si>
  <si>
    <t>BRAZOS 368</t>
  </si>
  <si>
    <t>***</t>
  </si>
  <si>
    <t>ANR [LA]</t>
  </si>
  <si>
    <t>High Island 570</t>
  </si>
  <si>
    <t>COL GULF</t>
  </si>
  <si>
    <t>East Cam 152</t>
  </si>
  <si>
    <t>TETCO WLA</t>
  </si>
  <si>
    <t>HSC</t>
  </si>
  <si>
    <t>South Pelto 18</t>
  </si>
  <si>
    <t>TRCO ZN 3</t>
  </si>
  <si>
    <t>NGPL [LA]</t>
  </si>
  <si>
    <t>BLUE DOLPHIN</t>
  </si>
  <si>
    <t>TETCO [E LA]</t>
  </si>
  <si>
    <t>S Tim 220</t>
  </si>
  <si>
    <t>DISCOVERY</t>
  </si>
  <si>
    <t>TETCO [W LA]</t>
  </si>
  <si>
    <t>High Island 235</t>
  </si>
  <si>
    <t>W Cam 39</t>
  </si>
  <si>
    <t>W Cam 522</t>
  </si>
  <si>
    <t>Brazos 368</t>
  </si>
  <si>
    <t>FOM NOM</t>
  </si>
  <si>
    <t>UPDATE EACH MONTH</t>
  </si>
  <si>
    <t xml:space="preserve">TRANSCO ZONE 2 (IT TRANSPORT) </t>
  </si>
  <si>
    <t xml:space="preserve">ACA = </t>
  </si>
  <si>
    <t>NO ACA DEDUCT</t>
  </si>
  <si>
    <t xml:space="preserve">  TOTAL = </t>
  </si>
  <si>
    <t>FUEL % =</t>
  </si>
  <si>
    <t>BASED ON TRANSCO ZONE 2 INDEX</t>
  </si>
  <si>
    <t>effective 9806, per chris germany</t>
  </si>
  <si>
    <t xml:space="preserve">TRANSCO ZONE 3 (IT TRANSPORT) </t>
  </si>
  <si>
    <t>BASED ON TRANSCO ZONE 3 INDEX</t>
  </si>
  <si>
    <t>GARDEN BANKS 367 [COLUMBIA GULF OFFSHR TO ONSHR T&amp;E]</t>
  </si>
  <si>
    <t>HIOS</t>
  </si>
  <si>
    <t>PER MARIA GARZA</t>
  </si>
  <si>
    <t>BASED ON ANR INDEX</t>
  </si>
  <si>
    <t>TETCO/STINGRAY</t>
  </si>
  <si>
    <t>PER DAN JUNEK</t>
  </si>
  <si>
    <t>[UNACCOUNTED FOR]</t>
  </si>
  <si>
    <t>LESS $0.08</t>
  </si>
  <si>
    <t>BASED ON NGPL INDEX</t>
  </si>
  <si>
    <t>BASED ON TETCO ELA INDEX</t>
  </si>
  <si>
    <t>Excess</t>
  </si>
  <si>
    <t xml:space="preserve">T&amp;E  </t>
  </si>
  <si>
    <t xml:space="preserve">Fuel  </t>
  </si>
  <si>
    <t xml:space="preserve">DEHY = </t>
  </si>
  <si>
    <t>PER AMI</t>
  </si>
  <si>
    <t>BASED ON HSC INDEX</t>
  </si>
  <si>
    <t>HSC - $0.08</t>
  </si>
  <si>
    <t xml:space="preserve">TRANSPORT/DEHY = </t>
  </si>
  <si>
    <t xml:space="preserve">ACTUALS - </t>
  </si>
  <si>
    <t>INCLUDED ABOVE, PER MARIA GARZA</t>
  </si>
  <si>
    <t>[ASSUME MO TOTAL/DAYS]</t>
  </si>
  <si>
    <t>S Tim 219 B1</t>
  </si>
  <si>
    <t>S Tim 211 B2</t>
  </si>
  <si>
    <t>T&amp;E/Fuel</t>
  </si>
  <si>
    <t>as $$ amt</t>
  </si>
  <si>
    <t>in sitara</t>
  </si>
  <si>
    <t>none</t>
  </si>
  <si>
    <t>IFGMR Price</t>
  </si>
  <si>
    <t>PER DAN JUNEK see e-mail from Joan Quick to Ron Gaskey indicating the t-port is $0.1150</t>
  </si>
  <si>
    <t>BTU</t>
  </si>
  <si>
    <t xml:space="preserve">FACTOR </t>
  </si>
  <si>
    <t>of</t>
  </si>
  <si>
    <t>EAST CAMERON 138/152</t>
  </si>
  <si>
    <t>HIGH ISLAND 235</t>
  </si>
  <si>
    <t>HIGH ISLAND 235 - FLASH</t>
  </si>
  <si>
    <t>effective 5/2000-7/2000 per Jessy Villerral -logistics</t>
  </si>
  <si>
    <t>FORCE MAJEURE EVENT 5/14/2000 until further notice in writing</t>
  </si>
  <si>
    <t>ANR</t>
  </si>
  <si>
    <t>LESS $0.0</t>
  </si>
  <si>
    <t xml:space="preserve">    </t>
  </si>
  <si>
    <t>SPINNAKER EXPLORATION COMPANY LLC</t>
  </si>
  <si>
    <t>Point Name</t>
  </si>
  <si>
    <t>BaseLoad</t>
  </si>
  <si>
    <t>Swing</t>
  </si>
  <si>
    <t>Keep Whole</t>
  </si>
  <si>
    <t>Total</t>
  </si>
  <si>
    <t>1/ Gas Daily minus $0.065 per Nelson Ferries 7/24/2000</t>
  </si>
  <si>
    <t>avg</t>
  </si>
  <si>
    <t>Transco Z2 GDP DA</t>
  </si>
  <si>
    <t>Transco Z3 GDP DA</t>
  </si>
  <si>
    <t>Cgulf SLA GDP DA</t>
  </si>
  <si>
    <t>Houston Ship Chan</t>
  </si>
  <si>
    <t>TETCO ELA GDP DA</t>
  </si>
  <si>
    <t>NGPL SLA GDP DA</t>
  </si>
  <si>
    <t>Galv 249-L</t>
  </si>
  <si>
    <t>High Island  199</t>
  </si>
  <si>
    <t>confirmation dated 9/14/2000</t>
  </si>
  <si>
    <t xml:space="preserve"> various prices per day </t>
  </si>
  <si>
    <t>HIGH ISLAND -199</t>
  </si>
  <si>
    <t>GALVESTON ISLE 249-L</t>
  </si>
  <si>
    <t>ANR/LA</t>
  </si>
  <si>
    <t>Demand Charge</t>
  </si>
  <si>
    <t>VERMILLION 376/375</t>
  </si>
  <si>
    <t xml:space="preserve">      </t>
  </si>
  <si>
    <t>effective 2/01-3/31/01, Transit. TWC. Com webb site</t>
  </si>
  <si>
    <t>effective 2/01-3/31/01, Transit.TWC.com webb site</t>
  </si>
  <si>
    <t>Net Payable - Spinnaker</t>
  </si>
  <si>
    <t xml:space="preserve">  </t>
  </si>
  <si>
    <t>*</t>
  </si>
  <si>
    <t>* Not nominated as Enron supply</t>
  </si>
  <si>
    <t>Verm 84 A-1 &amp; B-1</t>
  </si>
  <si>
    <t>A-1 &amp; B-1</t>
  </si>
  <si>
    <t>4/18/01 Brenda Fletcher Usage =$.0059 + Reservation= $.0051</t>
  </si>
  <si>
    <t xml:space="preserve">4/18/01 Brenda Fletcher </t>
  </si>
  <si>
    <t>4/18/01 Brenda Fletcher</t>
  </si>
  <si>
    <t>WEST CAMERON 522/543</t>
  </si>
  <si>
    <t>Vermilion 375/376</t>
  </si>
  <si>
    <t>GALVESTON ISLE 249-L / 259</t>
  </si>
  <si>
    <t>Galv 250/ 249L</t>
  </si>
  <si>
    <t>ss</t>
  </si>
  <si>
    <t>GDA Volume</t>
  </si>
  <si>
    <t>Baseload</t>
  </si>
  <si>
    <t>October</t>
  </si>
  <si>
    <t>November</t>
  </si>
  <si>
    <t>December</t>
  </si>
  <si>
    <t>Garden Banks 236 /367</t>
  </si>
  <si>
    <t>TZ3</t>
  </si>
  <si>
    <t>eff 2/01-3/31/01, Transit.TWC.com webb site</t>
  </si>
  <si>
    <t>eff 2/01-3/31/01, Transit. TWC. Com webb site</t>
  </si>
  <si>
    <t>OLD Numbers</t>
  </si>
  <si>
    <t>CORRECTED</t>
  </si>
  <si>
    <t>old</t>
  </si>
  <si>
    <t>Delta</t>
  </si>
  <si>
    <t>TRANSCO ZONE 2 (IT TRANSPORT)  to Station 65</t>
  </si>
  <si>
    <t>PREVIOUS</t>
  </si>
  <si>
    <t>REVISED</t>
  </si>
  <si>
    <t>ENRON</t>
  </si>
  <si>
    <t>TRANSCO 65</t>
  </si>
  <si>
    <t>Amount</t>
  </si>
  <si>
    <t>Revised Excess Amount</t>
  </si>
  <si>
    <t>AMOUNT DUE SEC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</si>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</sst>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8" formatCode="&quot;$&quot;#,##0.00_);[Red]\(&quot;$&quot;#,##0.00\)"/>
    <numFmt numFmtId="165" formatCode="#,##0.0000"/>
    <numFmt numFmtId="168" formatCode="#,##0.000"/>
    <numFmt numFmtId="171" formatCode="0.0000"/>
    <numFmt numFmtId="180" formatCode="&quot;$&quot;#,##0.000_);[Red]\(&quot;$&quot;#,##0.000\)"/>
    <numFmt numFmtId="181" formatCode="&quot;$&quot;#,##0.0000_);[Red]\(&quot;$&quot;#,##0.0000\)"/>
    <numFmt numFmtId="190" formatCode="&quot;$&quot;#,##0.0000_);\(&quot;$&quot;#,##0.0000\)"/>
    <numFmt numFmtId="191" formatCode="&quot;$&quot;#,##0.000_);\(&quot;$&quot;#,##0.000\)"/>
    <numFmt numFmtId="192" formatCode="&quot;$&quot;#,##0.00000_);[Red]\(&quot;$&quot;#,##0.00000\)"/>
    <numFmt numFmtId="202" formatCode="0.000%"/>
    <numFmt numFmtId="203" formatCode="&quot;$&quot;#,##0.00"/>
    <numFmt numFmtId="205" formatCode="m/d"/>
  </numFmts>
  <fonts count="32" x14ac:knownFonts="1">
    <font>
      <sz val="10"/>
      <name val="Courier"/>
    </font>
    <font>
      <sz val="10"/>
      <name val="Helv"/>
    </font>
    <font>
      <sz val="10"/>
      <name val="Times New Roman"/>
      <family val="1"/>
    </font>
    <font>
      <b/>
      <sz val="10"/>
      <name val="Times New Roman"/>
    </font>
    <font>
      <b/>
      <sz val="11"/>
      <name val="Times New Roman"/>
      <family val="1"/>
    </font>
    <font>
      <sz val="10"/>
      <name val="Times New Roman"/>
    </font>
    <font>
      <b/>
      <sz val="11"/>
      <name val="Times New Roman"/>
    </font>
    <font>
      <b/>
      <sz val="18"/>
      <name val="Times New Roman"/>
      <family val="1"/>
    </font>
    <font>
      <b/>
      <sz val="11"/>
      <name val="Courier"/>
    </font>
    <font>
      <sz val="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Courier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Times New Roman"/>
    </font>
    <font>
      <b/>
      <sz val="15"/>
      <name val="Courier"/>
      <family val="3"/>
    </font>
    <font>
      <b/>
      <sz val="10"/>
      <color indexed="12"/>
      <name val="Arial"/>
      <family val="2"/>
    </font>
    <font>
      <b/>
      <sz val="10"/>
      <name val="Courier"/>
    </font>
    <font>
      <sz val="9"/>
      <name val="Courier"/>
      <family val="3"/>
    </font>
    <font>
      <b/>
      <sz val="9"/>
      <name val="Courier"/>
      <family val="3"/>
    </font>
    <font>
      <b/>
      <sz val="10"/>
      <name val="Courier"/>
      <family val="3"/>
    </font>
    <font>
      <sz val="8"/>
      <name val="Courier"/>
      <family val="3"/>
    </font>
    <font>
      <b/>
      <sz val="10"/>
      <color indexed="54"/>
      <name val="Arial"/>
      <family val="2"/>
    </font>
    <font>
      <sz val="9"/>
      <color indexed="10"/>
      <name val="Courier"/>
      <family val="3"/>
    </font>
    <font>
      <sz val="10"/>
      <name val="Courier"/>
      <family val="3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10"/>
      <color indexed="12"/>
      <name val="Arial"/>
      <family val="2"/>
    </font>
    <font>
      <b/>
      <sz val="8"/>
      <name val="Times New Roman"/>
      <family val="1"/>
    </font>
    <font>
      <sz val="8"/>
      <color indexed="10"/>
      <name val="Courier"/>
      <family val="3"/>
    </font>
    <font>
      <b/>
      <i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 applyProtection="1">
      <alignment horizontal="left"/>
    </xf>
    <xf numFmtId="0" fontId="5" fillId="0" borderId="0" xfId="0" applyFont="1"/>
    <xf numFmtId="3" fontId="5" fillId="0" borderId="0" xfId="0" applyNumberFormat="1" applyFont="1" applyAlignment="1" applyProtection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3" fontId="5" fillId="0" borderId="0" xfId="1" applyNumberFormat="1" applyFont="1"/>
    <xf numFmtId="0" fontId="5" fillId="0" borderId="0" xfId="0" applyFont="1" applyAlignment="1">
      <alignment horizontal="right"/>
    </xf>
    <xf numFmtId="9" fontId="5" fillId="0" borderId="0" xfId="3" applyFont="1" applyAlignment="1">
      <alignment horizontal="right"/>
    </xf>
    <xf numFmtId="9" fontId="5" fillId="0" borderId="0" xfId="0" applyNumberFormat="1" applyFont="1" applyAlignment="1">
      <alignment horizontal="right"/>
    </xf>
    <xf numFmtId="8" fontId="2" fillId="0" borderId="0" xfId="2" applyFont="1"/>
    <xf numFmtId="181" fontId="2" fillId="0" borderId="0" xfId="2" applyNumberFormat="1" applyFont="1"/>
    <xf numFmtId="190" fontId="5" fillId="0" borderId="0" xfId="0" applyNumberFormat="1" applyFont="1"/>
    <xf numFmtId="37" fontId="2" fillId="0" borderId="0" xfId="0" applyNumberFormat="1" applyFont="1"/>
    <xf numFmtId="8" fontId="4" fillId="0" borderId="0" xfId="0" applyNumberFormat="1" applyFont="1"/>
    <xf numFmtId="8" fontId="6" fillId="0" borderId="0" xfId="2" applyFont="1"/>
    <xf numFmtId="0" fontId="7" fillId="0" borderId="0" xfId="0" applyFont="1" applyAlignment="1" applyProtection="1">
      <alignment horizontal="left"/>
    </xf>
    <xf numFmtId="0" fontId="7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4" fillId="0" borderId="0" xfId="0" applyNumberFormat="1" applyFont="1"/>
    <xf numFmtId="181" fontId="4" fillId="0" borderId="0" xfId="0" applyNumberFormat="1" applyFont="1"/>
    <xf numFmtId="0" fontId="8" fillId="0" borderId="1" xfId="0" applyFont="1" applyBorder="1"/>
    <xf numFmtId="8" fontId="4" fillId="0" borderId="2" xfId="0" applyNumberFormat="1" applyFont="1" applyBorder="1"/>
    <xf numFmtId="8" fontId="4" fillId="0" borderId="1" xfId="2" applyFont="1" applyBorder="1" applyAlignment="1">
      <alignment horizontal="right"/>
    </xf>
    <xf numFmtId="3" fontId="2" fillId="0" borderId="0" xfId="1" applyNumberFormat="1" applyFont="1"/>
    <xf numFmtId="3" fontId="5" fillId="0" borderId="0" xfId="1" applyNumberFormat="1" applyFont="1" applyAlignment="1">
      <alignment horizontal="right"/>
    </xf>
    <xf numFmtId="3" fontId="4" fillId="0" borderId="0" xfId="1" applyNumberFormat="1" applyFont="1"/>
    <xf numFmtId="8" fontId="2" fillId="0" borderId="0" xfId="2" applyFont="1" applyAlignment="1">
      <alignment horizontal="right"/>
    </xf>
    <xf numFmtId="0" fontId="9" fillId="0" borderId="0" xfId="0" applyFont="1"/>
    <xf numFmtId="8" fontId="5" fillId="0" borderId="0" xfId="2" applyFont="1" applyAlignment="1" applyProtection="1">
      <alignment horizontal="right"/>
    </xf>
    <xf numFmtId="8" fontId="5" fillId="0" borderId="0" xfId="2" applyFont="1" applyAlignment="1">
      <alignment horizontal="right"/>
    </xf>
    <xf numFmtId="8" fontId="3" fillId="0" borderId="0" xfId="2" applyFont="1" applyAlignment="1">
      <alignment horizontal="right"/>
    </xf>
    <xf numFmtId="8" fontId="0" fillId="0" borderId="0" xfId="2" applyFont="1" applyAlignment="1">
      <alignment horizontal="right"/>
    </xf>
    <xf numFmtId="192" fontId="2" fillId="0" borderId="0" xfId="2" applyNumberFormat="1" applyFont="1"/>
    <xf numFmtId="8" fontId="10" fillId="0" borderId="0" xfId="2" applyFont="1" applyAlignment="1">
      <alignment horizontal="right"/>
    </xf>
    <xf numFmtId="8" fontId="5" fillId="0" borderId="0" xfId="0" applyNumberFormat="1" applyFont="1" applyAlignment="1">
      <alignment horizontal="right"/>
    </xf>
    <xf numFmtId="7" fontId="5" fillId="0" borderId="0" xfId="0" applyNumberFormat="1" applyFont="1"/>
    <xf numFmtId="192" fontId="4" fillId="0" borderId="0" xfId="2" applyNumberFormat="1" applyFont="1"/>
    <xf numFmtId="3" fontId="0" fillId="0" borderId="0" xfId="0" applyNumberFormat="1"/>
    <xf numFmtId="37" fontId="9" fillId="0" borderId="0" xfId="0" applyNumberFormat="1" applyFont="1"/>
    <xf numFmtId="8" fontId="5" fillId="0" borderId="0" xfId="0" applyNumberFormat="1" applyFont="1"/>
    <xf numFmtId="171" fontId="2" fillId="0" borderId="0" xfId="0" applyNumberFormat="1" applyFont="1" applyAlignment="1">
      <alignment horizontal="right"/>
    </xf>
    <xf numFmtId="181" fontId="2" fillId="0" borderId="0" xfId="2" applyNumberFormat="1" applyFont="1" applyAlignment="1">
      <alignment horizontal="left"/>
    </xf>
    <xf numFmtId="10" fontId="2" fillId="0" borderId="0" xfId="3" applyNumberFormat="1" applyFont="1" applyAlignment="1">
      <alignment horizontal="left"/>
    </xf>
    <xf numFmtId="3" fontId="12" fillId="0" borderId="0" xfId="1" applyNumberFormat="1" applyFont="1"/>
    <xf numFmtId="8" fontId="12" fillId="0" borderId="0" xfId="2" applyFont="1" applyAlignment="1">
      <alignment horizontal="right"/>
    </xf>
    <xf numFmtId="17" fontId="7" fillId="0" borderId="0" xfId="0" quotePrefix="1" applyNumberFormat="1" applyFont="1" applyAlignment="1" applyProtection="1">
      <alignment horizontal="left"/>
    </xf>
    <xf numFmtId="3" fontId="13" fillId="0" borderId="0" xfId="1" applyNumberFormat="1" applyFont="1"/>
    <xf numFmtId="0" fontId="14" fillId="0" borderId="0" xfId="0" applyFont="1" applyAlignment="1">
      <alignment horizontal="left"/>
    </xf>
    <xf numFmtId="17" fontId="4" fillId="0" borderId="0" xfId="0" quotePrefix="1" applyNumberFormat="1" applyFont="1" applyAlignment="1">
      <alignment horizontal="left"/>
    </xf>
    <xf numFmtId="0" fontId="14" fillId="0" borderId="0" xfId="0" applyFont="1"/>
    <xf numFmtId="8" fontId="14" fillId="0" borderId="0" xfId="0" applyNumberFormat="1" applyFont="1" applyAlignment="1">
      <alignment horizontal="center"/>
    </xf>
    <xf numFmtId="8" fontId="14" fillId="0" borderId="0" xfId="2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81" fontId="2" fillId="0" borderId="1" xfId="2" applyNumberFormat="1" applyFont="1" applyBorder="1" applyAlignment="1">
      <alignment horizontal="left"/>
    </xf>
    <xf numFmtId="171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81" fontId="4" fillId="0" borderId="0" xfId="2" applyNumberFormat="1" applyFont="1" applyAlignment="1">
      <alignment horizontal="left"/>
    </xf>
    <xf numFmtId="181" fontId="15" fillId="0" borderId="0" xfId="2" applyNumberFormat="1" applyFont="1" applyAlignment="1">
      <alignment horizontal="left"/>
    </xf>
    <xf numFmtId="0" fontId="2" fillId="0" borderId="0" xfId="0" applyFont="1" applyAlignment="1">
      <alignment horizontal="center"/>
    </xf>
    <xf numFmtId="181" fontId="4" fillId="0" borderId="0" xfId="0" applyNumberFormat="1" applyFont="1" applyAlignment="1">
      <alignment horizontal="right"/>
    </xf>
    <xf numFmtId="171" fontId="4" fillId="0" borderId="0" xfId="2" applyNumberFormat="1" applyFont="1" applyAlignment="1">
      <alignment horizontal="left"/>
    </xf>
    <xf numFmtId="181" fontId="2" fillId="0" borderId="0" xfId="2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181" fontId="1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02" fontId="14" fillId="0" borderId="0" xfId="3" applyNumberFormat="1" applyFont="1"/>
    <xf numFmtId="0" fontId="11" fillId="0" borderId="0" xfId="0" applyFont="1" applyAlignment="1">
      <alignment horizontal="left"/>
    </xf>
    <xf numFmtId="8" fontId="2" fillId="0" borderId="0" xfId="0" applyNumberFormat="1" applyFont="1"/>
    <xf numFmtId="14" fontId="4" fillId="0" borderId="0" xfId="0" applyNumberFormat="1" applyFont="1"/>
    <xf numFmtId="3" fontId="2" fillId="0" borderId="0" xfId="1" applyNumberFormat="1" applyFont="1" applyAlignment="1">
      <alignment horizontal="right"/>
    </xf>
    <xf numFmtId="0" fontId="5" fillId="0" borderId="0" xfId="0" applyFont="1" applyAlignment="1">
      <alignment horizontal="center"/>
    </xf>
    <xf numFmtId="203" fontId="2" fillId="0" borderId="0" xfId="1" applyNumberFormat="1" applyFont="1"/>
    <xf numFmtId="8" fontId="4" fillId="0" borderId="0" xfId="2" applyFont="1"/>
    <xf numFmtId="1" fontId="5" fillId="0" borderId="0" xfId="0" applyNumberFormat="1" applyFont="1"/>
    <xf numFmtId="17" fontId="10" fillId="0" borderId="0" xfId="0" quotePrefix="1" applyNumberFormat="1" applyFont="1" applyAlignment="1" applyProtection="1">
      <alignment horizontal="left"/>
    </xf>
    <xf numFmtId="191" fontId="17" fillId="0" borderId="3" xfId="0" applyNumberFormat="1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right"/>
    </xf>
    <xf numFmtId="191" fontId="17" fillId="0" borderId="0" xfId="0" applyNumberFormat="1" applyFont="1" applyBorder="1" applyAlignment="1">
      <alignment horizontal="center"/>
    </xf>
    <xf numFmtId="0" fontId="18" fillId="0" borderId="0" xfId="0" applyFont="1"/>
    <xf numFmtId="181" fontId="14" fillId="0" borderId="0" xfId="3" applyNumberFormat="1" applyFont="1"/>
    <xf numFmtId="3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19" fillId="0" borderId="0" xfId="0" applyFont="1"/>
    <xf numFmtId="17" fontId="19" fillId="0" borderId="0" xfId="0" applyNumberFormat="1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8" fontId="19" fillId="0" borderId="0" xfId="0" applyNumberFormat="1" applyFont="1"/>
    <xf numFmtId="8" fontId="14" fillId="0" borderId="0" xfId="2" applyFont="1"/>
    <xf numFmtId="0" fontId="21" fillId="0" borderId="0" xfId="0" applyFont="1" applyAlignment="1">
      <alignment horizontal="left"/>
    </xf>
    <xf numFmtId="7" fontId="5" fillId="0" borderId="0" xfId="0" applyNumberFormat="1" applyFont="1" applyAlignment="1"/>
    <xf numFmtId="191" fontId="17" fillId="0" borderId="0" xfId="0" applyNumberFormat="1" applyFont="1" applyBorder="1" applyAlignment="1"/>
    <xf numFmtId="0" fontId="7" fillId="0" borderId="0" xfId="0" applyFo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8" fontId="22" fillId="0" borderId="0" xfId="2" applyFont="1" applyAlignment="1">
      <alignment horizontal="right"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horizontal="left"/>
    </xf>
    <xf numFmtId="3" fontId="22" fillId="0" borderId="0" xfId="1" applyNumberFormat="1" applyFont="1"/>
    <xf numFmtId="0" fontId="22" fillId="0" borderId="0" xfId="0" applyFont="1"/>
    <xf numFmtId="8" fontId="22" fillId="0" borderId="0" xfId="2" applyFont="1" applyAlignment="1">
      <alignment horizontal="right"/>
    </xf>
    <xf numFmtId="0" fontId="22" fillId="0" borderId="0" xfId="0" applyFont="1" applyAlignment="1">
      <alignment horizontal="right"/>
    </xf>
    <xf numFmtId="168" fontId="22" fillId="0" borderId="0" xfId="1" applyNumberFormat="1" applyFont="1"/>
    <xf numFmtId="168" fontId="22" fillId="0" borderId="0" xfId="0" applyNumberFormat="1" applyFont="1"/>
    <xf numFmtId="168" fontId="0" fillId="0" borderId="0" xfId="0" applyNumberFormat="1"/>
    <xf numFmtId="7" fontId="5" fillId="0" borderId="0" xfId="0" applyNumberFormat="1" applyFont="1" applyAlignment="1">
      <alignment horizontal="left"/>
    </xf>
    <xf numFmtId="38" fontId="4" fillId="0" borderId="0" xfId="0" applyNumberFormat="1" applyFont="1" applyAlignment="1">
      <alignment horizontal="center"/>
    </xf>
    <xf numFmtId="205" fontId="5" fillId="0" borderId="0" xfId="0" applyNumberFormat="1" applyFont="1" applyAlignment="1">
      <alignment horizontal="left"/>
    </xf>
    <xf numFmtId="8" fontId="5" fillId="0" borderId="0" xfId="2" applyFont="1"/>
    <xf numFmtId="180" fontId="5" fillId="0" borderId="0" xfId="0" applyNumberFormat="1" applyFont="1"/>
    <xf numFmtId="180" fontId="0" fillId="0" borderId="0" xfId="0" applyNumberFormat="1"/>
    <xf numFmtId="8" fontId="5" fillId="0" borderId="0" xfId="2" applyFont="1" applyAlignment="1"/>
    <xf numFmtId="191" fontId="23" fillId="0" borderId="3" xfId="0" applyNumberFormat="1" applyFont="1" applyBorder="1" applyAlignment="1">
      <alignment horizontal="center"/>
    </xf>
    <xf numFmtId="8" fontId="20" fillId="0" borderId="0" xfId="2" applyFont="1"/>
    <xf numFmtId="168" fontId="17" fillId="0" borderId="3" xfId="0" applyNumberFormat="1" applyFont="1" applyBorder="1" applyAlignment="1">
      <alignment horizontal="center"/>
    </xf>
    <xf numFmtId="168" fontId="17" fillId="0" borderId="0" xfId="0" applyNumberFormat="1" applyFont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20" fillId="0" borderId="0" xfId="0" applyFont="1"/>
    <xf numFmtId="3" fontId="5" fillId="0" borderId="0" xfId="0" applyNumberFormat="1" applyFont="1"/>
    <xf numFmtId="0" fontId="24" fillId="0" borderId="0" xfId="0" applyFont="1" applyFill="1"/>
    <xf numFmtId="0" fontId="19" fillId="0" borderId="0" xfId="0" applyFont="1" applyFill="1"/>
    <xf numFmtId="3" fontId="8" fillId="0" borderId="1" xfId="0" applyNumberFormat="1" applyFont="1" applyBorder="1"/>
    <xf numFmtId="8" fontId="0" fillId="0" borderId="0" xfId="0" applyNumberFormat="1"/>
    <xf numFmtId="0" fontId="21" fillId="0" borderId="0" xfId="0" applyFont="1"/>
    <xf numFmtId="8" fontId="21" fillId="0" borderId="2" xfId="0" applyNumberFormat="1" applyFont="1" applyBorder="1"/>
    <xf numFmtId="8" fontId="25" fillId="0" borderId="0" xfId="0" applyNumberFormat="1" applyFont="1"/>
    <xf numFmtId="8" fontId="25" fillId="0" borderId="0" xfId="0" applyNumberFormat="1" applyFont="1" applyFill="1"/>
    <xf numFmtId="8" fontId="0" fillId="0" borderId="0" xfId="2" applyFont="1"/>
    <xf numFmtId="17" fontId="14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4" fillId="2" borderId="0" xfId="0" applyFont="1" applyFill="1"/>
    <xf numFmtId="8" fontId="14" fillId="2" borderId="0" xfId="2" applyFont="1" applyFill="1" applyAlignment="1">
      <alignment horizontal="right"/>
    </xf>
    <xf numFmtId="0" fontId="14" fillId="2" borderId="0" xfId="0" applyFont="1" applyFill="1" applyAlignment="1">
      <alignment horizontal="right"/>
    </xf>
    <xf numFmtId="181" fontId="2" fillId="2" borderId="0" xfId="2" applyNumberFormat="1" applyFont="1" applyFill="1" applyAlignment="1">
      <alignment horizontal="left"/>
    </xf>
    <xf numFmtId="181" fontId="2" fillId="2" borderId="1" xfId="2" applyNumberFormat="1" applyFont="1" applyFill="1" applyBorder="1" applyAlignment="1">
      <alignment horizontal="left"/>
    </xf>
    <xf numFmtId="0" fontId="2" fillId="2" borderId="0" xfId="0" applyFont="1" applyFill="1"/>
    <xf numFmtId="8" fontId="2" fillId="2" borderId="0" xfId="2" applyFont="1" applyFill="1" applyAlignment="1">
      <alignment horizontal="right"/>
    </xf>
    <xf numFmtId="171" fontId="2" fillId="2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181" fontId="4" fillId="2" borderId="0" xfId="2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8" fontId="12" fillId="2" borderId="0" xfId="2" applyFont="1" applyFill="1" applyAlignment="1">
      <alignment horizontal="right"/>
    </xf>
    <xf numFmtId="0" fontId="0" fillId="2" borderId="0" xfId="0" applyFill="1" applyAlignment="1">
      <alignment horizontal="right"/>
    </xf>
    <xf numFmtId="8" fontId="19" fillId="0" borderId="4" xfId="0" applyNumberFormat="1" applyFont="1" applyBorder="1"/>
    <xf numFmtId="8" fontId="20" fillId="0" borderId="4" xfId="0" applyNumberFormat="1" applyFont="1" applyBorder="1"/>
    <xf numFmtId="0" fontId="16" fillId="2" borderId="0" xfId="0" applyFont="1" applyFill="1"/>
    <xf numFmtId="0" fontId="19" fillId="2" borderId="0" xfId="0" applyFont="1" applyFill="1"/>
    <xf numFmtId="171" fontId="2" fillId="3" borderId="0" xfId="0" applyNumberFormat="1" applyFont="1" applyFill="1" applyAlignment="1">
      <alignment horizontal="right"/>
    </xf>
    <xf numFmtId="181" fontId="2" fillId="3" borderId="0" xfId="2" applyNumberFormat="1" applyFont="1" applyFill="1" applyAlignment="1">
      <alignment horizontal="left"/>
    </xf>
    <xf numFmtId="8" fontId="2" fillId="3" borderId="0" xfId="2" applyFont="1" applyFill="1" applyAlignment="1">
      <alignment horizontal="right"/>
    </xf>
    <xf numFmtId="10" fontId="2" fillId="3" borderId="0" xfId="3" applyNumberFormat="1" applyFont="1" applyFill="1" applyAlignment="1">
      <alignment horizontal="left"/>
    </xf>
    <xf numFmtId="8" fontId="7" fillId="0" borderId="0" xfId="2" quotePrefix="1" applyFont="1" applyAlignment="1" applyProtection="1">
      <alignment horizontal="left"/>
    </xf>
    <xf numFmtId="0" fontId="5" fillId="0" borderId="0" xfId="0" applyFont="1" applyBorder="1"/>
    <xf numFmtId="191" fontId="28" fillId="0" borderId="3" xfId="0" applyNumberFormat="1" applyFont="1" applyBorder="1" applyAlignment="1">
      <alignment horizontal="center"/>
    </xf>
    <xf numFmtId="3" fontId="2" fillId="0" borderId="0" xfId="0" applyNumberFormat="1" applyFont="1"/>
    <xf numFmtId="3" fontId="29" fillId="0" borderId="0" xfId="1" applyNumberFormat="1" applyFont="1" applyBorder="1"/>
    <xf numFmtId="203" fontId="29" fillId="0" borderId="0" xfId="1" applyNumberFormat="1" applyFont="1" applyBorder="1"/>
    <xf numFmtId="3" fontId="2" fillId="0" borderId="0" xfId="1" applyNumberFormat="1" applyFont="1" applyFill="1"/>
    <xf numFmtId="3" fontId="5" fillId="0" borderId="0" xfId="1" applyNumberFormat="1" applyFont="1" applyFill="1"/>
    <xf numFmtId="3" fontId="5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4" fillId="0" borderId="0" xfId="1" applyNumberFormat="1" applyFont="1" applyFill="1"/>
    <xf numFmtId="3" fontId="0" fillId="0" borderId="0" xfId="1" applyNumberFormat="1" applyFont="1" applyFill="1"/>
    <xf numFmtId="3" fontId="5" fillId="0" borderId="0" xfId="0" applyNumberFormat="1" applyFont="1" applyFill="1"/>
    <xf numFmtId="8" fontId="5" fillId="0" borderId="0" xfId="2" applyFont="1" applyFill="1" applyAlignment="1"/>
    <xf numFmtId="8" fontId="5" fillId="0" borderId="0" xfId="2" applyFont="1" applyFill="1"/>
    <xf numFmtId="3" fontId="12" fillId="0" borderId="0" xfId="1" applyNumberFormat="1" applyFont="1" applyFill="1"/>
    <xf numFmtId="0" fontId="5" fillId="0" borderId="0" xfId="0" applyFont="1" applyFill="1"/>
    <xf numFmtId="3" fontId="11" fillId="0" borderId="0" xfId="1" applyNumberFormat="1" applyFont="1" applyFill="1"/>
    <xf numFmtId="0" fontId="2" fillId="0" borderId="0" xfId="0" applyFont="1" applyFill="1"/>
    <xf numFmtId="8" fontId="0" fillId="0" borderId="0" xfId="2" applyNumberFormat="1" applyFont="1"/>
    <xf numFmtId="8" fontId="16" fillId="0" borderId="5" xfId="2" applyNumberFormat="1" applyFont="1" applyBorder="1"/>
    <xf numFmtId="8" fontId="21" fillId="0" borderId="0" xfId="2" applyNumberFormat="1" applyFont="1" applyAlignment="1">
      <alignment horizontal="center"/>
    </xf>
    <xf numFmtId="180" fontId="5" fillId="0" borderId="0" xfId="2" applyNumberFormat="1" applyFont="1" applyBorder="1" applyAlignment="1">
      <alignment horizontal="center"/>
    </xf>
    <xf numFmtId="8" fontId="0" fillId="0" borderId="0" xfId="2" applyNumberFormat="1" applyFont="1" applyAlignment="1">
      <alignment horizontal="center"/>
    </xf>
    <xf numFmtId="0" fontId="30" fillId="4" borderId="0" xfId="0" applyFont="1" applyFill="1" applyAlignment="1">
      <alignment horizontal="left" textRotation="45"/>
    </xf>
    <xf numFmtId="8" fontId="16" fillId="0" borderId="0" xfId="2" applyNumberFormat="1" applyFont="1" applyBorder="1"/>
    <xf numFmtId="0" fontId="11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14" fillId="5" borderId="6" xfId="0" applyFont="1" applyFill="1" applyBorder="1"/>
    <xf numFmtId="181" fontId="14" fillId="0" borderId="0" xfId="0" applyNumberFormat="1" applyFont="1"/>
    <xf numFmtId="0" fontId="24" fillId="2" borderId="0" xfId="0" applyFont="1" applyFill="1"/>
    <xf numFmtId="8" fontId="19" fillId="2" borderId="0" xfId="0" applyNumberFormat="1" applyFont="1" applyFill="1"/>
    <xf numFmtId="8" fontId="25" fillId="2" borderId="0" xfId="0" applyNumberFormat="1" applyFont="1" applyFill="1"/>
    <xf numFmtId="8" fontId="0" fillId="2" borderId="0" xfId="0" applyNumberFormat="1" applyFill="1"/>
    <xf numFmtId="8" fontId="0" fillId="4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</xdr:row>
      <xdr:rowOff>0</xdr:rowOff>
    </xdr:from>
    <xdr:to>
      <xdr:col>9</xdr:col>
      <xdr:colOff>209550</xdr:colOff>
      <xdr:row>5</xdr:row>
      <xdr:rowOff>66675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388EC8FB-B16D-4464-9114-C308E7170CE4}"/>
            </a:ext>
          </a:extLst>
        </xdr:cNvPr>
        <xdr:cNvSpPr>
          <a:spLocks noChangeShapeType="1"/>
        </xdr:cNvSpPr>
      </xdr:nvSpPr>
      <xdr:spPr bwMode="auto">
        <a:xfrm>
          <a:off x="8258175" y="762000"/>
          <a:ext cx="0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NA%20Billing%204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ed Vols"/>
      <sheetName val="Net Summary"/>
      <sheetName val="GDD Prices"/>
      <sheetName val="$ VOLS"/>
      <sheetName val="199-BM"/>
      <sheetName val="199-WFS"/>
      <sheetName val="HI 235"/>
      <sheetName val="WCAM 39"/>
      <sheetName val="VERM 84"/>
      <sheetName val="EC 152"/>
      <sheetName val="SP 18"/>
      <sheetName val="Galv 249 L"/>
      <sheetName val="HI 235-flash"/>
      <sheetName val="WCAM 522"/>
      <sheetName val="GB 367"/>
      <sheetName val="Ver 375"/>
      <sheetName val="BRAZ 368"/>
      <sheetName val="STIM 212"/>
      <sheetName val="STIM 220"/>
      <sheetName val="NPI 883"/>
      <sheetName val="EC 138"/>
    </sheetNames>
    <sheetDataSet>
      <sheetData sheetId="0"/>
      <sheetData sheetId="1"/>
      <sheetData sheetId="2"/>
      <sheetData sheetId="3">
        <row r="25">
          <cell r="G2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OutlineSymbols="0" workbookViewId="0">
      <pane xSplit="4" topLeftCell="E1" activePane="topRight" state="frozen"/>
      <selection pane="topRight" activeCell="G13" sqref="G13"/>
    </sheetView>
  </sheetViews>
  <sheetFormatPr defaultRowHeight="12" outlineLevelRow="2" x14ac:dyDescent="0.15"/>
  <cols>
    <col min="3" max="3" width="4.25" customWidth="1"/>
    <col min="4" max="4" width="8.5" customWidth="1"/>
    <col min="5" max="5" width="13.875" customWidth="1"/>
    <col min="6" max="6" width="16.125" customWidth="1"/>
    <col min="7" max="7" width="15.375" customWidth="1"/>
    <col min="8" max="8" width="14.375" customWidth="1"/>
    <col min="9" max="9" width="17.875" customWidth="1"/>
    <col min="10" max="10" width="17.5" style="135" hidden="1" customWidth="1"/>
    <col min="11" max="11" width="16.125" hidden="1" customWidth="1"/>
    <col min="12" max="13" width="15.25" style="137" customWidth="1"/>
  </cols>
  <sheetData>
    <row r="1" spans="1:13" x14ac:dyDescent="0.15">
      <c r="A1" s="90"/>
      <c r="B1" s="90"/>
      <c r="C1" s="90" t="s">
        <v>97</v>
      </c>
      <c r="D1" s="90"/>
      <c r="E1" s="90"/>
      <c r="F1" s="90"/>
      <c r="G1" s="90"/>
      <c r="H1" s="90"/>
      <c r="I1" s="90"/>
    </row>
    <row r="2" spans="1:13" x14ac:dyDescent="0.15">
      <c r="A2" s="91">
        <f ca="1">NOW()-31</f>
        <v>36975.644256250001</v>
      </c>
      <c r="B2" s="90"/>
      <c r="C2" s="90"/>
      <c r="D2" s="90"/>
      <c r="E2" s="90"/>
      <c r="F2" s="90"/>
      <c r="G2" s="90"/>
      <c r="H2" s="90"/>
      <c r="I2" s="90"/>
    </row>
    <row r="3" spans="1:13" x14ac:dyDescent="0.15">
      <c r="A3" s="92"/>
      <c r="B3" s="93" t="s">
        <v>98</v>
      </c>
      <c r="C3" s="92"/>
      <c r="D3" s="92"/>
      <c r="E3" s="92"/>
      <c r="F3" s="93" t="s">
        <v>99</v>
      </c>
      <c r="G3" s="93" t="s">
        <v>100</v>
      </c>
      <c r="H3" s="93" t="s">
        <v>101</v>
      </c>
      <c r="I3" s="93" t="s">
        <v>102</v>
      </c>
    </row>
    <row r="4" spans="1:13" outlineLevel="2" x14ac:dyDescent="0.15">
      <c r="A4" s="90"/>
      <c r="B4" s="90" t="str">
        <f>'ECAM 138-152'!B3</f>
        <v>EAST CAMERON 138/152</v>
      </c>
      <c r="C4" s="129"/>
      <c r="D4" s="90"/>
      <c r="E4" s="90"/>
      <c r="F4" s="94">
        <f>'ECAM 138-152'!I48</f>
        <v>0</v>
      </c>
      <c r="G4" s="94">
        <f>'ECAM 138-152'!I49</f>
        <v>0</v>
      </c>
      <c r="H4" s="94">
        <f>'ECAM 138-152'!I50</f>
        <v>0</v>
      </c>
      <c r="I4" s="94">
        <f>'ECAM 138-152'!I51</f>
        <v>0</v>
      </c>
      <c r="J4" s="136">
        <v>7372.94</v>
      </c>
      <c r="K4" s="132">
        <f>I4-J4</f>
        <v>-7372.94</v>
      </c>
    </row>
    <row r="5" spans="1:13" outlineLevel="2" x14ac:dyDescent="0.15">
      <c r="A5" s="90" t="s">
        <v>0</v>
      </c>
      <c r="B5" s="90" t="str">
        <f>'SP 18'!B3</f>
        <v>SOUTH PELTO 18</v>
      </c>
      <c r="C5" s="130"/>
      <c r="D5" s="90"/>
      <c r="E5" s="90"/>
      <c r="F5" s="94">
        <f>'SP 18'!G47</f>
        <v>55205.935839999984</v>
      </c>
      <c r="G5" s="94">
        <f>'SP 18'!G48</f>
        <v>218862.25496000002</v>
      </c>
      <c r="H5" s="94">
        <f>'SP 18'!G49</f>
        <v>0</v>
      </c>
      <c r="I5" s="94">
        <f>'SP 18'!G50</f>
        <v>274068.19079999998</v>
      </c>
      <c r="J5" s="136">
        <v>202059.95</v>
      </c>
      <c r="K5" s="132">
        <f>I5-J5</f>
        <v>72008.24079999997</v>
      </c>
    </row>
    <row r="6" spans="1:13" outlineLevel="2" x14ac:dyDescent="0.15">
      <c r="B6" s="130" t="s">
        <v>116</v>
      </c>
      <c r="C6" s="130"/>
      <c r="D6" s="130"/>
      <c r="E6" s="160"/>
      <c r="F6" s="94">
        <f>'GALV 249-L  250'!G47</f>
        <v>114288.87899275954</v>
      </c>
      <c r="G6" s="94">
        <f>'GALV 249-L  250'!G48</f>
        <v>0</v>
      </c>
      <c r="H6" s="94">
        <f>'GALV 249-L  250'!G49</f>
        <v>-116.14241957500026</v>
      </c>
      <c r="I6" s="94">
        <f>'GALV 249-L  250'!G50</f>
        <v>114172.73657318453</v>
      </c>
      <c r="J6" s="136">
        <v>0</v>
      </c>
      <c r="K6" s="132">
        <f>I6-J6</f>
        <v>114172.73657318453</v>
      </c>
    </row>
    <row r="7" spans="1:13" outlineLevel="2" x14ac:dyDescent="0.15">
      <c r="A7" s="90" t="s">
        <v>0</v>
      </c>
      <c r="B7" s="90" t="str">
        <f>'HI 235'!B3</f>
        <v>HIGH ISLAND 235</v>
      </c>
      <c r="C7" s="130"/>
      <c r="D7" s="90"/>
      <c r="E7" s="90"/>
      <c r="F7" s="94">
        <f>'HI 235'!G47</f>
        <v>8321.9741599999998</v>
      </c>
      <c r="G7" s="94">
        <f>'HI 235'!G48</f>
        <v>10443.6607</v>
      </c>
      <c r="H7" s="94">
        <f>'HI 235'!G49</f>
        <v>0</v>
      </c>
      <c r="I7" s="94">
        <f>'HI 235'!G50</f>
        <v>18765.634859999998</v>
      </c>
      <c r="J7" s="135">
        <v>1057599.6299999999</v>
      </c>
      <c r="K7" s="132">
        <f>I7-J7</f>
        <v>-1038833.9951399999</v>
      </c>
    </row>
    <row r="8" spans="1:13" outlineLevel="2" x14ac:dyDescent="0.15">
      <c r="A8" s="91" t="s">
        <v>0</v>
      </c>
      <c r="B8" s="130" t="str">
        <f>'HI 235-flash'!B3</f>
        <v>HIGH ISLAND 235 - FLASH</v>
      </c>
      <c r="C8" s="130"/>
      <c r="D8" s="130"/>
      <c r="E8" s="90"/>
      <c r="F8" s="94">
        <f>'HI 235-flash'!G47</f>
        <v>38942.36</v>
      </c>
      <c r="G8" s="94">
        <f>'HI 235-flash'!C120</f>
        <v>0</v>
      </c>
      <c r="H8" s="94">
        <f>'HI 235-flash'!G49</f>
        <v>0</v>
      </c>
      <c r="I8" s="94">
        <f>'HI 235-flash'!G50</f>
        <v>38942.36</v>
      </c>
    </row>
    <row r="9" spans="1:13" outlineLevel="2" x14ac:dyDescent="0.15">
      <c r="A9" s="91"/>
      <c r="B9" s="90" t="s">
        <v>119</v>
      </c>
      <c r="C9" s="90"/>
      <c r="D9" s="90"/>
      <c r="E9" s="90"/>
      <c r="F9" s="94">
        <f>'VERM376-375'!G47</f>
        <v>799811.74899999995</v>
      </c>
      <c r="G9" s="94">
        <f>'VERM376-375'!G48</f>
        <v>1026513.6079999999</v>
      </c>
      <c r="H9" s="94">
        <f>'VERM376-375'!G49</f>
        <v>0</v>
      </c>
      <c r="I9" s="94">
        <f>'VERM376-375'!G50</f>
        <v>1826325.3569999998</v>
      </c>
      <c r="J9" s="135">
        <v>1549859.57</v>
      </c>
      <c r="K9" s="132">
        <f t="shared" ref="K9:K15" si="0">I9-J9</f>
        <v>276465.78699999978</v>
      </c>
      <c r="L9" s="137" t="s">
        <v>0</v>
      </c>
      <c r="M9" s="137" t="s">
        <v>0</v>
      </c>
    </row>
    <row r="10" spans="1:13" outlineLevel="2" x14ac:dyDescent="0.15">
      <c r="A10" s="90"/>
      <c r="B10" s="90" t="str">
        <f>'WCAM 39'!B3</f>
        <v>WEST CAMERON 39</v>
      </c>
      <c r="C10" s="130"/>
      <c r="D10" s="90"/>
      <c r="E10" s="90"/>
      <c r="F10" s="94">
        <f>'WCAM 39'!G47</f>
        <v>142459.916</v>
      </c>
      <c r="G10" s="94">
        <f>'WCAM 39'!G48</f>
        <v>342387.04139999993</v>
      </c>
      <c r="H10" s="94">
        <f>'WCAM 39'!G49</f>
        <v>-22.76639999999994</v>
      </c>
      <c r="I10" s="94">
        <f>'WCAM 39'!G50</f>
        <v>484824.19099999993</v>
      </c>
      <c r="J10" s="136">
        <v>677005.19</v>
      </c>
      <c r="K10" s="132">
        <f t="shared" si="0"/>
        <v>-192180.99900000001</v>
      </c>
    </row>
    <row r="11" spans="1:13" outlineLevel="2" x14ac:dyDescent="0.15">
      <c r="A11" s="90"/>
      <c r="B11" s="90" t="str">
        <f>'WCAM 522-543'!B3</f>
        <v>WEST CAMERON 522/543</v>
      </c>
      <c r="C11" s="130"/>
      <c r="D11" s="90"/>
      <c r="E11" s="90"/>
      <c r="F11" s="94">
        <f>'WCAM 522-543'!I47</f>
        <v>6597.9240599999966</v>
      </c>
      <c r="G11" s="94">
        <f>'WCAM 522-543'!I48</f>
        <v>71857.815040000001</v>
      </c>
      <c r="H11" s="94">
        <f>'WCAM 522-543'!I49</f>
        <v>-37.915399999999984</v>
      </c>
      <c r="I11" s="94">
        <f>'WCAM 522-543'!I50</f>
        <v>78417.823699999994</v>
      </c>
      <c r="J11" s="135">
        <v>307628.42</v>
      </c>
      <c r="K11" s="132">
        <f t="shared" si="0"/>
        <v>-229210.59629999998</v>
      </c>
      <c r="L11" s="137" t="s">
        <v>0</v>
      </c>
      <c r="M11" s="137" t="s">
        <v>0</v>
      </c>
    </row>
    <row r="12" spans="1:13" outlineLevel="2" x14ac:dyDescent="0.15">
      <c r="A12" s="195" t="s">
        <v>152</v>
      </c>
      <c r="B12" s="160" t="str">
        <f>'HI 199'!C3</f>
        <v>HIGH ISLAND -199</v>
      </c>
      <c r="C12" s="160"/>
      <c r="D12" s="160"/>
      <c r="E12" s="160"/>
      <c r="F12" s="196">
        <f>'HI 199'!J47</f>
        <v>2922249.0029700003</v>
      </c>
      <c r="G12" s="196">
        <f>'HI 199'!J48</f>
        <v>6045998.0241299989</v>
      </c>
      <c r="H12" s="196">
        <f>'HI 199'!J49</f>
        <v>92816.701299999841</v>
      </c>
      <c r="I12" s="196">
        <f>'HI 199'!J50</f>
        <v>9061063.7283999994</v>
      </c>
      <c r="J12" s="197">
        <v>4588387.5</v>
      </c>
      <c r="K12" s="198">
        <f t="shared" si="0"/>
        <v>4472676.2283999994</v>
      </c>
      <c r="L12" s="199" t="s">
        <v>0</v>
      </c>
      <c r="M12" s="199" t="s">
        <v>0</v>
      </c>
    </row>
    <row r="13" spans="1:13" outlineLevel="2" x14ac:dyDescent="0.15">
      <c r="A13" s="90"/>
      <c r="B13" s="90" t="str">
        <f>'GB-236-367'!B3</f>
        <v>Garden Banks 236 /367</v>
      </c>
      <c r="C13" s="130"/>
      <c r="D13" s="90"/>
      <c r="E13" s="90"/>
      <c r="F13" s="94">
        <f>'GB-236-367'!G47</f>
        <v>519962.96187000041</v>
      </c>
      <c r="G13" s="94">
        <f>'GB-236-367'!G48</f>
        <v>1039045.9750686104</v>
      </c>
      <c r="H13" s="94">
        <f>'GB-236-367'!G49</f>
        <v>0</v>
      </c>
      <c r="I13" s="94">
        <f>'GB-236-367'!G50</f>
        <v>1559008.9369386109</v>
      </c>
      <c r="J13" s="136"/>
      <c r="K13" s="132"/>
    </row>
    <row r="14" spans="1:13" outlineLevel="2" x14ac:dyDescent="0.15">
      <c r="A14" s="90"/>
      <c r="B14" s="90" t="str">
        <f>'VERM 84'!B3</f>
        <v>VERMILION 84</v>
      </c>
      <c r="C14" s="130"/>
      <c r="D14" s="90" t="s">
        <v>128</v>
      </c>
      <c r="E14" s="90"/>
      <c r="F14" s="94">
        <f>'VERM 84'!G47</f>
        <v>207989.52635999993</v>
      </c>
      <c r="G14" s="94">
        <f>'VERM 84'!G48</f>
        <v>225950.88359000007</v>
      </c>
      <c r="H14" s="94">
        <f>'VERM 84'!G49</f>
        <v>0</v>
      </c>
      <c r="I14" s="94">
        <f>'VERM 84'!G50</f>
        <v>433940.40995</v>
      </c>
      <c r="J14" s="136">
        <v>921659.28</v>
      </c>
      <c r="K14" s="132">
        <f t="shared" si="0"/>
        <v>-487718.87005000003</v>
      </c>
    </row>
    <row r="15" spans="1:13" outlineLevel="2" x14ac:dyDescent="0.15">
      <c r="A15" s="90"/>
      <c r="B15" s="90" t="str">
        <f>'BRAZ 368'!B3</f>
        <v>BRAZOS 368</v>
      </c>
      <c r="C15" s="130"/>
      <c r="D15" s="90"/>
      <c r="E15" s="90"/>
      <c r="F15" s="94">
        <f>'BRAZ 368'!G47</f>
        <v>91269.864881320013</v>
      </c>
      <c r="G15" s="94">
        <f>'BRAZ 368'!G48</f>
        <v>0</v>
      </c>
      <c r="H15" s="94">
        <f>'BRAZ 368'!G49</f>
        <v>-106.19790711999961</v>
      </c>
      <c r="I15" s="94">
        <f>'BRAZ 368'!G50</f>
        <v>91163.666974200009</v>
      </c>
      <c r="J15" s="136">
        <v>180962.63</v>
      </c>
      <c r="K15" s="132">
        <f t="shared" si="0"/>
        <v>-89798.963025799996</v>
      </c>
    </row>
    <row r="16" spans="1:13" ht="12.75" outlineLevel="1" thickBot="1" x14ac:dyDescent="0.2">
      <c r="A16" s="90"/>
      <c r="B16" s="90"/>
      <c r="C16" s="90"/>
      <c r="D16" s="90"/>
      <c r="E16" s="90"/>
      <c r="F16" s="157">
        <f>SUM(F4:F15)</f>
        <v>4907100.0941340802</v>
      </c>
      <c r="G16" s="157">
        <f>SUM(G4:G15)</f>
        <v>8981059.2628886085</v>
      </c>
      <c r="H16" s="157">
        <f>SUM(H4:H15)</f>
        <v>92533.67917330483</v>
      </c>
      <c r="I16" s="158">
        <f>SUM(I4:I15)</f>
        <v>13980693.036195995</v>
      </c>
      <c r="J16" s="135">
        <f>SUM(J4:J15)-J6</f>
        <v>9492535.1099999994</v>
      </c>
      <c r="K16" s="132">
        <f>SUM(K4:K15)</f>
        <v>2890206.6292573838</v>
      </c>
      <c r="M16" s="137" t="s">
        <v>0</v>
      </c>
    </row>
    <row r="17" spans="1:9" ht="22.5" customHeight="1" outlineLevel="1" thickTop="1" x14ac:dyDescent="0.15">
      <c r="A17" s="90"/>
      <c r="B17" s="127" t="s">
        <v>118</v>
      </c>
      <c r="C17" s="90"/>
      <c r="D17" s="90"/>
      <c r="E17" s="90"/>
      <c r="F17" s="90"/>
      <c r="G17" s="90"/>
      <c r="H17" s="90"/>
      <c r="I17" s="120">
        <v>0</v>
      </c>
    </row>
    <row r="19" spans="1:9" ht="12.75" thickBot="1" x14ac:dyDescent="0.2">
      <c r="B19" s="133" t="s">
        <v>123</v>
      </c>
      <c r="F19" s="132">
        <f>F16</f>
        <v>4907100.0941340802</v>
      </c>
      <c r="G19" s="132">
        <f>G16</f>
        <v>8981059.2628886085</v>
      </c>
      <c r="H19" s="132">
        <f>H16</f>
        <v>92533.67917330483</v>
      </c>
      <c r="I19" s="134">
        <f>I16</f>
        <v>13980693.036195995</v>
      </c>
    </row>
    <row r="20" spans="1:9" ht="12.75" thickTop="1" x14ac:dyDescent="0.15"/>
    <row r="21" spans="1:9" x14ac:dyDescent="0.15">
      <c r="H21" t="s">
        <v>158</v>
      </c>
      <c r="I21" s="137">
        <v>13845097.59</v>
      </c>
    </row>
    <row r="23" spans="1:9" x14ac:dyDescent="0.15">
      <c r="H23" s="71" t="s">
        <v>157</v>
      </c>
      <c r="I23" s="132">
        <f>+I19-I21</f>
        <v>135595.44619599544</v>
      </c>
    </row>
  </sheetData>
  <phoneticPr fontId="0" type="noConversion"/>
  <pageMargins left="0.2" right="0.3" top="0.21" bottom="0.21" header="0.17" footer="0.2"/>
  <pageSetup scale="9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42" workbookViewId="0">
      <selection activeCell="G12" sqref="G12"/>
    </sheetView>
  </sheetViews>
  <sheetFormatPr defaultRowHeight="12" x14ac:dyDescent="0.15"/>
  <cols>
    <col min="1" max="1" width="9" style="125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9.75" customHeight="1" x14ac:dyDescent="0.2">
      <c r="A1" s="123" t="s">
        <v>0</v>
      </c>
      <c r="B1" s="2"/>
      <c r="C1" s="171"/>
      <c r="I1" s="31"/>
    </row>
    <row r="2" spans="1:10" s="10" customFormat="1" ht="22.5" x14ac:dyDescent="0.3">
      <c r="A2" s="12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124"/>
      <c r="B3" s="19" t="str">
        <f>'$ VOLS'!F23</f>
        <v>Vermilion 375/376</v>
      </c>
      <c r="C3" s="172"/>
      <c r="D3" s="5"/>
      <c r="E3" s="83" t="s">
        <v>0</v>
      </c>
      <c r="F3" s="5"/>
      <c r="G3" s="5" t="s">
        <v>0</v>
      </c>
      <c r="I3" s="38"/>
    </row>
    <row r="4" spans="1:10" s="10" customFormat="1" ht="18.75" x14ac:dyDescent="0.3">
      <c r="A4" s="124"/>
      <c r="B4" s="81">
        <f>+'$ VOLS'!B6</f>
        <v>36951</v>
      </c>
      <c r="C4" s="172"/>
      <c r="D4" s="5"/>
      <c r="E4" s="68" t="s">
        <v>120</v>
      </c>
      <c r="F4" s="5"/>
      <c r="G4" s="5" t="s">
        <v>0</v>
      </c>
      <c r="I4" s="38"/>
    </row>
    <row r="5" spans="1:10" s="10" customFormat="1" ht="13.5" customHeight="1" x14ac:dyDescent="0.2">
      <c r="A5" s="124"/>
      <c r="B5" s="4"/>
      <c r="C5" s="172"/>
      <c r="D5" s="5"/>
      <c r="E5" s="83" t="s">
        <v>0</v>
      </c>
      <c r="F5" s="5"/>
      <c r="G5" s="5" t="s">
        <v>0</v>
      </c>
      <c r="I5" s="34"/>
    </row>
    <row r="6" spans="1:10" s="5" customFormat="1" ht="12.75" x14ac:dyDescent="0.2">
      <c r="A6" s="124"/>
      <c r="B6" s="5" t="s">
        <v>10</v>
      </c>
      <c r="C6" s="172"/>
      <c r="D6" s="9">
        <f>'$ VOLS'!G23</f>
        <v>4663</v>
      </c>
      <c r="G6"/>
      <c r="I6" s="34"/>
    </row>
    <row r="7" spans="1:10" s="5" customFormat="1" ht="12.75" x14ac:dyDescent="0.2">
      <c r="A7" s="124"/>
      <c r="B7" s="5" t="s">
        <v>11</v>
      </c>
      <c r="C7" s="172"/>
      <c r="D7" s="9">
        <f>+D6*1.1</f>
        <v>5129.3</v>
      </c>
      <c r="G7"/>
      <c r="I7" s="34"/>
    </row>
    <row r="8" spans="1:10" s="5" customFormat="1" ht="12.75" x14ac:dyDescent="0.2">
      <c r="A8" s="124"/>
      <c r="B8" s="5" t="s">
        <v>12</v>
      </c>
      <c r="C8" s="172"/>
      <c r="D8" s="9">
        <f>+D6*0.9</f>
        <v>4196.7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">
      <c r="A9" s="124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124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12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">
      <c r="A12" s="126">
        <f>'$ VOLS'!I114</f>
        <v>5.12</v>
      </c>
      <c r="B12" s="21">
        <v>36951</v>
      </c>
      <c r="C12" s="181">
        <f>3642+8500</f>
        <v>12142</v>
      </c>
      <c r="D12" s="6">
        <f t="shared" ref="D12:D42" si="0">IF(C12&gt;$D$7,$D$7,C12)</f>
        <v>5129.3</v>
      </c>
      <c r="E12" s="6">
        <f t="shared" ref="E12:E41" si="1">IF(C12&gt;$D$7,C12-D12,0)</f>
        <v>7012.7</v>
      </c>
      <c r="F12" s="6">
        <v>0</v>
      </c>
      <c r="G12" s="67">
        <f t="shared" ref="G12:G42" si="2">ROUND(A12-$J$47-(A12-$J$47)*$J$48,4)</f>
        <v>5.12</v>
      </c>
      <c r="H12" s="40">
        <f t="shared" ref="H12:H42" si="3">+G12*E12</f>
        <v>35905.023999999998</v>
      </c>
      <c r="I12" s="33">
        <f t="shared" ref="I12:I42" si="4">IF(G12&gt;$F$47,($F$47-G12)*F12,0)</f>
        <v>0</v>
      </c>
      <c r="J12" s="80">
        <f>A12*$J$11</f>
        <v>5.2275199999999993</v>
      </c>
    </row>
    <row r="13" spans="1:10" s="5" customFormat="1" ht="14.25" customHeight="1" x14ac:dyDescent="0.2">
      <c r="A13" s="126">
        <f>'$ VOLS'!I115</f>
        <v>5.04</v>
      </c>
      <c r="B13" s="21">
        <f t="shared" ref="B13:B40" si="5">+B12+1</f>
        <v>36952</v>
      </c>
      <c r="C13" s="172">
        <f>3644+8504</f>
        <v>12148</v>
      </c>
      <c r="D13" s="6">
        <f t="shared" si="0"/>
        <v>5129.3</v>
      </c>
      <c r="E13" s="6">
        <f t="shared" si="1"/>
        <v>7018.7</v>
      </c>
      <c r="F13" s="6">
        <v>0</v>
      </c>
      <c r="G13" s="67">
        <f t="shared" si="2"/>
        <v>5.04</v>
      </c>
      <c r="H13" s="40">
        <f t="shared" si="3"/>
        <v>35374.248</v>
      </c>
      <c r="I13" s="33">
        <f t="shared" si="4"/>
        <v>0</v>
      </c>
      <c r="J13" s="80">
        <f t="shared" ref="J13:J42" si="6">C13*$J$11</f>
        <v>12403.107999999998</v>
      </c>
    </row>
    <row r="14" spans="1:10" s="5" customFormat="1" ht="14.25" customHeight="1" x14ac:dyDescent="0.2">
      <c r="A14" s="126">
        <f>'$ VOLS'!I116</f>
        <v>5.01</v>
      </c>
      <c r="B14" s="21">
        <f t="shared" si="5"/>
        <v>36953</v>
      </c>
      <c r="C14" s="172">
        <f>3638+8488</f>
        <v>12126</v>
      </c>
      <c r="D14" s="6">
        <f t="shared" si="0"/>
        <v>5129.3</v>
      </c>
      <c r="E14" s="6">
        <f t="shared" si="1"/>
        <v>6996.7</v>
      </c>
      <c r="F14" s="6">
        <v>0</v>
      </c>
      <c r="G14" s="67">
        <f t="shared" si="2"/>
        <v>5.01</v>
      </c>
      <c r="H14" s="40">
        <f t="shared" si="3"/>
        <v>35053.466999999997</v>
      </c>
      <c r="I14" s="33">
        <f t="shared" si="4"/>
        <v>0</v>
      </c>
      <c r="J14" s="80">
        <f t="shared" si="6"/>
        <v>12380.645999999999</v>
      </c>
    </row>
    <row r="15" spans="1:10" s="5" customFormat="1" ht="14.25" customHeight="1" x14ac:dyDescent="0.2">
      <c r="A15" s="126">
        <f>'$ VOLS'!I117</f>
        <v>5.01</v>
      </c>
      <c r="B15" s="21">
        <f t="shared" si="5"/>
        <v>36954</v>
      </c>
      <c r="C15" s="172">
        <f>3592+8382</f>
        <v>11974</v>
      </c>
      <c r="D15" s="6">
        <f t="shared" si="0"/>
        <v>5129.3</v>
      </c>
      <c r="E15" s="6">
        <f t="shared" si="1"/>
        <v>6844.7</v>
      </c>
      <c r="F15" s="6">
        <v>0</v>
      </c>
      <c r="G15" s="67">
        <f t="shared" si="2"/>
        <v>5.01</v>
      </c>
      <c r="H15" s="40">
        <f t="shared" si="3"/>
        <v>34291.947</v>
      </c>
      <c r="I15" s="33">
        <f t="shared" si="4"/>
        <v>0</v>
      </c>
      <c r="J15" s="80">
        <f t="shared" si="6"/>
        <v>12225.454</v>
      </c>
    </row>
    <row r="16" spans="1:10" s="5" customFormat="1" ht="14.25" customHeight="1" x14ac:dyDescent="0.2">
      <c r="A16" s="126">
        <f>'$ VOLS'!I118</f>
        <v>5.01</v>
      </c>
      <c r="B16" s="21">
        <f t="shared" si="5"/>
        <v>36955</v>
      </c>
      <c r="C16" s="172">
        <f>3625+8460</f>
        <v>12085</v>
      </c>
      <c r="D16" s="6">
        <f t="shared" si="0"/>
        <v>5129.3</v>
      </c>
      <c r="E16" s="6">
        <f t="shared" si="1"/>
        <v>6955.7</v>
      </c>
      <c r="F16" s="6">
        <v>0</v>
      </c>
      <c r="G16" s="67">
        <f t="shared" si="2"/>
        <v>5.01</v>
      </c>
      <c r="H16" s="40">
        <f t="shared" si="3"/>
        <v>34848.057000000001</v>
      </c>
      <c r="I16" s="33">
        <f t="shared" si="4"/>
        <v>0</v>
      </c>
      <c r="J16" s="80">
        <f t="shared" si="6"/>
        <v>12338.784999999998</v>
      </c>
    </row>
    <row r="17" spans="1:10" s="5" customFormat="1" ht="14.25" customHeight="1" x14ac:dyDescent="0.2">
      <c r="A17" s="126">
        <f>'$ VOLS'!I119</f>
        <v>5.2649999999999997</v>
      </c>
      <c r="B17" s="21">
        <f t="shared" si="5"/>
        <v>36956</v>
      </c>
      <c r="C17" s="172">
        <f>3610+8425</f>
        <v>12035</v>
      </c>
      <c r="D17" s="6">
        <f t="shared" si="0"/>
        <v>5129.3</v>
      </c>
      <c r="E17" s="6">
        <f t="shared" si="1"/>
        <v>6905.7</v>
      </c>
      <c r="F17" s="6">
        <v>0</v>
      </c>
      <c r="G17" s="67">
        <f t="shared" si="2"/>
        <v>5.2649999999999997</v>
      </c>
      <c r="H17" s="40">
        <f t="shared" si="3"/>
        <v>36358.510499999997</v>
      </c>
      <c r="I17" s="33">
        <f t="shared" si="4"/>
        <v>0</v>
      </c>
      <c r="J17" s="80">
        <f t="shared" si="6"/>
        <v>12287.734999999999</v>
      </c>
    </row>
    <row r="18" spans="1:10" s="5" customFormat="1" ht="14.25" customHeight="1" x14ac:dyDescent="0.2">
      <c r="A18" s="126">
        <f>'$ VOLS'!I120</f>
        <v>5.2149999999999999</v>
      </c>
      <c r="B18" s="21">
        <f t="shared" si="5"/>
        <v>36957</v>
      </c>
      <c r="C18" s="172">
        <f>3554+8293</f>
        <v>11847</v>
      </c>
      <c r="D18" s="6">
        <f t="shared" si="0"/>
        <v>5129.3</v>
      </c>
      <c r="E18" s="6">
        <f t="shared" si="1"/>
        <v>6717.7</v>
      </c>
      <c r="F18" s="6">
        <v>0</v>
      </c>
      <c r="G18" s="67">
        <f t="shared" si="2"/>
        <v>5.2149999999999999</v>
      </c>
      <c r="H18" s="40">
        <f t="shared" si="3"/>
        <v>35032.805499999995</v>
      </c>
      <c r="I18" s="33">
        <f t="shared" si="4"/>
        <v>0</v>
      </c>
      <c r="J18" s="80">
        <f t="shared" si="6"/>
        <v>12095.786999999998</v>
      </c>
    </row>
    <row r="19" spans="1:10" s="5" customFormat="1" ht="14.25" customHeight="1" x14ac:dyDescent="0.2">
      <c r="A19" s="126">
        <f>'$ VOLS'!I121</f>
        <v>5.18</v>
      </c>
      <c r="B19" s="21">
        <f t="shared" si="5"/>
        <v>36958</v>
      </c>
      <c r="C19" s="172">
        <f>3866+7912</f>
        <v>11778</v>
      </c>
      <c r="D19" s="6">
        <f t="shared" si="0"/>
        <v>5129.3</v>
      </c>
      <c r="E19" s="6">
        <f t="shared" si="1"/>
        <v>6648.7</v>
      </c>
      <c r="F19" s="6">
        <v>0</v>
      </c>
      <c r="G19" s="67">
        <f t="shared" si="2"/>
        <v>5.18</v>
      </c>
      <c r="H19" s="40">
        <f t="shared" si="3"/>
        <v>34440.265999999996</v>
      </c>
      <c r="I19" s="33">
        <f t="shared" si="4"/>
        <v>0</v>
      </c>
      <c r="J19" s="80">
        <f t="shared" si="6"/>
        <v>12025.338</v>
      </c>
    </row>
    <row r="20" spans="1:10" s="5" customFormat="1" ht="14.25" customHeight="1" x14ac:dyDescent="0.2">
      <c r="A20" s="126">
        <f>'$ VOLS'!I122</f>
        <v>5.1950000000000003</v>
      </c>
      <c r="B20" s="21">
        <f t="shared" si="5"/>
        <v>36959</v>
      </c>
      <c r="C20" s="172">
        <f>3866+7914</f>
        <v>11780</v>
      </c>
      <c r="D20" s="6">
        <f t="shared" si="0"/>
        <v>5129.3</v>
      </c>
      <c r="E20" s="6">
        <f t="shared" si="1"/>
        <v>6650.7</v>
      </c>
      <c r="F20" s="6">
        <v>0</v>
      </c>
      <c r="G20" s="67">
        <f t="shared" si="2"/>
        <v>5.1950000000000003</v>
      </c>
      <c r="H20" s="40">
        <f t="shared" si="3"/>
        <v>34550.386500000001</v>
      </c>
      <c r="I20" s="33">
        <f t="shared" si="4"/>
        <v>0</v>
      </c>
      <c r="J20" s="80">
        <f t="shared" si="6"/>
        <v>12027.38</v>
      </c>
    </row>
    <row r="21" spans="1:10" s="5" customFormat="1" ht="14.25" customHeight="1" x14ac:dyDescent="0.2">
      <c r="A21" s="126">
        <f>'$ VOLS'!I123</f>
        <v>5.07</v>
      </c>
      <c r="B21" s="21">
        <f t="shared" si="5"/>
        <v>36960</v>
      </c>
      <c r="C21" s="172">
        <f>3702+7577</f>
        <v>11279</v>
      </c>
      <c r="D21" s="6">
        <f t="shared" si="0"/>
        <v>5129.3</v>
      </c>
      <c r="E21" s="6">
        <f t="shared" si="1"/>
        <v>6149.7</v>
      </c>
      <c r="F21" s="6">
        <v>0</v>
      </c>
      <c r="G21" s="67">
        <f t="shared" si="2"/>
        <v>5.07</v>
      </c>
      <c r="H21" s="40">
        <f t="shared" si="3"/>
        <v>31178.978999999999</v>
      </c>
      <c r="I21" s="33">
        <f t="shared" si="4"/>
        <v>0</v>
      </c>
      <c r="J21" s="80">
        <f t="shared" si="6"/>
        <v>11515.858999999999</v>
      </c>
    </row>
    <row r="22" spans="1:10" s="1" customFormat="1" ht="14.25" customHeight="1" x14ac:dyDescent="0.2">
      <c r="A22" s="126">
        <f>'$ VOLS'!I124</f>
        <v>5.07</v>
      </c>
      <c r="B22" s="21">
        <f t="shared" si="5"/>
        <v>36961</v>
      </c>
      <c r="C22" s="172">
        <f>3666+7504</f>
        <v>11170</v>
      </c>
      <c r="D22" s="6">
        <f t="shared" si="0"/>
        <v>5129.3</v>
      </c>
      <c r="E22" s="6">
        <f t="shared" si="1"/>
        <v>6040.7</v>
      </c>
      <c r="F22" s="6">
        <v>0</v>
      </c>
      <c r="G22" s="67">
        <f t="shared" si="2"/>
        <v>5.07</v>
      </c>
      <c r="H22" s="40">
        <f t="shared" si="3"/>
        <v>30626.349000000002</v>
      </c>
      <c r="I22" s="33">
        <f t="shared" si="4"/>
        <v>0</v>
      </c>
      <c r="J22" s="80">
        <f t="shared" si="6"/>
        <v>11404.57</v>
      </c>
    </row>
    <row r="23" spans="1:10" s="1" customFormat="1" ht="14.25" customHeight="1" x14ac:dyDescent="0.2">
      <c r="A23" s="126">
        <f>'$ VOLS'!I125</f>
        <v>5.07</v>
      </c>
      <c r="B23" s="21">
        <f t="shared" si="5"/>
        <v>36962</v>
      </c>
      <c r="C23" s="172">
        <f>3851+7884</f>
        <v>11735</v>
      </c>
      <c r="D23" s="6">
        <f t="shared" si="0"/>
        <v>5129.3</v>
      </c>
      <c r="E23" s="6">
        <f t="shared" si="1"/>
        <v>6605.7</v>
      </c>
      <c r="F23" s="6">
        <v>0</v>
      </c>
      <c r="G23" s="67">
        <f t="shared" si="2"/>
        <v>5.07</v>
      </c>
      <c r="H23" s="40">
        <f t="shared" si="3"/>
        <v>33490.898999999998</v>
      </c>
      <c r="I23" s="33">
        <f t="shared" si="4"/>
        <v>0</v>
      </c>
      <c r="J23" s="80">
        <f t="shared" si="6"/>
        <v>11981.434999999999</v>
      </c>
    </row>
    <row r="24" spans="1:10" s="5" customFormat="1" ht="14.25" customHeight="1" x14ac:dyDescent="0.2">
      <c r="A24" s="126">
        <f>'$ VOLS'!I126</f>
        <v>4.9349999999999996</v>
      </c>
      <c r="B24" s="21">
        <f t="shared" si="5"/>
        <v>36963</v>
      </c>
      <c r="C24" s="172">
        <f>3851+7597</f>
        <v>11448</v>
      </c>
      <c r="D24" s="6">
        <f t="shared" si="0"/>
        <v>5129.3</v>
      </c>
      <c r="E24" s="6">
        <f t="shared" si="1"/>
        <v>6318.7</v>
      </c>
      <c r="F24" s="6">
        <v>0</v>
      </c>
      <c r="G24" s="67">
        <f t="shared" si="2"/>
        <v>4.9349999999999996</v>
      </c>
      <c r="H24" s="40">
        <f t="shared" si="3"/>
        <v>31182.784499999998</v>
      </c>
      <c r="I24" s="33">
        <f t="shared" si="4"/>
        <v>0</v>
      </c>
      <c r="J24" s="80">
        <f t="shared" si="6"/>
        <v>11688.407999999999</v>
      </c>
    </row>
    <row r="25" spans="1:10" s="1" customFormat="1" ht="14.25" customHeight="1" x14ac:dyDescent="0.2">
      <c r="A25" s="126">
        <f>'$ VOLS'!I127</f>
        <v>5.04</v>
      </c>
      <c r="B25" s="21">
        <f t="shared" si="5"/>
        <v>36964</v>
      </c>
      <c r="C25" s="172">
        <f>3711+7902</f>
        <v>11613</v>
      </c>
      <c r="D25" s="6">
        <f t="shared" si="0"/>
        <v>5129.3</v>
      </c>
      <c r="E25" s="6">
        <f t="shared" si="1"/>
        <v>6483.7</v>
      </c>
      <c r="F25" s="6">
        <v>0</v>
      </c>
      <c r="G25" s="67">
        <f t="shared" si="2"/>
        <v>5.04</v>
      </c>
      <c r="H25" s="40">
        <f t="shared" si="3"/>
        <v>32677.847999999998</v>
      </c>
      <c r="I25" s="33">
        <f t="shared" si="4"/>
        <v>0</v>
      </c>
      <c r="J25" s="80">
        <f t="shared" si="6"/>
        <v>11856.873</v>
      </c>
    </row>
    <row r="26" spans="1:10" s="1" customFormat="1" ht="14.25" customHeight="1" x14ac:dyDescent="0.2">
      <c r="A26" s="126">
        <f>'$ VOLS'!I128</f>
        <v>4.9249999999999998</v>
      </c>
      <c r="B26" s="21">
        <f t="shared" si="5"/>
        <v>36965</v>
      </c>
      <c r="C26" s="172">
        <f>3861+7899</f>
        <v>11760</v>
      </c>
      <c r="D26" s="6">
        <f t="shared" si="0"/>
        <v>5129.3</v>
      </c>
      <c r="E26" s="6">
        <f t="shared" si="1"/>
        <v>6630.7</v>
      </c>
      <c r="F26" s="6">
        <v>0</v>
      </c>
      <c r="G26" s="67">
        <f t="shared" si="2"/>
        <v>4.9249999999999998</v>
      </c>
      <c r="H26" s="40">
        <f t="shared" si="3"/>
        <v>32656.197499999998</v>
      </c>
      <c r="I26" s="33">
        <f t="shared" si="4"/>
        <v>0</v>
      </c>
      <c r="J26" s="80">
        <f t="shared" si="6"/>
        <v>12006.96</v>
      </c>
    </row>
    <row r="27" spans="1:10" s="1" customFormat="1" ht="14.25" customHeight="1" x14ac:dyDescent="0.2">
      <c r="A27" s="126">
        <f>'$ VOLS'!I129</f>
        <v>4.875</v>
      </c>
      <c r="B27" s="21">
        <f t="shared" si="5"/>
        <v>36966</v>
      </c>
      <c r="C27" s="172">
        <f>3859+7892</f>
        <v>11751</v>
      </c>
      <c r="D27" s="6">
        <f t="shared" si="0"/>
        <v>5129.3</v>
      </c>
      <c r="E27" s="6">
        <f t="shared" si="1"/>
        <v>6621.7</v>
      </c>
      <c r="F27" s="6">
        <v>0</v>
      </c>
      <c r="G27" s="67">
        <f t="shared" si="2"/>
        <v>4.875</v>
      </c>
      <c r="H27" s="40">
        <f t="shared" si="3"/>
        <v>32280.787499999999</v>
      </c>
      <c r="I27" s="33">
        <f t="shared" si="4"/>
        <v>0</v>
      </c>
      <c r="J27" s="80">
        <f t="shared" si="6"/>
        <v>11997.770999999999</v>
      </c>
    </row>
    <row r="28" spans="1:10" s="1" customFormat="1" ht="14.25" customHeight="1" x14ac:dyDescent="0.2">
      <c r="A28" s="126">
        <f>'$ VOLS'!I130</f>
        <v>4.95</v>
      </c>
      <c r="B28" s="21">
        <f t="shared" si="5"/>
        <v>36967</v>
      </c>
      <c r="C28" s="172">
        <f>3856+7862</f>
        <v>11718</v>
      </c>
      <c r="D28" s="6">
        <f t="shared" si="0"/>
        <v>5129.3</v>
      </c>
      <c r="E28" s="6">
        <f t="shared" si="1"/>
        <v>6588.7</v>
      </c>
      <c r="F28" s="6">
        <v>0</v>
      </c>
      <c r="G28" s="67">
        <f t="shared" si="2"/>
        <v>4.95</v>
      </c>
      <c r="H28" s="40">
        <f t="shared" si="3"/>
        <v>32614.064999999999</v>
      </c>
      <c r="I28" s="33">
        <f t="shared" si="4"/>
        <v>0</v>
      </c>
      <c r="J28" s="80">
        <f t="shared" si="6"/>
        <v>11964.078</v>
      </c>
    </row>
    <row r="29" spans="1:10" s="1" customFormat="1" ht="14.25" customHeight="1" x14ac:dyDescent="0.2">
      <c r="A29" s="126">
        <f>'$ VOLS'!I131</f>
        <v>4.95</v>
      </c>
      <c r="B29" s="21">
        <f t="shared" si="5"/>
        <v>36968</v>
      </c>
      <c r="C29" s="172">
        <f>3841+7854</f>
        <v>11695</v>
      </c>
      <c r="D29" s="6">
        <f t="shared" si="0"/>
        <v>5129.3</v>
      </c>
      <c r="E29" s="6">
        <f t="shared" si="1"/>
        <v>6565.7</v>
      </c>
      <c r="F29" s="6">
        <v>0</v>
      </c>
      <c r="G29" s="67">
        <f t="shared" si="2"/>
        <v>4.95</v>
      </c>
      <c r="H29" s="40">
        <f t="shared" si="3"/>
        <v>32500.215</v>
      </c>
      <c r="I29" s="33">
        <f t="shared" si="4"/>
        <v>0</v>
      </c>
      <c r="J29" s="80">
        <f t="shared" si="6"/>
        <v>11940.594999999999</v>
      </c>
    </row>
    <row r="30" spans="1:10" s="1" customFormat="1" ht="14.25" customHeight="1" x14ac:dyDescent="0.2">
      <c r="A30" s="126">
        <f>'$ VOLS'!I132</f>
        <v>4.95</v>
      </c>
      <c r="B30" s="21">
        <f t="shared" si="5"/>
        <v>36969</v>
      </c>
      <c r="C30" s="172">
        <f>3837+7844</f>
        <v>11681</v>
      </c>
      <c r="D30" s="6">
        <f t="shared" si="0"/>
        <v>5129.3</v>
      </c>
      <c r="E30" s="6">
        <f t="shared" si="1"/>
        <v>6551.7</v>
      </c>
      <c r="F30" s="6">
        <v>0</v>
      </c>
      <c r="G30" s="67">
        <f t="shared" si="2"/>
        <v>4.95</v>
      </c>
      <c r="H30" s="40">
        <f t="shared" si="3"/>
        <v>32430.915000000001</v>
      </c>
      <c r="I30" s="33">
        <f t="shared" si="4"/>
        <v>0</v>
      </c>
      <c r="J30" s="80">
        <f t="shared" si="6"/>
        <v>11926.300999999999</v>
      </c>
    </row>
    <row r="31" spans="1:10" s="1" customFormat="1" ht="14.25" customHeight="1" x14ac:dyDescent="0.2">
      <c r="A31" s="126">
        <f>'$ VOLS'!I133</f>
        <v>5.01</v>
      </c>
      <c r="B31" s="21">
        <f t="shared" si="5"/>
        <v>36970</v>
      </c>
      <c r="C31" s="172">
        <f>3832+7747</f>
        <v>11579</v>
      </c>
      <c r="D31" s="6">
        <f t="shared" si="0"/>
        <v>5129.3</v>
      </c>
      <c r="E31" s="6">
        <f t="shared" si="1"/>
        <v>6449.7</v>
      </c>
      <c r="F31" s="6">
        <v>0</v>
      </c>
      <c r="G31" s="67">
        <f t="shared" si="2"/>
        <v>5.01</v>
      </c>
      <c r="H31" s="40">
        <f t="shared" si="3"/>
        <v>32312.996999999999</v>
      </c>
      <c r="I31" s="33">
        <f t="shared" si="4"/>
        <v>0</v>
      </c>
      <c r="J31" s="80">
        <f t="shared" si="6"/>
        <v>11822.159</v>
      </c>
    </row>
    <row r="32" spans="1:10" s="1" customFormat="1" ht="14.25" customHeight="1" x14ac:dyDescent="0.2">
      <c r="A32" s="126">
        <f>'$ VOLS'!I134</f>
        <v>5.0049999999999999</v>
      </c>
      <c r="B32" s="21">
        <f t="shared" si="5"/>
        <v>36971</v>
      </c>
      <c r="C32" s="172">
        <f>3785+7797</f>
        <v>11582</v>
      </c>
      <c r="D32" s="6">
        <f t="shared" si="0"/>
        <v>5129.3</v>
      </c>
      <c r="E32" s="6">
        <f t="shared" si="1"/>
        <v>6452.7</v>
      </c>
      <c r="F32" s="6">
        <v>0</v>
      </c>
      <c r="G32" s="67">
        <f t="shared" si="2"/>
        <v>5.0049999999999999</v>
      </c>
      <c r="H32" s="40">
        <f t="shared" si="3"/>
        <v>32295.763499999997</v>
      </c>
      <c r="I32" s="33">
        <f t="shared" si="4"/>
        <v>0</v>
      </c>
      <c r="J32" s="80">
        <f t="shared" si="6"/>
        <v>11825.222</v>
      </c>
    </row>
    <row r="33" spans="1:10" s="1" customFormat="1" ht="14.25" customHeight="1" x14ac:dyDescent="0.2">
      <c r="A33" s="126">
        <f>'$ VOLS'!I135</f>
        <v>5.1050000000000004</v>
      </c>
      <c r="B33" s="21">
        <f t="shared" si="5"/>
        <v>36972</v>
      </c>
      <c r="C33" s="172">
        <f>3809+7756</f>
        <v>11565</v>
      </c>
      <c r="D33" s="6">
        <f t="shared" si="0"/>
        <v>5129.3</v>
      </c>
      <c r="E33" s="6">
        <f t="shared" si="1"/>
        <v>6435.7</v>
      </c>
      <c r="F33" s="6">
        <v>0</v>
      </c>
      <c r="G33" s="67">
        <f t="shared" si="2"/>
        <v>5.1050000000000004</v>
      </c>
      <c r="H33" s="40">
        <f t="shared" si="3"/>
        <v>32854.248500000002</v>
      </c>
      <c r="I33" s="33">
        <f t="shared" si="4"/>
        <v>0</v>
      </c>
      <c r="J33" s="80">
        <f t="shared" si="6"/>
        <v>11807.865</v>
      </c>
    </row>
    <row r="34" spans="1:10" s="1" customFormat="1" ht="14.25" customHeight="1" x14ac:dyDescent="0.2">
      <c r="A34" s="126">
        <f>'$ VOLS'!I136</f>
        <v>4.93</v>
      </c>
      <c r="B34" s="21">
        <f t="shared" si="5"/>
        <v>36973</v>
      </c>
      <c r="C34" s="172">
        <f>3789+7779</f>
        <v>11568</v>
      </c>
      <c r="D34" s="6">
        <f t="shared" si="0"/>
        <v>5129.3</v>
      </c>
      <c r="E34" s="6">
        <f t="shared" si="1"/>
        <v>6438.7</v>
      </c>
      <c r="F34" s="6">
        <v>0</v>
      </c>
      <c r="G34" s="67">
        <f t="shared" si="2"/>
        <v>4.93</v>
      </c>
      <c r="H34" s="40">
        <f t="shared" si="3"/>
        <v>31742.790999999997</v>
      </c>
      <c r="I34" s="33">
        <f t="shared" si="4"/>
        <v>0</v>
      </c>
      <c r="J34" s="80">
        <f t="shared" si="6"/>
        <v>11810.927999999998</v>
      </c>
    </row>
    <row r="35" spans="1:10" s="1" customFormat="1" ht="14.25" customHeight="1" x14ac:dyDescent="0.2">
      <c r="A35" s="126">
        <f>'$ VOLS'!I137</f>
        <v>5.15</v>
      </c>
      <c r="B35" s="21">
        <f t="shared" si="5"/>
        <v>36974</v>
      </c>
      <c r="C35" s="172">
        <f>3801+7823</f>
        <v>11624</v>
      </c>
      <c r="D35" s="6">
        <f t="shared" si="0"/>
        <v>5129.3</v>
      </c>
      <c r="E35" s="6">
        <f t="shared" si="1"/>
        <v>6494.7</v>
      </c>
      <c r="F35" s="6">
        <v>0</v>
      </c>
      <c r="G35" s="67">
        <f t="shared" si="2"/>
        <v>5.15</v>
      </c>
      <c r="H35" s="40">
        <f t="shared" si="3"/>
        <v>33447.705000000002</v>
      </c>
      <c r="I35" s="33">
        <f t="shared" si="4"/>
        <v>0</v>
      </c>
      <c r="J35" s="80">
        <f t="shared" si="6"/>
        <v>11868.103999999999</v>
      </c>
    </row>
    <row r="36" spans="1:10" s="1" customFormat="1" ht="14.25" customHeight="1" x14ac:dyDescent="0.2">
      <c r="A36" s="126">
        <f>'$ VOLS'!I138</f>
        <v>5.15</v>
      </c>
      <c r="B36" s="21">
        <f t="shared" si="5"/>
        <v>36975</v>
      </c>
      <c r="C36" s="172">
        <f>3822+7650</f>
        <v>11472</v>
      </c>
      <c r="D36" s="6">
        <f t="shared" si="0"/>
        <v>5129.3</v>
      </c>
      <c r="E36" s="6">
        <f t="shared" si="1"/>
        <v>6342.7</v>
      </c>
      <c r="F36" s="6">
        <v>0</v>
      </c>
      <c r="G36" s="67">
        <f t="shared" si="2"/>
        <v>5.15</v>
      </c>
      <c r="H36" s="40">
        <f t="shared" si="3"/>
        <v>32664.905000000002</v>
      </c>
      <c r="I36" s="33">
        <f t="shared" si="4"/>
        <v>0</v>
      </c>
      <c r="J36" s="80">
        <f t="shared" si="6"/>
        <v>11712.911999999998</v>
      </c>
    </row>
    <row r="37" spans="1:10" s="1" customFormat="1" ht="14.25" customHeight="1" x14ac:dyDescent="0.2">
      <c r="A37" s="126">
        <f>'$ VOLS'!I139</f>
        <v>5.15</v>
      </c>
      <c r="B37" s="21">
        <f t="shared" si="5"/>
        <v>36976</v>
      </c>
      <c r="C37" s="172">
        <f>3738+7455</f>
        <v>11193</v>
      </c>
      <c r="D37" s="6">
        <f t="shared" si="0"/>
        <v>5129.3</v>
      </c>
      <c r="E37" s="6">
        <f t="shared" si="1"/>
        <v>6063.7</v>
      </c>
      <c r="F37" s="6">
        <v>0</v>
      </c>
      <c r="G37" s="67">
        <f t="shared" si="2"/>
        <v>5.15</v>
      </c>
      <c r="H37" s="40">
        <f t="shared" si="3"/>
        <v>31228.055</v>
      </c>
      <c r="I37" s="33">
        <f t="shared" si="4"/>
        <v>0</v>
      </c>
      <c r="J37" s="80">
        <f t="shared" si="6"/>
        <v>11428.052999999998</v>
      </c>
    </row>
    <row r="38" spans="1:10" s="1" customFormat="1" ht="14.25" customHeight="1" x14ac:dyDescent="0.2">
      <c r="A38" s="126">
        <f>'$ VOLS'!I140</f>
        <v>5.15</v>
      </c>
      <c r="B38" s="21">
        <f t="shared" si="5"/>
        <v>36977</v>
      </c>
      <c r="C38" s="172">
        <f>3642+7626</f>
        <v>11268</v>
      </c>
      <c r="D38" s="6">
        <f t="shared" si="0"/>
        <v>5129.3</v>
      </c>
      <c r="E38" s="6">
        <f t="shared" si="1"/>
        <v>6138.7</v>
      </c>
      <c r="F38" s="6">
        <v>0</v>
      </c>
      <c r="G38" s="67">
        <f t="shared" si="2"/>
        <v>5.15</v>
      </c>
      <c r="H38" s="40">
        <f t="shared" si="3"/>
        <v>31614.305</v>
      </c>
      <c r="I38" s="33">
        <f t="shared" si="4"/>
        <v>0</v>
      </c>
      <c r="J38" s="80">
        <f t="shared" si="6"/>
        <v>11504.627999999999</v>
      </c>
    </row>
    <row r="39" spans="1:10" s="1" customFormat="1" ht="14.25" customHeight="1" x14ac:dyDescent="0.2">
      <c r="A39" s="126">
        <f>'$ VOLS'!I141</f>
        <v>5.35</v>
      </c>
      <c r="B39" s="21">
        <f t="shared" si="5"/>
        <v>36978</v>
      </c>
      <c r="C39" s="172">
        <f>3725+7789</f>
        <v>11514</v>
      </c>
      <c r="D39" s="6">
        <f t="shared" si="0"/>
        <v>5129.3</v>
      </c>
      <c r="E39" s="6">
        <f t="shared" si="1"/>
        <v>6384.7</v>
      </c>
      <c r="F39" s="6">
        <v>0</v>
      </c>
      <c r="G39" s="67">
        <f t="shared" si="2"/>
        <v>5.35</v>
      </c>
      <c r="H39" s="40">
        <f t="shared" si="3"/>
        <v>34158.144999999997</v>
      </c>
      <c r="I39" s="33">
        <f t="shared" si="4"/>
        <v>0</v>
      </c>
      <c r="J39" s="80">
        <f t="shared" si="6"/>
        <v>11755.793999999998</v>
      </c>
    </row>
    <row r="40" spans="1:10" s="1" customFormat="1" ht="14.25" customHeight="1" x14ac:dyDescent="0.2">
      <c r="A40" s="126">
        <f>'$ VOLS'!I142</f>
        <v>5.52</v>
      </c>
      <c r="B40" s="21">
        <f t="shared" si="5"/>
        <v>36979</v>
      </c>
      <c r="C40" s="172">
        <f>3806+7468</f>
        <v>11274</v>
      </c>
      <c r="D40" s="6">
        <f t="shared" si="0"/>
        <v>5129.3</v>
      </c>
      <c r="E40" s="6">
        <f t="shared" si="1"/>
        <v>6144.7</v>
      </c>
      <c r="F40" s="6">
        <v>0</v>
      </c>
      <c r="G40" s="67">
        <f t="shared" si="2"/>
        <v>5.52</v>
      </c>
      <c r="H40" s="40">
        <f t="shared" si="3"/>
        <v>33918.743999999999</v>
      </c>
      <c r="I40" s="33">
        <f t="shared" si="4"/>
        <v>0</v>
      </c>
      <c r="J40" s="80">
        <f t="shared" si="6"/>
        <v>11510.753999999999</v>
      </c>
    </row>
    <row r="41" spans="1:10" s="1" customFormat="1" ht="14.25" customHeight="1" x14ac:dyDescent="0.2">
      <c r="A41" s="126">
        <f>'$ VOLS'!I143</f>
        <v>5.29</v>
      </c>
      <c r="B41" s="21">
        <f>+B40+1</f>
        <v>36980</v>
      </c>
      <c r="C41" s="172">
        <f>3481+7124</f>
        <v>10605</v>
      </c>
      <c r="D41" s="6">
        <f t="shared" si="0"/>
        <v>5129.3</v>
      </c>
      <c r="E41" s="6">
        <f t="shared" si="1"/>
        <v>5475.7</v>
      </c>
      <c r="F41" s="6">
        <v>0</v>
      </c>
      <c r="G41" s="67">
        <f t="shared" si="2"/>
        <v>5.29</v>
      </c>
      <c r="H41" s="40">
        <f t="shared" si="3"/>
        <v>28966.452999999998</v>
      </c>
      <c r="I41" s="33">
        <f t="shared" si="4"/>
        <v>0</v>
      </c>
      <c r="J41" s="80">
        <f t="shared" si="6"/>
        <v>10827.705</v>
      </c>
    </row>
    <row r="42" spans="1:10" s="1" customFormat="1" ht="14.25" customHeight="1" x14ac:dyDescent="0.2">
      <c r="A42" s="121">
        <f>'$ VOLS'!C144</f>
        <v>5.35</v>
      </c>
      <c r="B42" s="21">
        <f>+B41+1</f>
        <v>36981</v>
      </c>
      <c r="C42" s="172">
        <f>3758+7692</f>
        <v>11450</v>
      </c>
      <c r="D42" s="6">
        <f t="shared" si="0"/>
        <v>5129.3</v>
      </c>
      <c r="E42" s="6">
        <f>IF(C42&gt;$D$7,C42-D42,0)</f>
        <v>6320.7</v>
      </c>
      <c r="F42" s="6">
        <v>0</v>
      </c>
      <c r="G42" s="67">
        <f t="shared" si="2"/>
        <v>5.35</v>
      </c>
      <c r="H42" s="40">
        <f t="shared" si="3"/>
        <v>33815.744999999995</v>
      </c>
      <c r="I42" s="33">
        <f t="shared" si="4"/>
        <v>0</v>
      </c>
      <c r="J42" s="80">
        <f t="shared" si="6"/>
        <v>11690.449999999999</v>
      </c>
    </row>
    <row r="43" spans="1:10" s="1" customFormat="1" ht="14.25" x14ac:dyDescent="0.2">
      <c r="A43" s="122">
        <f>AVERAGE(A12:A42)</f>
        <v>5.0980645161290328</v>
      </c>
      <c r="B43" s="21" t="s">
        <v>104</v>
      </c>
      <c r="C43" s="175">
        <f>SUM(C12:C42)</f>
        <v>360459</v>
      </c>
      <c r="D43" s="30">
        <f>SUM(D12:D42)</f>
        <v>159008.29999999999</v>
      </c>
      <c r="E43" s="30">
        <f>SUM(E12:E42)</f>
        <v>201450.7000000001</v>
      </c>
      <c r="F43" s="30">
        <f>SUM(F12:F42)</f>
        <v>0</v>
      </c>
      <c r="G43" s="85">
        <f>AVERAGE(G12:G42)</f>
        <v>5.0980645161290328</v>
      </c>
      <c r="H43" s="79">
        <f>SUM(H12:H42)</f>
        <v>1026513.6079999999</v>
      </c>
      <c r="I43" s="79">
        <f>SUM(I12:I42)</f>
        <v>0</v>
      </c>
      <c r="J43" s="5"/>
    </row>
    <row r="44" spans="1:10" s="1" customFormat="1" ht="12.75" x14ac:dyDescent="0.2">
      <c r="A44" s="123"/>
      <c r="B44" s="2"/>
      <c r="C44" s="171">
        <f>D43+E43</f>
        <v>360459.00000000012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123"/>
      <c r="B45" s="2" t="s">
        <v>0</v>
      </c>
      <c r="C45" s="172">
        <f>C43-C44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A46" s="123"/>
      <c r="C46" s="171"/>
      <c r="I46" s="31"/>
    </row>
    <row r="47" spans="1:10" s="1" customFormat="1" ht="14.25" x14ac:dyDescent="0.2">
      <c r="A47" s="123"/>
      <c r="B47" s="2"/>
      <c r="C47" s="175" t="s">
        <v>6</v>
      </c>
      <c r="D47" s="3"/>
      <c r="E47" s="23">
        <f>+D43</f>
        <v>159008.29999999999</v>
      </c>
      <c r="F47" s="24">
        <f>'$ VOLS'!E23</f>
        <v>5.03</v>
      </c>
      <c r="G47" s="17">
        <f>+F47*D43</f>
        <v>799811.74899999995</v>
      </c>
      <c r="I47" s="45" t="s">
        <v>22</v>
      </c>
      <c r="J47" s="46">
        <v>0</v>
      </c>
    </row>
    <row r="48" spans="1:10" s="1" customFormat="1" ht="14.25" x14ac:dyDescent="0.2">
      <c r="A48" s="123"/>
      <c r="B48" s="2"/>
      <c r="C48" s="175" t="s">
        <v>17</v>
      </c>
      <c r="D48" s="3"/>
      <c r="E48" s="23">
        <f>+E43</f>
        <v>201450.7000000001</v>
      </c>
      <c r="F48" s="3"/>
      <c r="G48" s="17">
        <f>+H43</f>
        <v>1026513.6079999999</v>
      </c>
      <c r="I48" s="31" t="s">
        <v>23</v>
      </c>
      <c r="J48" s="47">
        <v>0</v>
      </c>
    </row>
    <row r="49" spans="1:9" s="1" customFormat="1" ht="14.25" x14ac:dyDescent="0.2">
      <c r="A49" s="12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123"/>
      <c r="B50" s="2"/>
      <c r="C50" s="175"/>
      <c r="D50" s="3"/>
      <c r="E50" s="23">
        <f>SUM(E47:E49)</f>
        <v>360459.00000000012</v>
      </c>
      <c r="F50" s="41">
        <f>+G50/E50</f>
        <v>5.0666659925261941</v>
      </c>
      <c r="G50" s="26">
        <f>SUM(G47:G49)</f>
        <v>1826325.3569999998</v>
      </c>
      <c r="H50" s="37"/>
      <c r="I50" s="31"/>
    </row>
    <row r="51" spans="1:9" s="1" customFormat="1" ht="13.5" thickTop="1" x14ac:dyDescent="0.2">
      <c r="A51" s="123"/>
      <c r="B51" s="2" t="s">
        <v>0</v>
      </c>
      <c r="C51" s="171"/>
      <c r="I51" s="31"/>
    </row>
    <row r="52" spans="1:9" s="8" customFormat="1" ht="12" customHeight="1" x14ac:dyDescent="0.2">
      <c r="A52" s="124"/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124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7" workbookViewId="0">
      <selection activeCell="F42" sqref="F42"/>
    </sheetView>
  </sheetViews>
  <sheetFormatPr defaultRowHeight="12" x14ac:dyDescent="0.15"/>
  <cols>
    <col min="2" max="2" width="9" style="22"/>
    <col min="3" max="3" width="15.375" style="176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36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26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5"/>
      <c r="E4" s="83" t="s">
        <v>0</v>
      </c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VOLS'!G21</f>
        <v>685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753.50000000000011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616.5</v>
      </c>
      <c r="F8" s="11" t="s">
        <v>3</v>
      </c>
      <c r="G8" s="12" t="s">
        <v>33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64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">
      <c r="A12" s="82">
        <f>'$ VOLS'!E114</f>
        <v>5.31</v>
      </c>
      <c r="B12" s="21">
        <v>36951</v>
      </c>
      <c r="C12" s="172">
        <v>595.38709600000004</v>
      </c>
      <c r="D12" s="6">
        <f>IF(C12&gt;$D$7,$D$7,C12)</f>
        <v>595.38709600000004</v>
      </c>
      <c r="E12" s="6">
        <f>IF(C12&gt;$D$7,C12-D12,0)</f>
        <v>0</v>
      </c>
      <c r="F12" s="6">
        <f>IF(C12&lt;$D$8,$D$8-C12,0)</f>
        <v>21.112903999999958</v>
      </c>
      <c r="G12" s="15">
        <f>+A12-0.08</f>
        <v>5.2299999999999995</v>
      </c>
      <c r="H12" s="40">
        <f>+G12*E12</f>
        <v>0</v>
      </c>
      <c r="I12" s="33">
        <f t="shared" ref="I12:I42" si="0">IF(G12&gt;$F$47,($F$47-G12)*F12,0)</f>
        <v>-6.0171776399999723</v>
      </c>
      <c r="J12" s="80">
        <f>C12*$J$11</f>
        <v>609.6341138201841</v>
      </c>
    </row>
    <row r="13" spans="1:10" s="5" customFormat="1" ht="14.25" customHeight="1" x14ac:dyDescent="0.2">
      <c r="A13" s="82">
        <f>'$ VOLS'!E115</f>
        <v>5.2949999999999999</v>
      </c>
      <c r="B13" s="21">
        <f t="shared" ref="B13:B40" si="1">+B12+1</f>
        <v>36952</v>
      </c>
      <c r="C13" s="172">
        <v>595.38709600000004</v>
      </c>
      <c r="D13" s="6">
        <f t="shared" ref="D13:D42" si="2">IF(C13&gt;$D$7,$D$7,C13)</f>
        <v>595.38709600000004</v>
      </c>
      <c r="E13" s="6">
        <f t="shared" ref="E13:E42" si="3">IF(C13&gt;$D$7,C13-D13,0)</f>
        <v>0</v>
      </c>
      <c r="F13" s="6">
        <f t="shared" ref="F13:F42" si="4">IF(C13&lt;$D$8,$D$8-C13,0)</f>
        <v>21.112903999999958</v>
      </c>
      <c r="G13" s="15">
        <f t="shared" ref="G13:G42" si="5">+A13-0.08</f>
        <v>5.2149999999999999</v>
      </c>
      <c r="H13" s="40">
        <f t="shared" ref="H13:H42" si="6">+G13*E13</f>
        <v>0</v>
      </c>
      <c r="I13" s="33">
        <f t="shared" si="0"/>
        <v>-5.7004840799999794</v>
      </c>
      <c r="J13" s="80">
        <f t="shared" ref="J13:J42" si="7">C13*$J$11</f>
        <v>609.6341138201841</v>
      </c>
    </row>
    <row r="14" spans="1:10" s="5" customFormat="1" ht="14.25" customHeight="1" x14ac:dyDescent="0.2">
      <c r="A14" s="82">
        <f>'$ VOLS'!E116</f>
        <v>5.21</v>
      </c>
      <c r="B14" s="21">
        <f t="shared" si="1"/>
        <v>36953</v>
      </c>
      <c r="C14" s="172">
        <v>595.38709600000004</v>
      </c>
      <c r="D14" s="6">
        <f t="shared" si="2"/>
        <v>595.38709600000004</v>
      </c>
      <c r="E14" s="6">
        <f t="shared" si="3"/>
        <v>0</v>
      </c>
      <c r="F14" s="6">
        <f t="shared" si="4"/>
        <v>21.112903999999958</v>
      </c>
      <c r="G14" s="15">
        <f t="shared" si="5"/>
        <v>5.13</v>
      </c>
      <c r="H14" s="40">
        <f t="shared" si="6"/>
        <v>0</v>
      </c>
      <c r="I14" s="33">
        <f t="shared" si="0"/>
        <v>-3.9058872399999838</v>
      </c>
      <c r="J14" s="80">
        <f t="shared" si="7"/>
        <v>609.6341138201841</v>
      </c>
    </row>
    <row r="15" spans="1:10" s="5" customFormat="1" ht="14.25" customHeight="1" x14ac:dyDescent="0.2">
      <c r="A15" s="82">
        <f>'$ VOLS'!E117</f>
        <v>5.21</v>
      </c>
      <c r="B15" s="21">
        <f t="shared" si="1"/>
        <v>36954</v>
      </c>
      <c r="C15" s="172">
        <v>595.38709600000004</v>
      </c>
      <c r="D15" s="6">
        <f t="shared" si="2"/>
        <v>595.38709600000004</v>
      </c>
      <c r="E15" s="6">
        <f t="shared" si="3"/>
        <v>0</v>
      </c>
      <c r="F15" s="6">
        <f t="shared" si="4"/>
        <v>21.112903999999958</v>
      </c>
      <c r="G15" s="15">
        <f t="shared" si="5"/>
        <v>5.13</v>
      </c>
      <c r="H15" s="40">
        <f t="shared" si="6"/>
        <v>0</v>
      </c>
      <c r="I15" s="33">
        <f t="shared" si="0"/>
        <v>-3.9058872399999838</v>
      </c>
      <c r="J15" s="80">
        <f t="shared" si="7"/>
        <v>609.6341138201841</v>
      </c>
    </row>
    <row r="16" spans="1:10" s="5" customFormat="1" ht="14.25" customHeight="1" x14ac:dyDescent="0.2">
      <c r="A16" s="82">
        <f>'$ VOLS'!E118</f>
        <v>5.21</v>
      </c>
      <c r="B16" s="21">
        <f t="shared" si="1"/>
        <v>36955</v>
      </c>
      <c r="C16" s="172">
        <v>595.38709600000004</v>
      </c>
      <c r="D16" s="6">
        <f t="shared" si="2"/>
        <v>595.38709600000004</v>
      </c>
      <c r="E16" s="6">
        <f t="shared" si="3"/>
        <v>0</v>
      </c>
      <c r="F16" s="6">
        <f t="shared" si="4"/>
        <v>21.112903999999958</v>
      </c>
      <c r="G16" s="15">
        <f t="shared" si="5"/>
        <v>5.13</v>
      </c>
      <c r="H16" s="40">
        <f t="shared" si="6"/>
        <v>0</v>
      </c>
      <c r="I16" s="33">
        <f t="shared" si="0"/>
        <v>-3.9058872399999838</v>
      </c>
      <c r="J16" s="80">
        <f t="shared" si="7"/>
        <v>609.6341138201841</v>
      </c>
    </row>
    <row r="17" spans="1:10" s="5" customFormat="1" ht="14.25" customHeight="1" x14ac:dyDescent="0.2">
      <c r="A17" s="82">
        <f>'$ VOLS'!E119</f>
        <v>5.3250000000000002</v>
      </c>
      <c r="B17" s="21">
        <f t="shared" si="1"/>
        <v>36956</v>
      </c>
      <c r="C17" s="172">
        <v>595.38709600000004</v>
      </c>
      <c r="D17" s="6">
        <f t="shared" si="2"/>
        <v>595.38709600000004</v>
      </c>
      <c r="E17" s="6">
        <f t="shared" si="3"/>
        <v>0</v>
      </c>
      <c r="F17" s="6">
        <f t="shared" si="4"/>
        <v>21.112903999999958</v>
      </c>
      <c r="G17" s="15">
        <f t="shared" si="5"/>
        <v>5.2450000000000001</v>
      </c>
      <c r="H17" s="40">
        <f t="shared" si="6"/>
        <v>0</v>
      </c>
      <c r="I17" s="33">
        <f t="shared" si="0"/>
        <v>-6.3338711999999839</v>
      </c>
      <c r="J17" s="80">
        <f t="shared" si="7"/>
        <v>609.6341138201841</v>
      </c>
    </row>
    <row r="18" spans="1:10" s="5" customFormat="1" ht="14.25" customHeight="1" x14ac:dyDescent="0.2">
      <c r="A18" s="82">
        <f>'$ VOLS'!E120</f>
        <v>5.2750000000000004</v>
      </c>
      <c r="B18" s="21">
        <f t="shared" si="1"/>
        <v>36957</v>
      </c>
      <c r="C18" s="172">
        <v>595.38709600000004</v>
      </c>
      <c r="D18" s="6">
        <f t="shared" si="2"/>
        <v>595.38709600000004</v>
      </c>
      <c r="E18" s="6">
        <f t="shared" si="3"/>
        <v>0</v>
      </c>
      <c r="F18" s="6">
        <f t="shared" si="4"/>
        <v>21.112903999999958</v>
      </c>
      <c r="G18" s="15">
        <f t="shared" si="5"/>
        <v>5.1950000000000003</v>
      </c>
      <c r="H18" s="40">
        <f t="shared" si="6"/>
        <v>0</v>
      </c>
      <c r="I18" s="33">
        <f t="shared" si="0"/>
        <v>-5.2782259999999894</v>
      </c>
      <c r="J18" s="80">
        <f t="shared" si="7"/>
        <v>609.6341138201841</v>
      </c>
    </row>
    <row r="19" spans="1:10" s="5" customFormat="1" ht="14.25" customHeight="1" x14ac:dyDescent="0.2">
      <c r="A19" s="82">
        <f>'$ VOLS'!E121</f>
        <v>5.23</v>
      </c>
      <c r="B19" s="21">
        <f t="shared" si="1"/>
        <v>36958</v>
      </c>
      <c r="C19" s="172">
        <v>595.38709600000004</v>
      </c>
      <c r="D19" s="6">
        <f t="shared" si="2"/>
        <v>595.38709600000004</v>
      </c>
      <c r="E19" s="6">
        <f t="shared" si="3"/>
        <v>0</v>
      </c>
      <c r="F19" s="6">
        <f t="shared" si="4"/>
        <v>21.112903999999958</v>
      </c>
      <c r="G19" s="15">
        <f t="shared" si="5"/>
        <v>5.15</v>
      </c>
      <c r="H19" s="40">
        <f t="shared" si="6"/>
        <v>0</v>
      </c>
      <c r="I19" s="33">
        <f t="shared" si="0"/>
        <v>-4.3281453199999929</v>
      </c>
      <c r="J19" s="80">
        <f t="shared" si="7"/>
        <v>609.6341138201841</v>
      </c>
    </row>
    <row r="20" spans="1:10" s="5" customFormat="1" ht="14.25" customHeight="1" x14ac:dyDescent="0.2">
      <c r="A20" s="82">
        <f>'$ VOLS'!E122</f>
        <v>5.23</v>
      </c>
      <c r="B20" s="21">
        <f t="shared" si="1"/>
        <v>36959</v>
      </c>
      <c r="C20" s="172">
        <v>595.38709600000004</v>
      </c>
      <c r="D20" s="6">
        <f t="shared" si="2"/>
        <v>595.38709600000004</v>
      </c>
      <c r="E20" s="6">
        <f t="shared" si="3"/>
        <v>0</v>
      </c>
      <c r="F20" s="6">
        <f t="shared" si="4"/>
        <v>21.112903999999958</v>
      </c>
      <c r="G20" s="15">
        <f t="shared" si="5"/>
        <v>5.15</v>
      </c>
      <c r="H20" s="40">
        <f t="shared" si="6"/>
        <v>0</v>
      </c>
      <c r="I20" s="33">
        <f t="shared" si="0"/>
        <v>-4.3281453199999929</v>
      </c>
      <c r="J20" s="80">
        <f t="shared" si="7"/>
        <v>609.6341138201841</v>
      </c>
    </row>
    <row r="21" spans="1:10" s="5" customFormat="1" ht="14.25" customHeight="1" x14ac:dyDescent="0.2">
      <c r="A21" s="82">
        <f>'$ VOLS'!E123</f>
        <v>5.12</v>
      </c>
      <c r="B21" s="21">
        <f t="shared" si="1"/>
        <v>36960</v>
      </c>
      <c r="C21" s="172">
        <v>595.38709600000004</v>
      </c>
      <c r="D21" s="6">
        <f t="shared" si="2"/>
        <v>595.38709600000004</v>
      </c>
      <c r="E21" s="6">
        <f t="shared" si="3"/>
        <v>0</v>
      </c>
      <c r="F21" s="6">
        <f t="shared" si="4"/>
        <v>21.112903999999958</v>
      </c>
      <c r="G21" s="15">
        <f t="shared" si="5"/>
        <v>5.04</v>
      </c>
      <c r="H21" s="40">
        <f t="shared" si="6"/>
        <v>0</v>
      </c>
      <c r="I21" s="33">
        <f t="shared" si="0"/>
        <v>-2.0057258799999906</v>
      </c>
      <c r="J21" s="80">
        <f t="shared" si="7"/>
        <v>609.6341138201841</v>
      </c>
    </row>
    <row r="22" spans="1:10" s="1" customFormat="1" ht="14.25" customHeight="1" x14ac:dyDescent="0.2">
      <c r="A22" s="82">
        <f>'$ VOLS'!E124</f>
        <v>5.12</v>
      </c>
      <c r="B22" s="21">
        <f t="shared" si="1"/>
        <v>36961</v>
      </c>
      <c r="C22" s="172">
        <v>595.38709600000004</v>
      </c>
      <c r="D22" s="6">
        <f t="shared" si="2"/>
        <v>595.38709600000004</v>
      </c>
      <c r="E22" s="6">
        <f t="shared" si="3"/>
        <v>0</v>
      </c>
      <c r="F22" s="6">
        <f t="shared" si="4"/>
        <v>21.112903999999958</v>
      </c>
      <c r="G22" s="15">
        <f t="shared" si="5"/>
        <v>5.04</v>
      </c>
      <c r="H22" s="40">
        <f t="shared" si="6"/>
        <v>0</v>
      </c>
      <c r="I22" s="33">
        <f t="shared" si="0"/>
        <v>-2.0057258799999906</v>
      </c>
      <c r="J22" s="80">
        <f t="shared" si="7"/>
        <v>609.6341138201841</v>
      </c>
    </row>
    <row r="23" spans="1:10" s="1" customFormat="1" ht="14.25" customHeight="1" x14ac:dyDescent="0.2">
      <c r="A23" s="82">
        <f>'$ VOLS'!E125</f>
        <v>5.12</v>
      </c>
      <c r="B23" s="21">
        <f t="shared" si="1"/>
        <v>36962</v>
      </c>
      <c r="C23" s="172">
        <v>595.38709600000004</v>
      </c>
      <c r="D23" s="6">
        <f t="shared" si="2"/>
        <v>595.38709600000004</v>
      </c>
      <c r="E23" s="6">
        <f t="shared" si="3"/>
        <v>0</v>
      </c>
      <c r="F23" s="6">
        <f t="shared" si="4"/>
        <v>21.112903999999958</v>
      </c>
      <c r="G23" s="15">
        <f t="shared" si="5"/>
        <v>5.04</v>
      </c>
      <c r="H23" s="40">
        <f t="shared" si="6"/>
        <v>0</v>
      </c>
      <c r="I23" s="33">
        <f t="shared" si="0"/>
        <v>-2.0057258799999906</v>
      </c>
      <c r="J23" s="80">
        <f t="shared" si="7"/>
        <v>609.6341138201841</v>
      </c>
    </row>
    <row r="24" spans="1:10" s="5" customFormat="1" ht="14.25" customHeight="1" x14ac:dyDescent="0.2">
      <c r="A24" s="82">
        <f>'$ VOLS'!E126</f>
        <v>5</v>
      </c>
      <c r="B24" s="21">
        <f t="shared" si="1"/>
        <v>36963</v>
      </c>
      <c r="C24" s="172">
        <v>595.38709600000004</v>
      </c>
      <c r="D24" s="6">
        <f t="shared" si="2"/>
        <v>595.38709600000004</v>
      </c>
      <c r="E24" s="6">
        <f t="shared" si="3"/>
        <v>0</v>
      </c>
      <c r="F24" s="6">
        <f t="shared" si="4"/>
        <v>21.112903999999958</v>
      </c>
      <c r="G24" s="15">
        <f t="shared" si="5"/>
        <v>4.92</v>
      </c>
      <c r="H24" s="40">
        <f t="shared" si="6"/>
        <v>0</v>
      </c>
      <c r="I24" s="33">
        <f t="shared" si="0"/>
        <v>0</v>
      </c>
      <c r="J24" s="80">
        <f t="shared" si="7"/>
        <v>609.6341138201841</v>
      </c>
    </row>
    <row r="25" spans="1:10" s="1" customFormat="1" ht="14.25" customHeight="1" x14ac:dyDescent="0.2">
      <c r="A25" s="82">
        <f>'$ VOLS'!E127</f>
        <v>5.085</v>
      </c>
      <c r="B25" s="21">
        <f t="shared" si="1"/>
        <v>36964</v>
      </c>
      <c r="C25" s="172">
        <v>595.38709600000004</v>
      </c>
      <c r="D25" s="6">
        <f t="shared" si="2"/>
        <v>595.38709600000004</v>
      </c>
      <c r="E25" s="6">
        <f t="shared" si="3"/>
        <v>0</v>
      </c>
      <c r="F25" s="6">
        <f t="shared" si="4"/>
        <v>21.112903999999958</v>
      </c>
      <c r="G25" s="15">
        <f t="shared" si="5"/>
        <v>5.0049999999999999</v>
      </c>
      <c r="H25" s="40">
        <f t="shared" si="6"/>
        <v>0</v>
      </c>
      <c r="I25" s="33">
        <f t="shared" si="0"/>
        <v>-1.2667742399999893</v>
      </c>
      <c r="J25" s="80">
        <f t="shared" si="7"/>
        <v>609.6341138201841</v>
      </c>
    </row>
    <row r="26" spans="1:10" s="1" customFormat="1" ht="14.25" customHeight="1" x14ac:dyDescent="0.2">
      <c r="A26" s="82">
        <f>'$ VOLS'!E128</f>
        <v>4.9850000000000003</v>
      </c>
      <c r="B26" s="21">
        <f t="shared" si="1"/>
        <v>36965</v>
      </c>
      <c r="C26" s="172">
        <v>595.38709600000004</v>
      </c>
      <c r="D26" s="6">
        <f t="shared" si="2"/>
        <v>595.38709600000004</v>
      </c>
      <c r="E26" s="6">
        <f t="shared" si="3"/>
        <v>0</v>
      </c>
      <c r="F26" s="6">
        <f t="shared" si="4"/>
        <v>21.112903999999958</v>
      </c>
      <c r="G26" s="15">
        <f t="shared" si="5"/>
        <v>4.9050000000000002</v>
      </c>
      <c r="H26" s="40">
        <f t="shared" si="6"/>
        <v>0</v>
      </c>
      <c r="I26" s="33">
        <f t="shared" si="0"/>
        <v>0</v>
      </c>
      <c r="J26" s="80">
        <f t="shared" si="7"/>
        <v>609.6341138201841</v>
      </c>
    </row>
    <row r="27" spans="1:10" s="1" customFormat="1" ht="14.25" customHeight="1" x14ac:dyDescent="0.2">
      <c r="A27" s="82">
        <f>'$ VOLS'!E129</f>
        <v>4.95</v>
      </c>
      <c r="B27" s="21">
        <f t="shared" si="1"/>
        <v>36966</v>
      </c>
      <c r="C27" s="172">
        <v>595.38709600000004</v>
      </c>
      <c r="D27" s="6">
        <f t="shared" si="2"/>
        <v>595.38709600000004</v>
      </c>
      <c r="E27" s="6">
        <f t="shared" si="3"/>
        <v>0</v>
      </c>
      <c r="F27" s="6">
        <f t="shared" si="4"/>
        <v>21.112903999999958</v>
      </c>
      <c r="G27" s="15">
        <f t="shared" si="5"/>
        <v>4.87</v>
      </c>
      <c r="H27" s="40">
        <f t="shared" si="6"/>
        <v>0</v>
      </c>
      <c r="I27" s="33">
        <f t="shared" si="0"/>
        <v>0</v>
      </c>
      <c r="J27" s="80">
        <f t="shared" si="7"/>
        <v>609.6341138201841</v>
      </c>
    </row>
    <row r="28" spans="1:10" s="1" customFormat="1" ht="14.25" customHeight="1" x14ac:dyDescent="0.2">
      <c r="A28" s="82">
        <f>'$ VOLS'!E130</f>
        <v>5.01</v>
      </c>
      <c r="B28" s="21">
        <f t="shared" si="1"/>
        <v>36967</v>
      </c>
      <c r="C28" s="172">
        <v>595.38709600000004</v>
      </c>
      <c r="D28" s="6">
        <f t="shared" si="2"/>
        <v>595.38709600000004</v>
      </c>
      <c r="E28" s="6">
        <f t="shared" si="3"/>
        <v>0</v>
      </c>
      <c r="F28" s="6">
        <f t="shared" si="4"/>
        <v>21.112903999999958</v>
      </c>
      <c r="G28" s="15">
        <f t="shared" si="5"/>
        <v>4.93</v>
      </c>
      <c r="H28" s="40">
        <f t="shared" si="6"/>
        <v>0</v>
      </c>
      <c r="I28" s="33">
        <f t="shared" si="0"/>
        <v>0</v>
      </c>
      <c r="J28" s="80">
        <f t="shared" si="7"/>
        <v>609.6341138201841</v>
      </c>
    </row>
    <row r="29" spans="1:10" s="1" customFormat="1" ht="14.25" customHeight="1" x14ac:dyDescent="0.2">
      <c r="A29" s="82">
        <f>'$ VOLS'!E131</f>
        <v>5.01</v>
      </c>
      <c r="B29" s="21">
        <f t="shared" si="1"/>
        <v>36968</v>
      </c>
      <c r="C29" s="172">
        <v>595.38709600000004</v>
      </c>
      <c r="D29" s="6">
        <f t="shared" si="2"/>
        <v>595.38709600000004</v>
      </c>
      <c r="E29" s="6">
        <f t="shared" si="3"/>
        <v>0</v>
      </c>
      <c r="F29" s="6">
        <f t="shared" si="4"/>
        <v>21.112903999999958</v>
      </c>
      <c r="G29" s="15">
        <f t="shared" si="5"/>
        <v>4.93</v>
      </c>
      <c r="H29" s="40">
        <f t="shared" si="6"/>
        <v>0</v>
      </c>
      <c r="I29" s="33">
        <f t="shared" si="0"/>
        <v>0</v>
      </c>
      <c r="J29" s="80">
        <f t="shared" si="7"/>
        <v>609.6341138201841</v>
      </c>
    </row>
    <row r="30" spans="1:10" s="1" customFormat="1" ht="14.25" customHeight="1" x14ac:dyDescent="0.2">
      <c r="A30" s="82">
        <f>'$ VOLS'!E132</f>
        <v>5.01</v>
      </c>
      <c r="B30" s="21">
        <f t="shared" si="1"/>
        <v>36969</v>
      </c>
      <c r="C30" s="172">
        <v>595.38709600000004</v>
      </c>
      <c r="D30" s="6">
        <f t="shared" si="2"/>
        <v>595.38709600000004</v>
      </c>
      <c r="E30" s="6">
        <f t="shared" si="3"/>
        <v>0</v>
      </c>
      <c r="F30" s="6">
        <f t="shared" si="4"/>
        <v>21.112903999999958</v>
      </c>
      <c r="G30" s="15">
        <f t="shared" si="5"/>
        <v>4.93</v>
      </c>
      <c r="H30" s="40">
        <f t="shared" si="6"/>
        <v>0</v>
      </c>
      <c r="I30" s="33">
        <f t="shared" si="0"/>
        <v>0</v>
      </c>
      <c r="J30" s="80">
        <f t="shared" si="7"/>
        <v>609.6341138201841</v>
      </c>
    </row>
    <row r="31" spans="1:10" s="1" customFormat="1" ht="14.25" customHeight="1" x14ac:dyDescent="0.2">
      <c r="A31" s="82">
        <f>'$ VOLS'!E133</f>
        <v>5.0599999999999996</v>
      </c>
      <c r="B31" s="21">
        <f t="shared" si="1"/>
        <v>36970</v>
      </c>
      <c r="C31" s="172">
        <v>595.38709600000004</v>
      </c>
      <c r="D31" s="6">
        <f t="shared" si="2"/>
        <v>595.38709600000004</v>
      </c>
      <c r="E31" s="6">
        <f t="shared" si="3"/>
        <v>0</v>
      </c>
      <c r="F31" s="6">
        <f t="shared" si="4"/>
        <v>21.112903999999958</v>
      </c>
      <c r="G31" s="15">
        <f t="shared" si="5"/>
        <v>4.9799999999999995</v>
      </c>
      <c r="H31" s="40">
        <f t="shared" si="6"/>
        <v>0</v>
      </c>
      <c r="I31" s="33">
        <f t="shared" si="0"/>
        <v>-0.73895163999998281</v>
      </c>
      <c r="J31" s="80">
        <f t="shared" si="7"/>
        <v>609.6341138201841</v>
      </c>
    </row>
    <row r="32" spans="1:10" s="1" customFormat="1" ht="14.25" customHeight="1" x14ac:dyDescent="0.2">
      <c r="A32" s="82">
        <f>'$ VOLS'!E134</f>
        <v>5.0650000000000004</v>
      </c>
      <c r="B32" s="21">
        <f t="shared" si="1"/>
        <v>36971</v>
      </c>
      <c r="C32" s="172">
        <v>595.38709600000004</v>
      </c>
      <c r="D32" s="6">
        <f t="shared" si="2"/>
        <v>595.38709600000004</v>
      </c>
      <c r="E32" s="6">
        <f t="shared" si="3"/>
        <v>0</v>
      </c>
      <c r="F32" s="6">
        <f t="shared" si="4"/>
        <v>21.112903999999958</v>
      </c>
      <c r="G32" s="15">
        <f t="shared" si="5"/>
        <v>4.9850000000000003</v>
      </c>
      <c r="H32" s="40">
        <f t="shared" si="6"/>
        <v>0</v>
      </c>
      <c r="I32" s="33">
        <f t="shared" si="0"/>
        <v>-0.84451615999999907</v>
      </c>
      <c r="J32" s="80">
        <f t="shared" si="7"/>
        <v>609.6341138201841</v>
      </c>
    </row>
    <row r="33" spans="1:10" s="1" customFormat="1" ht="14.25" customHeight="1" x14ac:dyDescent="0.2">
      <c r="A33" s="82">
        <f>'$ VOLS'!E135</f>
        <v>5.1349999999999998</v>
      </c>
      <c r="B33" s="21">
        <f t="shared" si="1"/>
        <v>36972</v>
      </c>
      <c r="C33" s="172">
        <v>595.38709600000004</v>
      </c>
      <c r="D33" s="6">
        <f t="shared" si="2"/>
        <v>595.38709600000004</v>
      </c>
      <c r="E33" s="6">
        <f t="shared" si="3"/>
        <v>0</v>
      </c>
      <c r="F33" s="6">
        <f t="shared" si="4"/>
        <v>21.112903999999958</v>
      </c>
      <c r="G33" s="15">
        <f t="shared" si="5"/>
        <v>5.0549999999999997</v>
      </c>
      <c r="H33" s="40">
        <f t="shared" si="6"/>
        <v>0</v>
      </c>
      <c r="I33" s="33">
        <f t="shared" si="0"/>
        <v>-2.3224194399999831</v>
      </c>
      <c r="J33" s="80">
        <f t="shared" si="7"/>
        <v>609.6341138201841</v>
      </c>
    </row>
    <row r="34" spans="1:10" s="1" customFormat="1" ht="14.25" customHeight="1" x14ac:dyDescent="0.2">
      <c r="A34" s="82">
        <f>'$ VOLS'!E136</f>
        <v>4.9950000000000001</v>
      </c>
      <c r="B34" s="21">
        <f t="shared" si="1"/>
        <v>36973</v>
      </c>
      <c r="C34" s="172">
        <v>595.38709600000004</v>
      </c>
      <c r="D34" s="6">
        <f t="shared" si="2"/>
        <v>595.38709600000004</v>
      </c>
      <c r="E34" s="6">
        <f t="shared" si="3"/>
        <v>0</v>
      </c>
      <c r="F34" s="6">
        <f t="shared" si="4"/>
        <v>21.112903999999958</v>
      </c>
      <c r="G34" s="15">
        <f t="shared" si="5"/>
        <v>4.915</v>
      </c>
      <c r="H34" s="40">
        <f t="shared" si="6"/>
        <v>0</v>
      </c>
      <c r="I34" s="33">
        <f t="shared" si="0"/>
        <v>0</v>
      </c>
      <c r="J34" s="80">
        <f t="shared" si="7"/>
        <v>609.6341138201841</v>
      </c>
    </row>
    <row r="35" spans="1:10" s="1" customFormat="1" ht="14.25" customHeight="1" x14ac:dyDescent="0.2">
      <c r="A35" s="82">
        <f>'$ VOLS'!E137</f>
        <v>5.2249999999999996</v>
      </c>
      <c r="B35" s="21">
        <f t="shared" si="1"/>
        <v>36974</v>
      </c>
      <c r="C35" s="172">
        <v>595.38709600000004</v>
      </c>
      <c r="D35" s="6">
        <f t="shared" si="2"/>
        <v>595.38709600000004</v>
      </c>
      <c r="E35" s="6">
        <f t="shared" si="3"/>
        <v>0</v>
      </c>
      <c r="F35" s="6">
        <f t="shared" si="4"/>
        <v>21.112903999999958</v>
      </c>
      <c r="G35" s="15">
        <f t="shared" si="5"/>
        <v>5.1449999999999996</v>
      </c>
      <c r="H35" s="40">
        <f t="shared" si="6"/>
        <v>0</v>
      </c>
      <c r="I35" s="33">
        <f t="shared" si="0"/>
        <v>-4.2225807999999763</v>
      </c>
      <c r="J35" s="80">
        <f t="shared" si="7"/>
        <v>609.6341138201841</v>
      </c>
    </row>
    <row r="36" spans="1:10" s="1" customFormat="1" ht="14.25" customHeight="1" x14ac:dyDescent="0.2">
      <c r="A36" s="82">
        <f>'$ VOLS'!E138</f>
        <v>5.2249999999999996</v>
      </c>
      <c r="B36" s="21">
        <f t="shared" si="1"/>
        <v>36975</v>
      </c>
      <c r="C36" s="172">
        <v>595.38709600000004</v>
      </c>
      <c r="D36" s="6">
        <f t="shared" si="2"/>
        <v>595.38709600000004</v>
      </c>
      <c r="E36" s="6">
        <f t="shared" si="3"/>
        <v>0</v>
      </c>
      <c r="F36" s="6">
        <f t="shared" si="4"/>
        <v>21.112903999999958</v>
      </c>
      <c r="G36" s="15">
        <f t="shared" si="5"/>
        <v>5.1449999999999996</v>
      </c>
      <c r="H36" s="40">
        <f t="shared" si="6"/>
        <v>0</v>
      </c>
      <c r="I36" s="33">
        <f t="shared" si="0"/>
        <v>-4.2225807999999763</v>
      </c>
      <c r="J36" s="80">
        <f t="shared" si="7"/>
        <v>609.6341138201841</v>
      </c>
    </row>
    <row r="37" spans="1:10" s="1" customFormat="1" ht="14.25" customHeight="1" x14ac:dyDescent="0.2">
      <c r="A37" s="82">
        <f>'$ VOLS'!E139</f>
        <v>5.2249999999999996</v>
      </c>
      <c r="B37" s="21">
        <f t="shared" si="1"/>
        <v>36976</v>
      </c>
      <c r="C37" s="172">
        <v>595.38709600000004</v>
      </c>
      <c r="D37" s="6">
        <f t="shared" si="2"/>
        <v>595.38709600000004</v>
      </c>
      <c r="E37" s="6">
        <f t="shared" si="3"/>
        <v>0</v>
      </c>
      <c r="F37" s="6">
        <f t="shared" si="4"/>
        <v>21.112903999999958</v>
      </c>
      <c r="G37" s="15">
        <f t="shared" si="5"/>
        <v>5.1449999999999996</v>
      </c>
      <c r="H37" s="40">
        <f t="shared" si="6"/>
        <v>0</v>
      </c>
      <c r="I37" s="33">
        <f t="shared" si="0"/>
        <v>-4.2225807999999763</v>
      </c>
      <c r="J37" s="80">
        <f t="shared" si="7"/>
        <v>609.6341138201841</v>
      </c>
    </row>
    <row r="38" spans="1:10" s="1" customFormat="1" ht="14.25" customHeight="1" x14ac:dyDescent="0.2">
      <c r="A38" s="82">
        <f>'$ VOLS'!E140</f>
        <v>5.2350000000000003</v>
      </c>
      <c r="B38" s="21">
        <f t="shared" si="1"/>
        <v>36977</v>
      </c>
      <c r="C38" s="172">
        <v>595.38709600000004</v>
      </c>
      <c r="D38" s="6">
        <f t="shared" si="2"/>
        <v>595.38709600000004</v>
      </c>
      <c r="E38" s="6">
        <f t="shared" si="3"/>
        <v>0</v>
      </c>
      <c r="F38" s="6">
        <f t="shared" si="4"/>
        <v>21.112903999999958</v>
      </c>
      <c r="G38" s="15">
        <f t="shared" si="5"/>
        <v>5.1550000000000002</v>
      </c>
      <c r="H38" s="40">
        <f t="shared" si="6"/>
        <v>0</v>
      </c>
      <c r="I38" s="33">
        <f t="shared" si="0"/>
        <v>-4.4337098399999908</v>
      </c>
      <c r="J38" s="80">
        <f t="shared" si="7"/>
        <v>609.6341138201841</v>
      </c>
    </row>
    <row r="39" spans="1:10" s="1" customFormat="1" ht="14.25" customHeight="1" x14ac:dyDescent="0.2">
      <c r="A39" s="82">
        <f>'$ VOLS'!E141</f>
        <v>5.4249999999999998</v>
      </c>
      <c r="B39" s="21">
        <f t="shared" si="1"/>
        <v>36978</v>
      </c>
      <c r="C39" s="172">
        <v>595.38709600000004</v>
      </c>
      <c r="D39" s="6">
        <f t="shared" si="2"/>
        <v>595.38709600000004</v>
      </c>
      <c r="E39" s="6">
        <f t="shared" si="3"/>
        <v>0</v>
      </c>
      <c r="F39" s="6">
        <f t="shared" si="4"/>
        <v>21.112903999999958</v>
      </c>
      <c r="G39" s="15">
        <f t="shared" si="5"/>
        <v>5.3449999999999998</v>
      </c>
      <c r="H39" s="40">
        <f t="shared" si="6"/>
        <v>0</v>
      </c>
      <c r="I39" s="33">
        <f t="shared" si="0"/>
        <v>-8.4451615999999721</v>
      </c>
      <c r="J39" s="80">
        <f t="shared" si="7"/>
        <v>609.6341138201841</v>
      </c>
    </row>
    <row r="40" spans="1:10" s="1" customFormat="1" ht="14.25" customHeight="1" x14ac:dyDescent="0.2">
      <c r="A40" s="82">
        <f>'$ VOLS'!E142</f>
        <v>5.65</v>
      </c>
      <c r="B40" s="21">
        <f t="shared" si="1"/>
        <v>36979</v>
      </c>
      <c r="C40" s="172">
        <v>595.38709600000004</v>
      </c>
      <c r="D40" s="6">
        <f t="shared" si="2"/>
        <v>595.38709600000004</v>
      </c>
      <c r="E40" s="6">
        <f t="shared" si="3"/>
        <v>0</v>
      </c>
      <c r="F40" s="6">
        <f t="shared" si="4"/>
        <v>21.112903999999958</v>
      </c>
      <c r="G40" s="15">
        <f t="shared" si="5"/>
        <v>5.57</v>
      </c>
      <c r="H40" s="40">
        <f t="shared" si="6"/>
        <v>0</v>
      </c>
      <c r="I40" s="33">
        <f t="shared" si="0"/>
        <v>-13.195564999999974</v>
      </c>
      <c r="J40" s="80">
        <f t="shared" si="7"/>
        <v>609.6341138201841</v>
      </c>
    </row>
    <row r="41" spans="1:10" s="1" customFormat="1" ht="14.25" customHeight="1" x14ac:dyDescent="0.2">
      <c r="A41" s="82">
        <f>'$ VOLS'!E143</f>
        <v>5.3449999999999998</v>
      </c>
      <c r="B41" s="21">
        <f>+B40+1</f>
        <v>36980</v>
      </c>
      <c r="C41" s="172">
        <v>595.38709600000004</v>
      </c>
      <c r="D41" s="6">
        <f t="shared" si="2"/>
        <v>595.38709600000004</v>
      </c>
      <c r="E41" s="6">
        <f t="shared" si="3"/>
        <v>0</v>
      </c>
      <c r="F41" s="6">
        <f t="shared" si="4"/>
        <v>21.112903999999958</v>
      </c>
      <c r="G41" s="15">
        <f t="shared" si="5"/>
        <v>5.2649999999999997</v>
      </c>
      <c r="H41" s="40">
        <f t="shared" si="6"/>
        <v>0</v>
      </c>
      <c r="I41" s="33">
        <f t="shared" si="0"/>
        <v>-6.7561292799999739</v>
      </c>
      <c r="J41" s="80">
        <f t="shared" si="7"/>
        <v>609.6341138201841</v>
      </c>
    </row>
    <row r="42" spans="1:10" s="1" customFormat="1" ht="14.25" customHeight="1" x14ac:dyDescent="0.2">
      <c r="A42" s="82">
        <f>'$ VOLS'!E144</f>
        <v>5.3</v>
      </c>
      <c r="B42" s="21">
        <f>+B41+1</f>
        <v>36981</v>
      </c>
      <c r="C42" s="172">
        <v>595.38709600000004</v>
      </c>
      <c r="D42" s="6">
        <f t="shared" si="2"/>
        <v>595.38709600000004</v>
      </c>
      <c r="E42" s="6">
        <f t="shared" si="3"/>
        <v>0</v>
      </c>
      <c r="F42" s="6">
        <f t="shared" si="4"/>
        <v>21.112903999999958</v>
      </c>
      <c r="G42" s="15">
        <f t="shared" si="5"/>
        <v>5.22</v>
      </c>
      <c r="H42" s="40">
        <f t="shared" si="6"/>
        <v>0</v>
      </c>
      <c r="I42" s="33">
        <f t="shared" si="0"/>
        <v>-5.8060485999999774</v>
      </c>
      <c r="J42" s="80">
        <f t="shared" si="7"/>
        <v>609.6341138201841</v>
      </c>
    </row>
    <row r="43" spans="1:10" s="1" customFormat="1" ht="14.25" x14ac:dyDescent="0.2">
      <c r="A43" s="85">
        <f>AVERAGE(A12:A42)</f>
        <v>5.1803225806451634</v>
      </c>
      <c r="B43" s="21" t="s">
        <v>104</v>
      </c>
      <c r="C43" s="175">
        <f>SUM(C12:C42)</f>
        <v>18456.999976000003</v>
      </c>
      <c r="D43" s="30">
        <f>SUM(D12:D42)</f>
        <v>18456.999976000003</v>
      </c>
      <c r="E43" s="30">
        <f>SUM(E12:E42)</f>
        <v>0</v>
      </c>
      <c r="F43" s="30">
        <f>SUM(F12:F42)</f>
        <v>654.50002399999869</v>
      </c>
      <c r="G43" s="85">
        <f>AVERAGE(G12:G42)</f>
        <v>5.1003225806451606</v>
      </c>
      <c r="H43" s="79">
        <f>SUM(H12:H42)</f>
        <v>0</v>
      </c>
      <c r="I43" s="79">
        <f>SUM(I12:I42)</f>
        <v>-106.19790711999961</v>
      </c>
      <c r="J43" s="5"/>
    </row>
    <row r="44" spans="1:10" s="1" customFormat="1" ht="12.75" x14ac:dyDescent="0.2">
      <c r="B44" s="2"/>
      <c r="C44" s="171">
        <f>D43+E43</f>
        <v>18456.999976000003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18456.999976000003</v>
      </c>
      <c r="F47" s="24">
        <f>'$ VOLS'!E21</f>
        <v>4.9450000000000003</v>
      </c>
      <c r="G47" s="17">
        <f>+F47*D43</f>
        <v>91269.864881320013</v>
      </c>
      <c r="I47" s="45" t="s">
        <v>0</v>
      </c>
      <c r="J47" s="46" t="s">
        <v>0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0</v>
      </c>
      <c r="J48" s="47" t="s">
        <v>0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-106.19790711999961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18456.999976000003</v>
      </c>
      <c r="F50" s="41">
        <f>+G50/E50</f>
        <v>4.9392461988807446</v>
      </c>
      <c r="G50" s="26">
        <f>SUM(G47:G49)</f>
        <v>91163.666974200009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topLeftCell="A39" workbookViewId="0">
      <selection activeCell="J50" sqref="J50"/>
    </sheetView>
  </sheetViews>
  <sheetFormatPr defaultRowHeight="12" x14ac:dyDescent="0.15"/>
  <cols>
    <col min="2" max="2" width="9.875" style="184" bestFit="1" customWidth="1"/>
    <col min="3" max="3" width="9" style="22"/>
    <col min="4" max="4" width="9.625" style="48" customWidth="1"/>
    <col min="5" max="5" width="11.125" customWidth="1"/>
    <col min="6" max="6" width="12" customWidth="1"/>
    <col min="7" max="7" width="10.125" customWidth="1"/>
    <col min="9" max="9" width="9.875" style="184" customWidth="1"/>
    <col min="10" max="11" width="15.75" customWidth="1"/>
    <col min="12" max="12" width="15.375" customWidth="1"/>
    <col min="13" max="13" width="14.625" style="49" customWidth="1"/>
    <col min="14" max="14" width="11.75" customWidth="1"/>
  </cols>
  <sheetData>
    <row r="1" spans="1:14" s="1" customFormat="1" ht="15" customHeight="1" x14ac:dyDescent="0.2">
      <c r="A1" s="1" t="s">
        <v>0</v>
      </c>
      <c r="B1" s="184"/>
      <c r="C1" s="2"/>
      <c r="D1" s="28"/>
      <c r="I1" s="184"/>
      <c r="M1" s="31"/>
    </row>
    <row r="2" spans="1:14" s="10" customFormat="1" ht="22.5" x14ac:dyDescent="0.3">
      <c r="B2" s="184"/>
      <c r="C2" s="20" t="s">
        <v>9</v>
      </c>
      <c r="D2" s="9"/>
      <c r="E2" s="5"/>
      <c r="F2" s="5"/>
      <c r="G2" s="5"/>
      <c r="I2" s="184"/>
      <c r="J2" s="5"/>
      <c r="K2" s="5"/>
      <c r="M2" s="38" t="s">
        <v>0</v>
      </c>
    </row>
    <row r="3" spans="1:14" s="10" customFormat="1" ht="22.5" x14ac:dyDescent="0.3">
      <c r="B3" s="184"/>
      <c r="C3" s="19" t="s">
        <v>115</v>
      </c>
      <c r="D3" s="9"/>
      <c r="E3" s="5"/>
      <c r="F3" s="68" t="s">
        <v>0</v>
      </c>
      <c r="G3" s="5"/>
      <c r="I3" s="184"/>
      <c r="J3" s="5"/>
      <c r="K3" s="5"/>
      <c r="M3" s="38"/>
    </row>
    <row r="4" spans="1:14" s="10" customFormat="1" ht="19.5" thickBot="1" x14ac:dyDescent="0.35">
      <c r="B4" s="184"/>
      <c r="C4" s="81">
        <f>+'$ VOLS'!B6</f>
        <v>36951</v>
      </c>
      <c r="D4" s="9"/>
      <c r="E4" s="5"/>
      <c r="F4" s="5"/>
      <c r="G4" s="5"/>
      <c r="I4" s="184"/>
      <c r="J4" s="5" t="s">
        <v>0</v>
      </c>
      <c r="K4" s="5" t="s">
        <v>0</v>
      </c>
      <c r="M4" s="38"/>
    </row>
    <row r="5" spans="1:14" s="10" customFormat="1" ht="9" customHeight="1" thickBot="1" x14ac:dyDescent="0.3">
      <c r="B5" s="185"/>
      <c r="C5" s="4"/>
      <c r="D5" s="9"/>
      <c r="E5" s="5"/>
      <c r="F5" s="5"/>
      <c r="G5" s="5"/>
      <c r="I5" s="190"/>
      <c r="J5" s="5" t="s">
        <v>0</v>
      </c>
      <c r="K5" s="5" t="s">
        <v>0</v>
      </c>
      <c r="M5" s="34"/>
    </row>
    <row r="6" spans="1:14" s="5" customFormat="1" ht="12.75" x14ac:dyDescent="0.2">
      <c r="B6" s="184"/>
      <c r="C6" s="5" t="s">
        <v>10</v>
      </c>
      <c r="D6" s="9"/>
      <c r="E6" s="9">
        <f>'$ VOLS'!G22</f>
        <v>17383</v>
      </c>
      <c r="F6" s="5" t="s">
        <v>0</v>
      </c>
      <c r="I6" s="184"/>
      <c r="J6"/>
      <c r="K6"/>
      <c r="M6" s="34"/>
    </row>
    <row r="7" spans="1:14" s="5" customFormat="1" ht="12.75" x14ac:dyDescent="0.2">
      <c r="B7" s="184"/>
      <c r="C7" s="5" t="s">
        <v>11</v>
      </c>
      <c r="D7" s="9"/>
      <c r="E7" s="9">
        <f>+E6*1.1</f>
        <v>19121.300000000003</v>
      </c>
      <c r="I7" s="184"/>
      <c r="J7"/>
      <c r="K7"/>
      <c r="M7" s="34"/>
    </row>
    <row r="8" spans="1:14" s="5" customFormat="1" ht="12.75" x14ac:dyDescent="0.2">
      <c r="B8" s="186" t="s">
        <v>143</v>
      </c>
      <c r="C8" s="5" t="s">
        <v>12</v>
      </c>
      <c r="D8" s="9"/>
      <c r="E8" s="9">
        <f>+E6*0.9</f>
        <v>15644.7</v>
      </c>
      <c r="G8" s="11" t="s">
        <v>3</v>
      </c>
      <c r="I8" s="186"/>
      <c r="J8" s="12" t="s">
        <v>153</v>
      </c>
      <c r="K8" s="12" t="s">
        <v>154</v>
      </c>
      <c r="M8" s="34"/>
      <c r="N8" s="77" t="s">
        <v>86</v>
      </c>
    </row>
    <row r="9" spans="1:14" s="5" customFormat="1" ht="13.5" customHeight="1" x14ac:dyDescent="0.2">
      <c r="B9" s="12" t="s">
        <v>2</v>
      </c>
      <c r="C9" s="7"/>
      <c r="D9" s="29"/>
      <c r="F9" s="11" t="s">
        <v>0</v>
      </c>
      <c r="G9" s="11" t="s">
        <v>20</v>
      </c>
      <c r="I9" s="12"/>
      <c r="J9" s="12" t="s">
        <v>2</v>
      </c>
      <c r="K9" s="12" t="s">
        <v>2</v>
      </c>
      <c r="L9" s="12" t="s">
        <v>151</v>
      </c>
      <c r="M9" s="10" t="s">
        <v>152</v>
      </c>
      <c r="N9" s="77" t="s">
        <v>87</v>
      </c>
    </row>
    <row r="10" spans="1:14" s="5" customFormat="1" ht="12.75" x14ac:dyDescent="0.2">
      <c r="B10" s="10" t="s">
        <v>16</v>
      </c>
      <c r="C10" s="7"/>
      <c r="D10" s="76" t="s">
        <v>75</v>
      </c>
      <c r="E10" s="11" t="s">
        <v>4</v>
      </c>
      <c r="F10" s="11" t="s">
        <v>13</v>
      </c>
      <c r="G10" s="11" t="s">
        <v>4</v>
      </c>
      <c r="I10" s="10"/>
      <c r="J10" s="10" t="s">
        <v>16</v>
      </c>
      <c r="K10" s="10" t="s">
        <v>16</v>
      </c>
      <c r="L10" s="12" t="str">
        <f>+F10</f>
        <v>EXCESS</v>
      </c>
      <c r="M10" s="12" t="s">
        <v>13</v>
      </c>
      <c r="N10" s="77" t="s">
        <v>88</v>
      </c>
    </row>
    <row r="11" spans="1:14" s="10" customFormat="1" ht="12.75" x14ac:dyDescent="0.2">
      <c r="B11" s="10" t="s">
        <v>95</v>
      </c>
      <c r="D11" s="76"/>
      <c r="E11" s="10" t="str">
        <f>+F11</f>
        <v>VOLUME</v>
      </c>
      <c r="F11" s="10" t="s">
        <v>3</v>
      </c>
      <c r="G11" s="11" t="s">
        <v>21</v>
      </c>
      <c r="J11" s="10" t="s">
        <v>95</v>
      </c>
      <c r="K11" s="10" t="s">
        <v>95</v>
      </c>
      <c r="L11" s="39" t="s">
        <v>155</v>
      </c>
      <c r="M11" s="39" t="s">
        <v>155</v>
      </c>
      <c r="N11" s="77">
        <v>1.0239290000000001</v>
      </c>
    </row>
    <row r="12" spans="1:14" s="5" customFormat="1" ht="14.25" customHeight="1" x14ac:dyDescent="0.2">
      <c r="A12" s="82">
        <f>'$ VOLS'!E114</f>
        <v>5.31</v>
      </c>
      <c r="B12" s="187">
        <v>5.18</v>
      </c>
      <c r="C12" s="21">
        <v>36951</v>
      </c>
      <c r="D12" s="128">
        <v>49660</v>
      </c>
      <c r="E12" s="6">
        <f t="shared" ref="E12:E41" si="0">IF(D12&gt;$E$7,$E$7,D12)</f>
        <v>19121.300000000003</v>
      </c>
      <c r="F12" s="6">
        <f t="shared" ref="F12:F42" si="1">IF(D12&gt;$E$7,D12-E12,0)</f>
        <v>30538.699999999997</v>
      </c>
      <c r="G12" s="6">
        <f>IF(R12&lt;0,R12,0)</f>
        <v>0</v>
      </c>
      <c r="I12" s="187"/>
      <c r="J12" s="67">
        <f t="shared" ref="J12:K42" si="2">ROUND(A12-$N$47-(A12-$N$47)*$N$48,4)</f>
        <v>5.1622000000000003</v>
      </c>
      <c r="K12" s="67">
        <f t="shared" si="2"/>
        <v>5.0334000000000003</v>
      </c>
      <c r="L12" s="40">
        <f t="shared" ref="L12:L42" si="3">+J12*F12</f>
        <v>157646.87714</v>
      </c>
      <c r="M12" s="33">
        <f>+K12*F12</f>
        <v>153713.49257999999</v>
      </c>
      <c r="N12" s="80">
        <f t="shared" ref="N12:N42" si="4">D12*$N$11</f>
        <v>50848.314140000002</v>
      </c>
    </row>
    <row r="13" spans="1:14" s="5" customFormat="1" ht="14.25" customHeight="1" x14ac:dyDescent="0.2">
      <c r="A13" s="82">
        <f>'$ VOLS'!E115</f>
        <v>5.2949999999999999</v>
      </c>
      <c r="B13" s="187">
        <v>5.1050000000000004</v>
      </c>
      <c r="C13" s="21">
        <f t="shared" ref="C13:C42" si="5">+C12+1</f>
        <v>36952</v>
      </c>
      <c r="D13" s="128">
        <v>24325</v>
      </c>
      <c r="E13" s="6">
        <f t="shared" si="0"/>
        <v>19121.300000000003</v>
      </c>
      <c r="F13" s="6">
        <f t="shared" si="1"/>
        <v>5203.6999999999971</v>
      </c>
      <c r="G13" s="6">
        <f t="shared" ref="G13:G41" si="6">IF(R13&lt;0,R13,0)</f>
        <v>0</v>
      </c>
      <c r="I13" s="187"/>
      <c r="J13" s="67">
        <f t="shared" si="2"/>
        <v>5.1473000000000004</v>
      </c>
      <c r="K13" s="67">
        <f t="shared" si="2"/>
        <v>4.9591000000000003</v>
      </c>
      <c r="L13" s="40">
        <f t="shared" si="3"/>
        <v>26785.005009999986</v>
      </c>
      <c r="M13" s="33">
        <f t="shared" ref="M13:M42" si="7">+K13*F13</f>
        <v>25805.668669999988</v>
      </c>
      <c r="N13" s="80">
        <f t="shared" si="4"/>
        <v>24907.072925</v>
      </c>
    </row>
    <row r="14" spans="1:14" s="5" customFormat="1" ht="14.25" customHeight="1" x14ac:dyDescent="0.2">
      <c r="A14" s="82">
        <f>'$ VOLS'!E116</f>
        <v>5.21</v>
      </c>
      <c r="B14" s="187">
        <v>5.13</v>
      </c>
      <c r="C14" s="21">
        <f t="shared" si="5"/>
        <v>36953</v>
      </c>
      <c r="D14" s="128">
        <v>46794</v>
      </c>
      <c r="E14" s="6">
        <f t="shared" si="0"/>
        <v>19121.300000000003</v>
      </c>
      <c r="F14" s="6">
        <f t="shared" si="1"/>
        <v>27672.699999999997</v>
      </c>
      <c r="G14" s="6">
        <f t="shared" si="6"/>
        <v>0</v>
      </c>
      <c r="I14" s="187"/>
      <c r="J14" s="67">
        <f t="shared" si="2"/>
        <v>5.0631000000000004</v>
      </c>
      <c r="K14" s="67">
        <f t="shared" si="2"/>
        <v>4.9837999999999996</v>
      </c>
      <c r="L14" s="40">
        <f t="shared" si="3"/>
        <v>140109.64736999999</v>
      </c>
      <c r="M14" s="33">
        <f t="shared" si="7"/>
        <v>137915.20225999996</v>
      </c>
      <c r="N14" s="80">
        <f t="shared" si="4"/>
        <v>47913.733626000001</v>
      </c>
    </row>
    <row r="15" spans="1:14" s="5" customFormat="1" ht="14.25" customHeight="1" x14ac:dyDescent="0.2">
      <c r="A15" s="82">
        <f>'$ VOLS'!E117</f>
        <v>5.21</v>
      </c>
      <c r="B15" s="187">
        <f>+B14</f>
        <v>5.13</v>
      </c>
      <c r="C15" s="21">
        <f t="shared" si="5"/>
        <v>36954</v>
      </c>
      <c r="D15" s="128">
        <v>46571</v>
      </c>
      <c r="E15" s="6">
        <f t="shared" si="0"/>
        <v>19121.300000000003</v>
      </c>
      <c r="F15" s="6">
        <f t="shared" si="1"/>
        <v>27449.699999999997</v>
      </c>
      <c r="G15" s="6">
        <f t="shared" si="6"/>
        <v>0</v>
      </c>
      <c r="I15" s="187"/>
      <c r="J15" s="67">
        <f t="shared" si="2"/>
        <v>5.0631000000000004</v>
      </c>
      <c r="K15" s="67">
        <f t="shared" si="2"/>
        <v>4.9837999999999996</v>
      </c>
      <c r="L15" s="40">
        <f t="shared" si="3"/>
        <v>138980.57607000001</v>
      </c>
      <c r="M15" s="33">
        <f t="shared" si="7"/>
        <v>136803.81485999998</v>
      </c>
      <c r="N15" s="80">
        <f t="shared" si="4"/>
        <v>47685.397459000007</v>
      </c>
    </row>
    <row r="16" spans="1:14" s="5" customFormat="1" ht="14.25" customHeight="1" x14ac:dyDescent="0.2">
      <c r="A16" s="82">
        <f>'$ VOLS'!E118</f>
        <v>5.21</v>
      </c>
      <c r="B16" s="187">
        <f>+B15</f>
        <v>5.13</v>
      </c>
      <c r="C16" s="21">
        <f t="shared" si="5"/>
        <v>36955</v>
      </c>
      <c r="D16" s="128">
        <v>54132</v>
      </c>
      <c r="E16" s="6">
        <f t="shared" si="0"/>
        <v>19121.300000000003</v>
      </c>
      <c r="F16" s="6">
        <f t="shared" si="1"/>
        <v>35010.699999999997</v>
      </c>
      <c r="G16" s="6">
        <f t="shared" si="6"/>
        <v>0</v>
      </c>
      <c r="I16" s="187"/>
      <c r="J16" s="67">
        <f t="shared" si="2"/>
        <v>5.0631000000000004</v>
      </c>
      <c r="K16" s="67">
        <f t="shared" si="2"/>
        <v>4.9837999999999996</v>
      </c>
      <c r="L16" s="40">
        <f t="shared" si="3"/>
        <v>177262.67517</v>
      </c>
      <c r="M16" s="33">
        <f t="shared" si="7"/>
        <v>174486.32665999996</v>
      </c>
      <c r="N16" s="80">
        <f t="shared" si="4"/>
        <v>55427.324628000002</v>
      </c>
    </row>
    <row r="17" spans="1:14" s="5" customFormat="1" ht="14.25" customHeight="1" x14ac:dyDescent="0.2">
      <c r="A17" s="82">
        <f>'$ VOLS'!E119</f>
        <v>5.3250000000000002</v>
      </c>
      <c r="B17" s="187">
        <v>5.3150000000000004</v>
      </c>
      <c r="C17" s="21">
        <f t="shared" si="5"/>
        <v>36956</v>
      </c>
      <c r="D17" s="128">
        <v>56161</v>
      </c>
      <c r="E17" s="6">
        <f t="shared" si="0"/>
        <v>19121.300000000003</v>
      </c>
      <c r="F17" s="6">
        <f t="shared" si="1"/>
        <v>37039.699999999997</v>
      </c>
      <c r="G17" s="6">
        <f t="shared" si="6"/>
        <v>0</v>
      </c>
      <c r="I17" s="187"/>
      <c r="J17" s="67">
        <f t="shared" si="2"/>
        <v>5.1771000000000003</v>
      </c>
      <c r="K17" s="67">
        <f t="shared" si="2"/>
        <v>5.1670999999999996</v>
      </c>
      <c r="L17" s="40">
        <f t="shared" si="3"/>
        <v>191758.23087</v>
      </c>
      <c r="M17" s="33">
        <f t="shared" si="7"/>
        <v>191387.83386999997</v>
      </c>
      <c r="N17" s="80">
        <f t="shared" si="4"/>
        <v>57504.876569000007</v>
      </c>
    </row>
    <row r="18" spans="1:14" s="5" customFormat="1" ht="14.25" customHeight="1" x14ac:dyDescent="0.2">
      <c r="A18" s="82">
        <f>'$ VOLS'!E120</f>
        <v>5.2750000000000004</v>
      </c>
      <c r="B18" s="187">
        <v>5.3150000000000004</v>
      </c>
      <c r="C18" s="21">
        <f t="shared" si="5"/>
        <v>36957</v>
      </c>
      <c r="D18" s="128">
        <v>48074</v>
      </c>
      <c r="E18" s="6">
        <f t="shared" si="0"/>
        <v>19121.300000000003</v>
      </c>
      <c r="F18" s="6">
        <f t="shared" si="1"/>
        <v>28952.699999999997</v>
      </c>
      <c r="G18" s="6">
        <f t="shared" si="6"/>
        <v>0</v>
      </c>
      <c r="I18" s="187"/>
      <c r="J18" s="67">
        <f t="shared" si="2"/>
        <v>5.1275000000000004</v>
      </c>
      <c r="K18" s="67">
        <f t="shared" si="2"/>
        <v>5.1670999999999996</v>
      </c>
      <c r="L18" s="40">
        <f t="shared" si="3"/>
        <v>148454.96924999999</v>
      </c>
      <c r="M18" s="33">
        <f t="shared" si="7"/>
        <v>149601.49616999997</v>
      </c>
      <c r="N18" s="80">
        <f t="shared" si="4"/>
        <v>49224.362746000006</v>
      </c>
    </row>
    <row r="19" spans="1:14" s="5" customFormat="1" ht="14.25" customHeight="1" x14ac:dyDescent="0.2">
      <c r="A19" s="82">
        <f>'$ VOLS'!E121</f>
        <v>5.23</v>
      </c>
      <c r="B19" s="187">
        <v>5.28</v>
      </c>
      <c r="C19" s="21">
        <f t="shared" si="5"/>
        <v>36958</v>
      </c>
      <c r="D19" s="128">
        <v>44679</v>
      </c>
      <c r="E19" s="6">
        <f t="shared" si="0"/>
        <v>19121.300000000003</v>
      </c>
      <c r="F19" s="6">
        <f t="shared" si="1"/>
        <v>25557.699999999997</v>
      </c>
      <c r="G19" s="6">
        <f t="shared" si="6"/>
        <v>0</v>
      </c>
      <c r="I19" s="187"/>
      <c r="J19" s="67">
        <f t="shared" si="2"/>
        <v>5.0829000000000004</v>
      </c>
      <c r="K19" s="67">
        <f t="shared" si="2"/>
        <v>5.1325000000000003</v>
      </c>
      <c r="L19" s="40">
        <f t="shared" si="3"/>
        <v>129907.23333</v>
      </c>
      <c r="M19" s="33">
        <f t="shared" si="7"/>
        <v>131174.89525</v>
      </c>
      <c r="N19" s="80">
        <f t="shared" si="4"/>
        <v>45748.123791000005</v>
      </c>
    </row>
    <row r="20" spans="1:14" s="5" customFormat="1" ht="14.25" customHeight="1" x14ac:dyDescent="0.2">
      <c r="A20" s="82">
        <f>'$ VOLS'!E122</f>
        <v>5.23</v>
      </c>
      <c r="B20" s="187">
        <v>5.3</v>
      </c>
      <c r="C20" s="21">
        <f t="shared" si="5"/>
        <v>36959</v>
      </c>
      <c r="D20" s="128">
        <v>41639</v>
      </c>
      <c r="E20" s="6">
        <f t="shared" si="0"/>
        <v>19121.300000000003</v>
      </c>
      <c r="F20" s="6">
        <f t="shared" si="1"/>
        <v>22517.699999999997</v>
      </c>
      <c r="G20" s="6">
        <f t="shared" si="6"/>
        <v>0</v>
      </c>
      <c r="I20" s="187"/>
      <c r="J20" s="67">
        <f t="shared" si="2"/>
        <v>5.0829000000000004</v>
      </c>
      <c r="K20" s="67">
        <f t="shared" si="2"/>
        <v>5.1523000000000003</v>
      </c>
      <c r="L20" s="40">
        <f t="shared" si="3"/>
        <v>114455.21733</v>
      </c>
      <c r="M20" s="33">
        <f t="shared" si="7"/>
        <v>116017.94570999999</v>
      </c>
      <c r="N20" s="80">
        <f t="shared" si="4"/>
        <v>42635.379631000003</v>
      </c>
    </row>
    <row r="21" spans="1:14" s="5" customFormat="1" ht="14.25" customHeight="1" x14ac:dyDescent="0.2">
      <c r="A21" s="82">
        <f>'$ VOLS'!E123</f>
        <v>5.12</v>
      </c>
      <c r="B21" s="187">
        <v>5.19</v>
      </c>
      <c r="C21" s="21">
        <f t="shared" si="5"/>
        <v>36960</v>
      </c>
      <c r="D21" s="128">
        <v>31415</v>
      </c>
      <c r="E21" s="6">
        <f t="shared" si="0"/>
        <v>19121.300000000003</v>
      </c>
      <c r="F21" s="6">
        <f t="shared" si="1"/>
        <v>12293.699999999997</v>
      </c>
      <c r="G21" s="6">
        <f t="shared" si="6"/>
        <v>0</v>
      </c>
      <c r="I21" s="187"/>
      <c r="J21" s="67">
        <f t="shared" si="2"/>
        <v>4.9739000000000004</v>
      </c>
      <c r="K21" s="67">
        <f t="shared" si="2"/>
        <v>5.0433000000000003</v>
      </c>
      <c r="L21" s="40">
        <f t="shared" si="3"/>
        <v>61147.634429999991</v>
      </c>
      <c r="M21" s="33">
        <f t="shared" si="7"/>
        <v>62000.817209999987</v>
      </c>
      <c r="N21" s="80">
        <f t="shared" si="4"/>
        <v>32166.729535000002</v>
      </c>
    </row>
    <row r="22" spans="1:14" s="1" customFormat="1" ht="14.25" customHeight="1" x14ac:dyDescent="0.2">
      <c r="A22" s="82">
        <f>'$ VOLS'!E124</f>
        <v>5.12</v>
      </c>
      <c r="B22" s="187">
        <f>+B21</f>
        <v>5.19</v>
      </c>
      <c r="C22" s="21">
        <f t="shared" si="5"/>
        <v>36961</v>
      </c>
      <c r="D22" s="128">
        <v>32655</v>
      </c>
      <c r="E22" s="6">
        <f t="shared" si="0"/>
        <v>19121.300000000003</v>
      </c>
      <c r="F22" s="6">
        <f t="shared" si="1"/>
        <v>13533.699999999997</v>
      </c>
      <c r="G22" s="6">
        <f t="shared" si="6"/>
        <v>0</v>
      </c>
      <c r="I22" s="187"/>
      <c r="J22" s="67">
        <f t="shared" si="2"/>
        <v>4.9739000000000004</v>
      </c>
      <c r="K22" s="67">
        <f t="shared" si="2"/>
        <v>5.0433000000000003</v>
      </c>
      <c r="L22" s="40">
        <f t="shared" si="3"/>
        <v>67315.27042999999</v>
      </c>
      <c r="M22" s="33">
        <f t="shared" si="7"/>
        <v>68254.509209999989</v>
      </c>
      <c r="N22" s="80">
        <f t="shared" si="4"/>
        <v>33436.401495000006</v>
      </c>
    </row>
    <row r="23" spans="1:14" s="1" customFormat="1" ht="14.25" customHeight="1" x14ac:dyDescent="0.2">
      <c r="A23" s="82">
        <f>'$ VOLS'!E125</f>
        <v>5.12</v>
      </c>
      <c r="B23" s="187">
        <f>+B22</f>
        <v>5.19</v>
      </c>
      <c r="C23" s="21">
        <f t="shared" si="5"/>
        <v>36962</v>
      </c>
      <c r="D23" s="128">
        <v>53205</v>
      </c>
      <c r="E23" s="6">
        <f t="shared" si="0"/>
        <v>19121.300000000003</v>
      </c>
      <c r="F23" s="6">
        <f t="shared" si="1"/>
        <v>34083.699999999997</v>
      </c>
      <c r="G23" s="6">
        <f t="shared" si="6"/>
        <v>0</v>
      </c>
      <c r="I23" s="187"/>
      <c r="J23" s="67">
        <f t="shared" si="2"/>
        <v>4.9739000000000004</v>
      </c>
      <c r="K23" s="67">
        <f t="shared" si="2"/>
        <v>5.0433000000000003</v>
      </c>
      <c r="L23" s="40">
        <f t="shared" si="3"/>
        <v>169528.91542999999</v>
      </c>
      <c r="M23" s="33">
        <f t="shared" si="7"/>
        <v>171894.32420999999</v>
      </c>
      <c r="N23" s="80">
        <f t="shared" si="4"/>
        <v>54478.142445000005</v>
      </c>
    </row>
    <row r="24" spans="1:14" s="5" customFormat="1" ht="14.25" customHeight="1" x14ac:dyDescent="0.2">
      <c r="A24" s="82">
        <f>'$ VOLS'!E126</f>
        <v>5</v>
      </c>
      <c r="B24" s="187">
        <f>+B23</f>
        <v>5.19</v>
      </c>
      <c r="C24" s="21">
        <f t="shared" si="5"/>
        <v>36963</v>
      </c>
      <c r="D24" s="128">
        <v>77624</v>
      </c>
      <c r="E24" s="6">
        <f t="shared" si="0"/>
        <v>19121.300000000003</v>
      </c>
      <c r="F24" s="6">
        <f t="shared" si="1"/>
        <v>58502.7</v>
      </c>
      <c r="G24" s="6">
        <f t="shared" si="6"/>
        <v>0</v>
      </c>
      <c r="I24" s="187"/>
      <c r="J24" s="67">
        <f t="shared" si="2"/>
        <v>4.8550000000000004</v>
      </c>
      <c r="K24" s="67">
        <f t="shared" si="2"/>
        <v>5.0433000000000003</v>
      </c>
      <c r="L24" s="40">
        <f t="shared" si="3"/>
        <v>284030.60850000003</v>
      </c>
      <c r="M24" s="33">
        <f t="shared" si="7"/>
        <v>295046.66691000003</v>
      </c>
      <c r="N24" s="80">
        <f t="shared" si="4"/>
        <v>79481.46469600001</v>
      </c>
    </row>
    <row r="25" spans="1:14" s="1" customFormat="1" ht="14.25" customHeight="1" x14ac:dyDescent="0.2">
      <c r="A25" s="82">
        <f>'$ VOLS'!E127</f>
        <v>5.085</v>
      </c>
      <c r="B25" s="187">
        <v>5.125</v>
      </c>
      <c r="C25" s="21">
        <f t="shared" si="5"/>
        <v>36964</v>
      </c>
      <c r="D25" s="128">
        <v>77386</v>
      </c>
      <c r="E25" s="6">
        <f t="shared" si="0"/>
        <v>19121.300000000003</v>
      </c>
      <c r="F25" s="6">
        <f t="shared" si="1"/>
        <v>58264.7</v>
      </c>
      <c r="G25" s="6">
        <f t="shared" si="6"/>
        <v>0</v>
      </c>
      <c r="I25" s="187"/>
      <c r="J25" s="67">
        <f t="shared" si="2"/>
        <v>4.9391999999999996</v>
      </c>
      <c r="K25" s="67">
        <f t="shared" si="2"/>
        <v>4.9789000000000003</v>
      </c>
      <c r="L25" s="40">
        <f t="shared" si="3"/>
        <v>287781.00623999996</v>
      </c>
      <c r="M25" s="33">
        <f t="shared" si="7"/>
        <v>290094.11482999998</v>
      </c>
      <c r="N25" s="80">
        <f t="shared" si="4"/>
        <v>79237.769594000012</v>
      </c>
    </row>
    <row r="26" spans="1:14" s="1" customFormat="1" ht="14.25" customHeight="1" x14ac:dyDescent="0.2">
      <c r="A26" s="82">
        <f>'$ VOLS'!E128</f>
        <v>4.9850000000000003</v>
      </c>
      <c r="B26" s="187">
        <v>5.0250000000000004</v>
      </c>
      <c r="C26" s="21">
        <f t="shared" si="5"/>
        <v>36965</v>
      </c>
      <c r="D26" s="128">
        <v>80530</v>
      </c>
      <c r="E26" s="6">
        <f t="shared" si="0"/>
        <v>19121.300000000003</v>
      </c>
      <c r="F26" s="6">
        <f t="shared" si="1"/>
        <v>61408.7</v>
      </c>
      <c r="G26" s="6">
        <f t="shared" si="6"/>
        <v>0</v>
      </c>
      <c r="I26" s="187"/>
      <c r="J26" s="67">
        <f t="shared" si="2"/>
        <v>4.8402000000000003</v>
      </c>
      <c r="K26" s="67">
        <f t="shared" si="2"/>
        <v>4.8798000000000004</v>
      </c>
      <c r="L26" s="40">
        <f t="shared" si="3"/>
        <v>297230.38974000001</v>
      </c>
      <c r="M26" s="33">
        <f t="shared" si="7"/>
        <v>299662.17426</v>
      </c>
      <c r="N26" s="80">
        <f t="shared" si="4"/>
        <v>82457.002370000002</v>
      </c>
    </row>
    <row r="27" spans="1:14" s="1" customFormat="1" ht="14.25" customHeight="1" x14ac:dyDescent="0.2">
      <c r="A27" s="119">
        <f>5.03</f>
        <v>5.03</v>
      </c>
      <c r="B27" s="187">
        <v>4.9400000000000004</v>
      </c>
      <c r="C27" s="21">
        <f t="shared" si="5"/>
        <v>36966</v>
      </c>
      <c r="D27" s="128">
        <v>76899</v>
      </c>
      <c r="E27" s="6">
        <f t="shared" si="0"/>
        <v>19121.300000000003</v>
      </c>
      <c r="F27" s="6">
        <f t="shared" si="1"/>
        <v>57777.7</v>
      </c>
      <c r="G27" s="6">
        <f t="shared" si="6"/>
        <v>0</v>
      </c>
      <c r="I27" s="187"/>
      <c r="J27" s="67">
        <f t="shared" si="2"/>
        <v>4.8846999999999996</v>
      </c>
      <c r="K27" s="67">
        <f t="shared" si="2"/>
        <v>4.7956000000000003</v>
      </c>
      <c r="L27" s="40">
        <f t="shared" si="3"/>
        <v>282226.73118999996</v>
      </c>
      <c r="M27" s="33">
        <f t="shared" si="7"/>
        <v>277078.73811999999</v>
      </c>
      <c r="N27" s="80">
        <f t="shared" si="4"/>
        <v>78739.116171000001</v>
      </c>
    </row>
    <row r="28" spans="1:14" s="1" customFormat="1" ht="14.25" customHeight="1" x14ac:dyDescent="0.2">
      <c r="A28" s="119">
        <f>5.03</f>
        <v>5.03</v>
      </c>
      <c r="B28" s="187">
        <v>4.9749999999999996</v>
      </c>
      <c r="C28" s="21">
        <f t="shared" si="5"/>
        <v>36967</v>
      </c>
      <c r="D28" s="128">
        <v>71926</v>
      </c>
      <c r="E28" s="6">
        <f t="shared" si="0"/>
        <v>19121.300000000003</v>
      </c>
      <c r="F28" s="6">
        <f t="shared" si="1"/>
        <v>52804.7</v>
      </c>
      <c r="G28" s="6">
        <f t="shared" si="6"/>
        <v>0</v>
      </c>
      <c r="I28" s="187"/>
      <c r="J28" s="67">
        <f t="shared" si="2"/>
        <v>4.8846999999999996</v>
      </c>
      <c r="K28" s="67">
        <f t="shared" si="2"/>
        <v>4.8301999999999996</v>
      </c>
      <c r="L28" s="40">
        <f t="shared" si="3"/>
        <v>257935.11808999997</v>
      </c>
      <c r="M28" s="33">
        <f t="shared" si="7"/>
        <v>255057.26193999997</v>
      </c>
      <c r="N28" s="80">
        <f t="shared" si="4"/>
        <v>73647.117254000012</v>
      </c>
    </row>
    <row r="29" spans="1:14" s="1" customFormat="1" ht="14.25" customHeight="1" x14ac:dyDescent="0.2">
      <c r="A29" s="119">
        <f>5.03</f>
        <v>5.03</v>
      </c>
      <c r="B29" s="187">
        <f>+B28</f>
        <v>4.9749999999999996</v>
      </c>
      <c r="C29" s="21">
        <f t="shared" si="5"/>
        <v>36968</v>
      </c>
      <c r="D29" s="128">
        <v>77622</v>
      </c>
      <c r="E29" s="6">
        <f t="shared" si="0"/>
        <v>19121.300000000003</v>
      </c>
      <c r="F29" s="6">
        <f t="shared" si="1"/>
        <v>58500.7</v>
      </c>
      <c r="G29" s="6">
        <f t="shared" si="6"/>
        <v>0</v>
      </c>
      <c r="I29" s="187"/>
      <c r="J29" s="67">
        <f t="shared" si="2"/>
        <v>4.8846999999999996</v>
      </c>
      <c r="K29" s="67">
        <f t="shared" si="2"/>
        <v>4.8301999999999996</v>
      </c>
      <c r="L29" s="40">
        <f t="shared" si="3"/>
        <v>285758.36928999994</v>
      </c>
      <c r="M29" s="33">
        <f t="shared" si="7"/>
        <v>282570.08113999997</v>
      </c>
      <c r="N29" s="80">
        <f t="shared" si="4"/>
        <v>79479.416838000005</v>
      </c>
    </row>
    <row r="30" spans="1:14" s="1" customFormat="1" ht="14.25" customHeight="1" x14ac:dyDescent="0.2">
      <c r="A30" s="82">
        <f>'$ VOLS'!E132</f>
        <v>5.01</v>
      </c>
      <c r="B30" s="187">
        <f>+B29</f>
        <v>4.9749999999999996</v>
      </c>
      <c r="C30" s="21">
        <f t="shared" si="5"/>
        <v>36969</v>
      </c>
      <c r="D30" s="128">
        <v>60629</v>
      </c>
      <c r="E30" s="6">
        <f t="shared" si="0"/>
        <v>19121.300000000003</v>
      </c>
      <c r="F30" s="6">
        <f t="shared" si="1"/>
        <v>41507.699999999997</v>
      </c>
      <c r="G30" s="6">
        <f t="shared" si="6"/>
        <v>0</v>
      </c>
      <c r="I30" s="187"/>
      <c r="J30" s="67">
        <f t="shared" si="2"/>
        <v>4.8648999999999996</v>
      </c>
      <c r="K30" s="67">
        <f t="shared" si="2"/>
        <v>4.8301999999999996</v>
      </c>
      <c r="L30" s="40">
        <f t="shared" si="3"/>
        <v>201930.80972999998</v>
      </c>
      <c r="M30" s="33">
        <f t="shared" si="7"/>
        <v>200490.49253999998</v>
      </c>
      <c r="N30" s="80">
        <f t="shared" si="4"/>
        <v>62079.791341000004</v>
      </c>
    </row>
    <row r="31" spans="1:14" s="1" customFormat="1" ht="14.25" customHeight="1" x14ac:dyDescent="0.2">
      <c r="A31" s="119">
        <f>'$ VOLS'!E133-0.055</f>
        <v>5.0049999999999999</v>
      </c>
      <c r="B31" s="187">
        <v>5.07</v>
      </c>
      <c r="C31" s="21">
        <f t="shared" si="5"/>
        <v>36970</v>
      </c>
      <c r="D31" s="128">
        <v>75420</v>
      </c>
      <c r="E31" s="6">
        <f t="shared" si="0"/>
        <v>19121.300000000003</v>
      </c>
      <c r="F31" s="6">
        <f t="shared" si="1"/>
        <v>56298.7</v>
      </c>
      <c r="G31" s="6">
        <f t="shared" si="6"/>
        <v>0</v>
      </c>
      <c r="I31" s="187"/>
      <c r="J31" s="67">
        <f t="shared" si="2"/>
        <v>4.8600000000000003</v>
      </c>
      <c r="K31" s="67">
        <f t="shared" si="2"/>
        <v>4.9244000000000003</v>
      </c>
      <c r="L31" s="40">
        <f t="shared" si="3"/>
        <v>273611.68200000003</v>
      </c>
      <c r="M31" s="33">
        <f t="shared" si="7"/>
        <v>277237.31828000001</v>
      </c>
      <c r="N31" s="80">
        <f t="shared" si="4"/>
        <v>77224.725180000009</v>
      </c>
    </row>
    <row r="32" spans="1:14" s="1" customFormat="1" ht="14.25" customHeight="1" x14ac:dyDescent="0.2">
      <c r="A32" s="119">
        <f>'$ VOLS'!E134-0.055</f>
        <v>5.0100000000000007</v>
      </c>
      <c r="B32" s="187">
        <v>5.0999999999999996</v>
      </c>
      <c r="C32" s="21">
        <f t="shared" si="5"/>
        <v>36971</v>
      </c>
      <c r="D32" s="128">
        <v>79287</v>
      </c>
      <c r="E32" s="6">
        <f t="shared" si="0"/>
        <v>19121.300000000003</v>
      </c>
      <c r="F32" s="6">
        <f t="shared" si="1"/>
        <v>60165.7</v>
      </c>
      <c r="G32" s="6">
        <f t="shared" si="6"/>
        <v>0</v>
      </c>
      <c r="I32" s="187"/>
      <c r="J32" s="67">
        <f t="shared" si="2"/>
        <v>4.8648999999999996</v>
      </c>
      <c r="K32" s="67">
        <f t="shared" si="2"/>
        <v>4.9541000000000004</v>
      </c>
      <c r="L32" s="40">
        <f t="shared" si="3"/>
        <v>292700.11392999993</v>
      </c>
      <c r="M32" s="33">
        <f t="shared" si="7"/>
        <v>298066.89436999999</v>
      </c>
      <c r="N32" s="80">
        <f t="shared" si="4"/>
        <v>81184.258623000002</v>
      </c>
    </row>
    <row r="33" spans="1:14" s="1" customFormat="1" ht="14.25" customHeight="1" x14ac:dyDescent="0.2">
      <c r="A33" s="119">
        <f>'$ VOLS'!E135-0.055</f>
        <v>5.08</v>
      </c>
      <c r="B33" s="187">
        <v>5.18</v>
      </c>
      <c r="C33" s="21">
        <f t="shared" si="5"/>
        <v>36972</v>
      </c>
      <c r="D33" s="128">
        <v>78137</v>
      </c>
      <c r="E33" s="6">
        <f t="shared" si="0"/>
        <v>19121.300000000003</v>
      </c>
      <c r="F33" s="6">
        <f t="shared" si="1"/>
        <v>59015.7</v>
      </c>
      <c r="G33" s="6">
        <f t="shared" si="6"/>
        <v>0</v>
      </c>
      <c r="I33" s="187"/>
      <c r="J33" s="67">
        <f t="shared" si="2"/>
        <v>4.9343000000000004</v>
      </c>
      <c r="K33" s="67">
        <f t="shared" si="2"/>
        <v>5.0334000000000003</v>
      </c>
      <c r="L33" s="40">
        <f t="shared" si="3"/>
        <v>291201.16850999999</v>
      </c>
      <c r="M33" s="33">
        <f t="shared" si="7"/>
        <v>297049.62437999999</v>
      </c>
      <c r="N33" s="80">
        <f t="shared" si="4"/>
        <v>80006.740273000003</v>
      </c>
    </row>
    <row r="34" spans="1:14" s="1" customFormat="1" ht="14.25" customHeight="1" x14ac:dyDescent="0.2">
      <c r="A34" s="119">
        <v>4.95</v>
      </c>
      <c r="B34" s="187">
        <v>5.0449999999999999</v>
      </c>
      <c r="C34" s="21">
        <f t="shared" si="5"/>
        <v>36973</v>
      </c>
      <c r="D34" s="128">
        <v>78328</v>
      </c>
      <c r="E34" s="6">
        <f t="shared" si="0"/>
        <v>19121.300000000003</v>
      </c>
      <c r="F34" s="6">
        <f t="shared" si="1"/>
        <v>59206.7</v>
      </c>
      <c r="G34" s="6">
        <f t="shared" si="6"/>
        <v>0</v>
      </c>
      <c r="I34" s="187"/>
      <c r="J34" s="67">
        <f t="shared" si="2"/>
        <v>4.8055000000000003</v>
      </c>
      <c r="K34" s="67">
        <f t="shared" si="2"/>
        <v>4.8996000000000004</v>
      </c>
      <c r="L34" s="40">
        <f t="shared" si="3"/>
        <v>284517.79684999998</v>
      </c>
      <c r="M34" s="33">
        <f t="shared" si="7"/>
        <v>290089.14731999999</v>
      </c>
      <c r="N34" s="80">
        <f t="shared" si="4"/>
        <v>80202.310712000006</v>
      </c>
    </row>
    <row r="35" spans="1:14" s="1" customFormat="1" ht="14.25" customHeight="1" x14ac:dyDescent="0.2">
      <c r="A35" s="119">
        <v>4.95</v>
      </c>
      <c r="B35" s="187">
        <f>+B37</f>
        <v>5.2450000000000001</v>
      </c>
      <c r="C35" s="21">
        <f t="shared" si="5"/>
        <v>36974</v>
      </c>
      <c r="D35" s="128">
        <v>68575</v>
      </c>
      <c r="E35" s="6">
        <f t="shared" si="0"/>
        <v>19121.300000000003</v>
      </c>
      <c r="F35" s="6">
        <f t="shared" si="1"/>
        <v>49453.7</v>
      </c>
      <c r="G35" s="6">
        <f t="shared" si="6"/>
        <v>0</v>
      </c>
      <c r="I35" s="187"/>
      <c r="J35" s="67">
        <f t="shared" si="2"/>
        <v>4.8055000000000003</v>
      </c>
      <c r="K35" s="67">
        <f t="shared" si="2"/>
        <v>5.0978000000000003</v>
      </c>
      <c r="L35" s="40">
        <f t="shared" si="3"/>
        <v>237649.75534999999</v>
      </c>
      <c r="M35" s="33">
        <f t="shared" si="7"/>
        <v>252105.07186</v>
      </c>
      <c r="N35" s="80">
        <f t="shared" si="4"/>
        <v>70215.931175000005</v>
      </c>
    </row>
    <row r="36" spans="1:14" s="1" customFormat="1" ht="14.25" customHeight="1" x14ac:dyDescent="0.2">
      <c r="A36" s="119">
        <v>4.95</v>
      </c>
      <c r="B36" s="187">
        <f>+B35</f>
        <v>5.2450000000000001</v>
      </c>
      <c r="C36" s="21">
        <f t="shared" si="5"/>
        <v>36975</v>
      </c>
      <c r="D36" s="128">
        <v>46827</v>
      </c>
      <c r="E36" s="6">
        <f t="shared" si="0"/>
        <v>19121.300000000003</v>
      </c>
      <c r="F36" s="6">
        <f t="shared" si="1"/>
        <v>27705.699999999997</v>
      </c>
      <c r="G36" s="6">
        <f t="shared" si="6"/>
        <v>0</v>
      </c>
      <c r="I36" s="187"/>
      <c r="J36" s="67">
        <f t="shared" si="2"/>
        <v>4.8055000000000003</v>
      </c>
      <c r="K36" s="67">
        <f t="shared" si="2"/>
        <v>5.0978000000000003</v>
      </c>
      <c r="L36" s="40">
        <f t="shared" si="3"/>
        <v>133139.74135</v>
      </c>
      <c r="M36" s="33">
        <f t="shared" si="7"/>
        <v>141238.11746000001</v>
      </c>
      <c r="N36" s="80">
        <f t="shared" si="4"/>
        <v>47947.523283000002</v>
      </c>
    </row>
    <row r="37" spans="1:14" s="1" customFormat="1" ht="14.25" customHeight="1" x14ac:dyDescent="0.2">
      <c r="A37" s="119">
        <v>4.96</v>
      </c>
      <c r="B37" s="187">
        <v>5.2450000000000001</v>
      </c>
      <c r="C37" s="21">
        <f t="shared" si="5"/>
        <v>36976</v>
      </c>
      <c r="D37" s="128">
        <v>63437</v>
      </c>
      <c r="E37" s="6">
        <f t="shared" si="0"/>
        <v>19121.300000000003</v>
      </c>
      <c r="F37" s="6">
        <f t="shared" si="1"/>
        <v>44315.7</v>
      </c>
      <c r="G37" s="6">
        <f t="shared" si="6"/>
        <v>0</v>
      </c>
      <c r="I37" s="187"/>
      <c r="J37" s="67">
        <f t="shared" si="2"/>
        <v>4.8154000000000003</v>
      </c>
      <c r="K37" s="67">
        <f t="shared" si="2"/>
        <v>5.0978000000000003</v>
      </c>
      <c r="L37" s="40">
        <f t="shared" si="3"/>
        <v>213397.82178</v>
      </c>
      <c r="M37" s="33">
        <f t="shared" si="7"/>
        <v>225912.57545999999</v>
      </c>
      <c r="N37" s="80">
        <f t="shared" si="4"/>
        <v>64954.983973000002</v>
      </c>
    </row>
    <row r="38" spans="1:14" s="1" customFormat="1" ht="14.25" customHeight="1" x14ac:dyDescent="0.2">
      <c r="A38" s="119">
        <v>5.12</v>
      </c>
      <c r="B38" s="187">
        <v>5.19</v>
      </c>
      <c r="C38" s="21">
        <f t="shared" si="5"/>
        <v>36977</v>
      </c>
      <c r="D38" s="128">
        <v>67505</v>
      </c>
      <c r="E38" s="6">
        <f t="shared" si="0"/>
        <v>19121.300000000003</v>
      </c>
      <c r="F38" s="6">
        <f t="shared" si="1"/>
        <v>48383.7</v>
      </c>
      <c r="G38" s="6">
        <f t="shared" si="6"/>
        <v>0</v>
      </c>
      <c r="I38" s="187"/>
      <c r="J38" s="67">
        <f t="shared" si="2"/>
        <v>4.9739000000000004</v>
      </c>
      <c r="K38" s="67">
        <f t="shared" si="2"/>
        <v>5.0433000000000003</v>
      </c>
      <c r="L38" s="40">
        <f t="shared" si="3"/>
        <v>240655.68543000001</v>
      </c>
      <c r="M38" s="33">
        <f t="shared" si="7"/>
        <v>244013.51420999999</v>
      </c>
      <c r="N38" s="80">
        <f t="shared" si="4"/>
        <v>69120.327145000003</v>
      </c>
    </row>
    <row r="39" spans="1:14" s="1" customFormat="1" ht="14.25" customHeight="1" x14ac:dyDescent="0.2">
      <c r="A39" s="119">
        <v>5.12</v>
      </c>
      <c r="B39" s="187">
        <v>5.335</v>
      </c>
      <c r="C39" s="21">
        <f t="shared" si="5"/>
        <v>36978</v>
      </c>
      <c r="D39" s="128">
        <v>54087</v>
      </c>
      <c r="E39" s="6">
        <f t="shared" si="0"/>
        <v>19121.300000000003</v>
      </c>
      <c r="F39" s="6">
        <f t="shared" si="1"/>
        <v>34965.699999999997</v>
      </c>
      <c r="G39" s="6">
        <f t="shared" si="6"/>
        <v>0</v>
      </c>
      <c r="I39" s="187"/>
      <c r="J39" s="67">
        <f t="shared" si="2"/>
        <v>4.9739000000000004</v>
      </c>
      <c r="K39" s="67">
        <f t="shared" si="2"/>
        <v>5.1870000000000003</v>
      </c>
      <c r="L39" s="40">
        <f t="shared" si="3"/>
        <v>173915.89522999999</v>
      </c>
      <c r="M39" s="33">
        <f t="shared" si="7"/>
        <v>181367.08590000001</v>
      </c>
      <c r="N39" s="80">
        <f t="shared" si="4"/>
        <v>55381.247823000005</v>
      </c>
    </row>
    <row r="40" spans="1:14" s="1" customFormat="1" ht="14.25" customHeight="1" x14ac:dyDescent="0.2">
      <c r="A40" s="119">
        <v>5.03</v>
      </c>
      <c r="B40" s="187">
        <v>5.5350000000000001</v>
      </c>
      <c r="C40" s="21">
        <f t="shared" si="5"/>
        <v>36979</v>
      </c>
      <c r="D40" s="128">
        <v>49697</v>
      </c>
      <c r="E40" s="6">
        <f t="shared" si="0"/>
        <v>19121.300000000003</v>
      </c>
      <c r="F40" s="6">
        <f t="shared" si="1"/>
        <v>30575.699999999997</v>
      </c>
      <c r="G40" s="6">
        <f t="shared" si="6"/>
        <v>0</v>
      </c>
      <c r="I40" s="187"/>
      <c r="J40" s="67">
        <f t="shared" si="2"/>
        <v>4.8846999999999996</v>
      </c>
      <c r="K40" s="67">
        <f t="shared" si="2"/>
        <v>5.3851000000000004</v>
      </c>
      <c r="L40" s="40">
        <f t="shared" si="3"/>
        <v>149353.12178999998</v>
      </c>
      <c r="M40" s="33">
        <f t="shared" si="7"/>
        <v>164653.20207</v>
      </c>
      <c r="N40" s="80">
        <f t="shared" si="4"/>
        <v>50886.199513000007</v>
      </c>
    </row>
    <row r="41" spans="1:14" s="1" customFormat="1" ht="14.25" customHeight="1" x14ac:dyDescent="0.2">
      <c r="A41" s="119">
        <v>5.03</v>
      </c>
      <c r="B41" s="187">
        <v>5.3049999999999997</v>
      </c>
      <c r="C41" s="21">
        <f t="shared" si="5"/>
        <v>36980</v>
      </c>
      <c r="D41" s="128">
        <v>53422</v>
      </c>
      <c r="E41" s="6">
        <f t="shared" si="0"/>
        <v>19121.300000000003</v>
      </c>
      <c r="F41" s="6">
        <f t="shared" si="1"/>
        <v>34300.699999999997</v>
      </c>
      <c r="G41" s="6">
        <f t="shared" si="6"/>
        <v>0</v>
      </c>
      <c r="I41" s="187"/>
      <c r="J41" s="67">
        <f t="shared" si="2"/>
        <v>4.8846999999999996</v>
      </c>
      <c r="K41" s="67">
        <f t="shared" si="2"/>
        <v>5.1571999999999996</v>
      </c>
      <c r="L41" s="40">
        <f t="shared" si="3"/>
        <v>167548.62928999998</v>
      </c>
      <c r="M41" s="33">
        <f t="shared" si="7"/>
        <v>176895.57003999996</v>
      </c>
      <c r="N41" s="80">
        <f t="shared" si="4"/>
        <v>54700.335038000005</v>
      </c>
    </row>
    <row r="42" spans="1:14" s="1" customFormat="1" ht="14.25" customHeight="1" x14ac:dyDescent="0.2">
      <c r="A42" s="82">
        <f>'$ VOLS'!E144</f>
        <v>5.3</v>
      </c>
      <c r="B42" s="187">
        <v>5.3949999999999996</v>
      </c>
      <c r="C42" s="21">
        <f t="shared" si="5"/>
        <v>36981</v>
      </c>
      <c r="D42" s="128">
        <v>51740</v>
      </c>
      <c r="E42" s="6">
        <f>IF(D42&gt;$E$7,$E$7,D42)</f>
        <v>19121.300000000003</v>
      </c>
      <c r="F42" s="6">
        <f t="shared" si="1"/>
        <v>32618.699999999997</v>
      </c>
      <c r="G42" s="6">
        <v>0</v>
      </c>
      <c r="I42" s="187"/>
      <c r="J42" s="67">
        <f t="shared" si="2"/>
        <v>5.1523000000000003</v>
      </c>
      <c r="K42" s="67">
        <f t="shared" si="2"/>
        <v>5.2464000000000004</v>
      </c>
      <c r="L42" s="40">
        <f t="shared" si="3"/>
        <v>168061.32801</v>
      </c>
      <c r="M42" s="33">
        <f t="shared" si="7"/>
        <v>171130.74768</v>
      </c>
      <c r="N42" s="80">
        <f t="shared" si="4"/>
        <v>52978.086460000006</v>
      </c>
    </row>
    <row r="43" spans="1:14" s="1" customFormat="1" ht="14.25" x14ac:dyDescent="0.2">
      <c r="A43" s="188">
        <f>SUM(A12:A42)</f>
        <v>158.33000000000004</v>
      </c>
      <c r="B43" s="188">
        <f>SUM(B12:B42)</f>
        <v>160.55000000000001</v>
      </c>
      <c r="C43" s="21" t="s">
        <v>104</v>
      </c>
      <c r="D43" s="30">
        <f>SUM(D12:D42)</f>
        <v>1818388</v>
      </c>
      <c r="E43" s="30">
        <f>SUM(E12:E42)</f>
        <v>592760.29999999993</v>
      </c>
      <c r="F43" s="30">
        <f>SUM(F12:F42)</f>
        <v>1225627.6999999995</v>
      </c>
      <c r="G43" s="30">
        <f>SUM(G12:G42)</f>
        <v>0</v>
      </c>
      <c r="I43" s="188"/>
      <c r="J43" s="188">
        <f>SUM(J12:J42)</f>
        <v>153.8049</v>
      </c>
      <c r="K43" s="188">
        <f>SUM(K12:K42)</f>
        <v>156.00490000000002</v>
      </c>
      <c r="L43" s="79">
        <f>SUM(L12:L42)</f>
        <v>6045998.0241299989</v>
      </c>
      <c r="M43" s="79">
        <f>SUM(M12:M42)</f>
        <v>6138814.7254299987</v>
      </c>
      <c r="N43" s="5"/>
    </row>
    <row r="44" spans="1:14" s="1" customFormat="1" ht="12.75" x14ac:dyDescent="0.2">
      <c r="B44" s="184"/>
      <c r="C44" s="2"/>
      <c r="D44" s="28">
        <f>E43+F43</f>
        <v>1818387.9999999995</v>
      </c>
      <c r="E44" s="42" t="s">
        <v>0</v>
      </c>
      <c r="F44" s="14" t="s">
        <v>0</v>
      </c>
      <c r="G44" s="28" t="s">
        <v>0</v>
      </c>
      <c r="I44" s="184"/>
      <c r="J44" s="43" t="s">
        <v>0</v>
      </c>
      <c r="K44" s="43" t="s">
        <v>0</v>
      </c>
      <c r="M44" s="31"/>
      <c r="N44" s="5"/>
    </row>
    <row r="45" spans="1:14" s="1" customFormat="1" ht="14.25" x14ac:dyDescent="0.2">
      <c r="A45" s="85">
        <f>AVERAGE(A26:A41)</f>
        <v>5.0181250000000013</v>
      </c>
      <c r="B45" s="184"/>
      <c r="C45" s="2" t="s">
        <v>0</v>
      </c>
      <c r="D45" s="28">
        <f>+D44-D43</f>
        <v>0</v>
      </c>
      <c r="E45" s="32" t="s">
        <v>5</v>
      </c>
      <c r="F45" s="18" t="s">
        <v>0</v>
      </c>
      <c r="G45" s="13"/>
      <c r="I45" s="184"/>
      <c r="M45" s="31"/>
    </row>
    <row r="46" spans="1:14" s="1" customFormat="1" ht="5.25" customHeight="1" x14ac:dyDescent="0.2">
      <c r="B46" s="184"/>
      <c r="D46" s="28"/>
      <c r="I46" s="184"/>
      <c r="M46" s="31"/>
    </row>
    <row r="47" spans="1:14" s="1" customFormat="1" ht="14.25" x14ac:dyDescent="0.2">
      <c r="B47" s="184"/>
      <c r="C47" s="2"/>
      <c r="D47" s="30" t="s">
        <v>6</v>
      </c>
      <c r="E47" s="3"/>
      <c r="F47" s="23">
        <f>+E43</f>
        <v>592760.29999999993</v>
      </c>
      <c r="G47" s="24">
        <f>'$ VOLS'!E22</f>
        <v>4.9299000000000008</v>
      </c>
      <c r="I47" s="184"/>
      <c r="J47" s="17">
        <f>+G47*E43</f>
        <v>2922249.0029700003</v>
      </c>
      <c r="K47" s="17"/>
      <c r="M47" s="45" t="s">
        <v>22</v>
      </c>
      <c r="N47" s="46">
        <v>0.1004</v>
      </c>
    </row>
    <row r="48" spans="1:14" s="1" customFormat="1" ht="14.25" x14ac:dyDescent="0.2">
      <c r="B48" s="184"/>
      <c r="C48" s="2"/>
      <c r="D48" s="30" t="s">
        <v>17</v>
      </c>
      <c r="E48" s="3"/>
      <c r="F48" s="23">
        <f>+F43</f>
        <v>1225627.6999999995</v>
      </c>
      <c r="G48" s="3"/>
      <c r="I48" s="184"/>
      <c r="J48" s="17">
        <f>+L43</f>
        <v>6045998.0241299989</v>
      </c>
      <c r="K48" s="17"/>
      <c r="M48" s="31" t="s">
        <v>23</v>
      </c>
      <c r="N48" s="47">
        <v>9.1000000000000004E-3</v>
      </c>
    </row>
    <row r="49" spans="2:13" s="1" customFormat="1" ht="14.25" x14ac:dyDescent="0.2">
      <c r="B49" s="184"/>
      <c r="C49" s="2"/>
      <c r="D49" s="30" t="s">
        <v>156</v>
      </c>
      <c r="E49" s="3"/>
      <c r="F49" s="25"/>
      <c r="G49" s="3"/>
      <c r="I49" s="184"/>
      <c r="J49" s="27">
        <f>+M43-L43</f>
        <v>92816.701299999841</v>
      </c>
      <c r="K49" s="27"/>
      <c r="M49" s="31"/>
    </row>
    <row r="50" spans="2:13" s="1" customFormat="1" ht="15" thickBot="1" x14ac:dyDescent="0.25">
      <c r="B50" s="184"/>
      <c r="C50" s="2"/>
      <c r="D50" s="30"/>
      <c r="E50" s="3"/>
      <c r="F50" s="23">
        <f>SUM(F47:F49)</f>
        <v>1818387.9999999995</v>
      </c>
      <c r="G50" s="41">
        <f>+J50/F50</f>
        <v>4.9830199761547052</v>
      </c>
      <c r="I50" s="184"/>
      <c r="J50" s="26">
        <f>SUM(J47:J49)</f>
        <v>9061063.7283999994</v>
      </c>
      <c r="K50" s="26"/>
      <c r="L50" s="37"/>
      <c r="M50" s="31"/>
    </row>
    <row r="51" spans="2:13" s="1" customFormat="1" ht="13.5" thickTop="1" x14ac:dyDescent="0.2">
      <c r="C51" s="2" t="s">
        <v>0</v>
      </c>
      <c r="D51" s="28"/>
      <c r="M51" s="31"/>
    </row>
    <row r="52" spans="2:13" s="8" customFormat="1" ht="24" customHeight="1" x14ac:dyDescent="0.2">
      <c r="C52" s="114"/>
      <c r="D52" s="118"/>
      <c r="F52" s="116"/>
      <c r="G52" s="44" t="s">
        <v>0</v>
      </c>
      <c r="J52" s="44" t="s">
        <v>0</v>
      </c>
      <c r="K52" s="44" t="s">
        <v>0</v>
      </c>
      <c r="M52" s="35"/>
    </row>
    <row r="53" spans="2:13" s="5" customFormat="1" ht="12" customHeight="1" x14ac:dyDescent="0.2">
      <c r="C53" s="7"/>
      <c r="D53" s="115"/>
      <c r="F53" s="116"/>
      <c r="J53" s="5" t="s">
        <v>0</v>
      </c>
      <c r="K53" s="5" t="s">
        <v>0</v>
      </c>
      <c r="M53" s="34"/>
    </row>
    <row r="54" spans="2:13" ht="12.75" x14ac:dyDescent="0.2">
      <c r="C54" s="7"/>
      <c r="D54" s="115"/>
      <c r="F54" s="116"/>
    </row>
    <row r="55" spans="2:13" ht="12.75" x14ac:dyDescent="0.2">
      <c r="C55" s="7"/>
      <c r="D55" s="115"/>
      <c r="F55" s="117"/>
    </row>
    <row r="56" spans="2:13" ht="12.75" x14ac:dyDescent="0.2">
      <c r="B56" s="189"/>
      <c r="C56" s="7"/>
      <c r="D56" s="115"/>
      <c r="F56" s="117"/>
      <c r="I56" s="189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topLeftCell="A2" workbookViewId="0">
      <selection activeCell="A12" sqref="A12"/>
    </sheetView>
  </sheetViews>
  <sheetFormatPr defaultRowHeight="12" x14ac:dyDescent="0.15"/>
  <cols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tr">
        <f>'$ VOLS'!F19</f>
        <v>Garden Banks 236 /367</v>
      </c>
      <c r="C3" s="172"/>
      <c r="D3" s="5"/>
      <c r="E3" s="68" t="s">
        <v>0</v>
      </c>
      <c r="F3" s="5"/>
      <c r="G3" s="5"/>
      <c r="I3" s="38"/>
    </row>
    <row r="4" spans="1:10" s="10" customFormat="1" ht="18.75" x14ac:dyDescent="0.3"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VOLS'!G19</f>
        <v>3093</v>
      </c>
      <c r="E6" s="5" t="s">
        <v>0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3402.3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2783.7000000000003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95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">
      <c r="A12" s="82">
        <f>'$ VOLS'!D114</f>
        <v>5.19</v>
      </c>
      <c r="B12" s="21">
        <v>36951</v>
      </c>
      <c r="C12" s="177">
        <v>10057.77419</v>
      </c>
      <c r="D12" s="6">
        <f t="shared" ref="D12:D42" si="0">IF(C12&gt;$D$7,$D$7,C12)</f>
        <v>3402.3</v>
      </c>
      <c r="E12" s="6">
        <f t="shared" ref="E12:E42" si="1">IF(C12&gt;$D$7,C12-D12,0)</f>
        <v>6655.4741899999999</v>
      </c>
      <c r="F12" s="6">
        <f t="shared" ref="F12:F41" si="2">IF(N12&lt;0,N12,0)</f>
        <v>0</v>
      </c>
      <c r="G12" s="67">
        <f t="shared" ref="G12:G42" si="3">ROUND(A12-$J$47-(A12-$J$47)*$J$48,4)</f>
        <v>5.0433000000000003</v>
      </c>
      <c r="H12" s="40">
        <f t="shared" ref="H12:H42" si="4">+G12*E12</f>
        <v>33565.552982427005</v>
      </c>
      <c r="I12" s="33">
        <f t="shared" ref="I12:I42" si="5">IF(G12&gt;$F$47,($F$47-G12)*F12,0)</f>
        <v>0</v>
      </c>
      <c r="J12" s="80">
        <f t="shared" ref="J12:J42" si="6">C12*$J$11</f>
        <v>10298.446668592511</v>
      </c>
    </row>
    <row r="13" spans="1:10" s="5" customFormat="1" ht="14.25" customHeight="1" x14ac:dyDescent="0.2">
      <c r="A13" s="82">
        <f>'$ VOLS'!D115</f>
        <v>5.1150000000000002</v>
      </c>
      <c r="B13" s="21">
        <f t="shared" ref="B13:B42" si="7">+B12+1</f>
        <v>36952</v>
      </c>
      <c r="C13" s="177">
        <v>10057.77419</v>
      </c>
      <c r="D13" s="6">
        <f t="shared" si="0"/>
        <v>3402.3</v>
      </c>
      <c r="E13" s="6">
        <f t="shared" si="1"/>
        <v>6655.4741899999999</v>
      </c>
      <c r="F13" s="6">
        <f t="shared" si="2"/>
        <v>0</v>
      </c>
      <c r="G13" s="67">
        <f t="shared" si="3"/>
        <v>4.9690000000000003</v>
      </c>
      <c r="H13" s="40">
        <f t="shared" si="4"/>
        <v>33071.051250110002</v>
      </c>
      <c r="I13" s="33">
        <f t="shared" si="5"/>
        <v>0</v>
      </c>
      <c r="J13" s="80">
        <f t="shared" si="6"/>
        <v>10298.446668592511</v>
      </c>
    </row>
    <row r="14" spans="1:10" s="5" customFormat="1" ht="14.25" customHeight="1" x14ac:dyDescent="0.2">
      <c r="A14" s="82">
        <f>'$ VOLS'!D116</f>
        <v>5.0999999999999996</v>
      </c>
      <c r="B14" s="21">
        <f t="shared" si="7"/>
        <v>36953</v>
      </c>
      <c r="C14" s="177">
        <v>10057.77419</v>
      </c>
      <c r="D14" s="6">
        <f t="shared" si="0"/>
        <v>3402.3</v>
      </c>
      <c r="E14" s="6">
        <f t="shared" si="1"/>
        <v>6655.4741899999999</v>
      </c>
      <c r="F14" s="6">
        <f t="shared" si="2"/>
        <v>0</v>
      </c>
      <c r="G14" s="67">
        <f t="shared" si="3"/>
        <v>4.9541000000000004</v>
      </c>
      <c r="H14" s="40">
        <f t="shared" si="4"/>
        <v>32971.884684679004</v>
      </c>
      <c r="I14" s="33">
        <f t="shared" si="5"/>
        <v>0</v>
      </c>
      <c r="J14" s="80">
        <f t="shared" si="6"/>
        <v>10298.446668592511</v>
      </c>
    </row>
    <row r="15" spans="1:10" s="5" customFormat="1" ht="14.25" customHeight="1" x14ac:dyDescent="0.2">
      <c r="A15" s="82">
        <f>'$ VOLS'!D117</f>
        <v>5.0999999999999996</v>
      </c>
      <c r="B15" s="21">
        <f t="shared" si="7"/>
        <v>36954</v>
      </c>
      <c r="C15" s="177">
        <v>10057.77419</v>
      </c>
      <c r="D15" s="6">
        <f t="shared" si="0"/>
        <v>3402.3</v>
      </c>
      <c r="E15" s="6">
        <f t="shared" si="1"/>
        <v>6655.4741899999999</v>
      </c>
      <c r="F15" s="6">
        <f t="shared" si="2"/>
        <v>0</v>
      </c>
      <c r="G15" s="67">
        <f t="shared" si="3"/>
        <v>4.9541000000000004</v>
      </c>
      <c r="H15" s="40">
        <f t="shared" si="4"/>
        <v>32971.884684679004</v>
      </c>
      <c r="I15" s="33">
        <f t="shared" si="5"/>
        <v>0</v>
      </c>
      <c r="J15" s="80">
        <f t="shared" si="6"/>
        <v>10298.446668592511</v>
      </c>
    </row>
    <row r="16" spans="1:10" s="5" customFormat="1" ht="14.25" customHeight="1" x14ac:dyDescent="0.2">
      <c r="A16" s="82">
        <f>'$ VOLS'!D118</f>
        <v>5.0999999999999996</v>
      </c>
      <c r="B16" s="21">
        <f t="shared" si="7"/>
        <v>36955</v>
      </c>
      <c r="C16" s="177">
        <v>10057.77419</v>
      </c>
      <c r="D16" s="6">
        <f t="shared" si="0"/>
        <v>3402.3</v>
      </c>
      <c r="E16" s="6">
        <f t="shared" si="1"/>
        <v>6655.4741899999999</v>
      </c>
      <c r="F16" s="6">
        <f t="shared" si="2"/>
        <v>0</v>
      </c>
      <c r="G16" s="67">
        <f t="shared" si="3"/>
        <v>4.9541000000000004</v>
      </c>
      <c r="H16" s="40">
        <f t="shared" si="4"/>
        <v>32971.884684679004</v>
      </c>
      <c r="I16" s="33">
        <f t="shared" si="5"/>
        <v>0</v>
      </c>
      <c r="J16" s="80">
        <f t="shared" si="6"/>
        <v>10298.446668592511</v>
      </c>
    </row>
    <row r="17" spans="1:10" s="5" customFormat="1" ht="14.25" customHeight="1" x14ac:dyDescent="0.2">
      <c r="A17" s="82">
        <f>'$ VOLS'!D119</f>
        <v>5.32</v>
      </c>
      <c r="B17" s="21">
        <f t="shared" si="7"/>
        <v>36956</v>
      </c>
      <c r="C17" s="177">
        <v>10057.77419</v>
      </c>
      <c r="D17" s="6">
        <f t="shared" si="0"/>
        <v>3402.3</v>
      </c>
      <c r="E17" s="6">
        <f t="shared" si="1"/>
        <v>6655.4741899999999</v>
      </c>
      <c r="F17" s="6">
        <f t="shared" si="2"/>
        <v>0</v>
      </c>
      <c r="G17" s="67">
        <f t="shared" si="3"/>
        <v>5.1721000000000004</v>
      </c>
      <c r="H17" s="40">
        <f t="shared" si="4"/>
        <v>34422.778058099</v>
      </c>
      <c r="I17" s="33">
        <f t="shared" si="5"/>
        <v>0</v>
      </c>
      <c r="J17" s="80">
        <f t="shared" si="6"/>
        <v>10298.446668592511</v>
      </c>
    </row>
    <row r="18" spans="1:10" s="5" customFormat="1" ht="14.25" customHeight="1" x14ac:dyDescent="0.2">
      <c r="A18" s="82">
        <f>'$ VOLS'!D120</f>
        <v>5.27</v>
      </c>
      <c r="B18" s="21">
        <f t="shared" si="7"/>
        <v>36957</v>
      </c>
      <c r="C18" s="177">
        <v>10057.77419</v>
      </c>
      <c r="D18" s="6">
        <f t="shared" si="0"/>
        <v>3402.3</v>
      </c>
      <c r="E18" s="6">
        <f t="shared" si="1"/>
        <v>6655.4741899999999</v>
      </c>
      <c r="F18" s="6">
        <f t="shared" si="2"/>
        <v>0</v>
      </c>
      <c r="G18" s="67">
        <f t="shared" si="3"/>
        <v>5.1226000000000003</v>
      </c>
      <c r="H18" s="40">
        <f t="shared" si="4"/>
        <v>34093.332085694004</v>
      </c>
      <c r="I18" s="33">
        <f t="shared" si="5"/>
        <v>0</v>
      </c>
      <c r="J18" s="80">
        <f t="shared" si="6"/>
        <v>10298.446668592511</v>
      </c>
    </row>
    <row r="19" spans="1:10" s="5" customFormat="1" ht="14.25" customHeight="1" x14ac:dyDescent="0.2">
      <c r="A19" s="82">
        <f>'$ VOLS'!D121</f>
        <v>5.22</v>
      </c>
      <c r="B19" s="21">
        <f t="shared" si="7"/>
        <v>36958</v>
      </c>
      <c r="C19" s="177">
        <v>10057.77419</v>
      </c>
      <c r="D19" s="6">
        <f t="shared" si="0"/>
        <v>3402.3</v>
      </c>
      <c r="E19" s="6">
        <f t="shared" si="1"/>
        <v>6655.4741899999999</v>
      </c>
      <c r="F19" s="6">
        <f t="shared" si="2"/>
        <v>0</v>
      </c>
      <c r="G19" s="67">
        <f t="shared" si="3"/>
        <v>5.0730000000000004</v>
      </c>
      <c r="H19" s="40">
        <f t="shared" si="4"/>
        <v>33763.220565870004</v>
      </c>
      <c r="I19" s="33">
        <f t="shared" si="5"/>
        <v>0</v>
      </c>
      <c r="J19" s="80">
        <f t="shared" si="6"/>
        <v>10298.446668592511</v>
      </c>
    </row>
    <row r="20" spans="1:10" s="5" customFormat="1" ht="14.25" customHeight="1" x14ac:dyDescent="0.2">
      <c r="A20" s="82">
        <f>'$ VOLS'!D122</f>
        <v>5.2450000000000001</v>
      </c>
      <c r="B20" s="21">
        <f t="shared" si="7"/>
        <v>36959</v>
      </c>
      <c r="C20" s="177">
        <v>10057.77419</v>
      </c>
      <c r="D20" s="6">
        <f t="shared" si="0"/>
        <v>3402.3</v>
      </c>
      <c r="E20" s="6">
        <f t="shared" si="1"/>
        <v>6655.4741899999999</v>
      </c>
      <c r="F20" s="6">
        <f t="shared" si="2"/>
        <v>0</v>
      </c>
      <c r="G20" s="67">
        <f t="shared" si="3"/>
        <v>5.0978000000000003</v>
      </c>
      <c r="H20" s="40">
        <f t="shared" si="4"/>
        <v>33928.276325782004</v>
      </c>
      <c r="I20" s="33">
        <f t="shared" si="5"/>
        <v>0</v>
      </c>
      <c r="J20" s="80">
        <f t="shared" si="6"/>
        <v>10298.446668592511</v>
      </c>
    </row>
    <row r="21" spans="1:10" s="5" customFormat="1" ht="14.25" customHeight="1" x14ac:dyDescent="0.2">
      <c r="A21" s="82">
        <f>'$ VOLS'!D123</f>
        <v>5.1349999999999998</v>
      </c>
      <c r="B21" s="21">
        <f t="shared" si="7"/>
        <v>36960</v>
      </c>
      <c r="C21" s="177">
        <v>10057.77419</v>
      </c>
      <c r="D21" s="6">
        <f t="shared" si="0"/>
        <v>3402.3</v>
      </c>
      <c r="E21" s="6">
        <f t="shared" si="1"/>
        <v>6655.4741899999999</v>
      </c>
      <c r="F21" s="6">
        <f t="shared" si="2"/>
        <v>0</v>
      </c>
      <c r="G21" s="67">
        <f t="shared" si="3"/>
        <v>4.9888000000000003</v>
      </c>
      <c r="H21" s="40">
        <f t="shared" si="4"/>
        <v>33202.829639071999</v>
      </c>
      <c r="I21" s="33">
        <f t="shared" si="5"/>
        <v>0</v>
      </c>
      <c r="J21" s="80">
        <f t="shared" si="6"/>
        <v>10298.446668592511</v>
      </c>
    </row>
    <row r="22" spans="1:10" s="1" customFormat="1" ht="14.25" customHeight="1" x14ac:dyDescent="0.2">
      <c r="A22" s="82">
        <f>'$ VOLS'!D124</f>
        <v>5.1349999999999998</v>
      </c>
      <c r="B22" s="21">
        <f t="shared" si="7"/>
        <v>36961</v>
      </c>
      <c r="C22" s="177">
        <v>10057.77419</v>
      </c>
      <c r="D22" s="6">
        <f t="shared" si="0"/>
        <v>3402.3</v>
      </c>
      <c r="E22" s="6">
        <f t="shared" si="1"/>
        <v>6655.4741899999999</v>
      </c>
      <c r="F22" s="6">
        <f t="shared" si="2"/>
        <v>0</v>
      </c>
      <c r="G22" s="67">
        <f t="shared" si="3"/>
        <v>4.9888000000000003</v>
      </c>
      <c r="H22" s="40">
        <f t="shared" si="4"/>
        <v>33202.829639071999</v>
      </c>
      <c r="I22" s="33">
        <f t="shared" si="5"/>
        <v>0</v>
      </c>
      <c r="J22" s="80">
        <f t="shared" si="6"/>
        <v>10298.446668592511</v>
      </c>
    </row>
    <row r="23" spans="1:10" s="1" customFormat="1" ht="14.25" customHeight="1" x14ac:dyDescent="0.2">
      <c r="A23" s="82">
        <f>'$ VOLS'!D125</f>
        <v>5.1349999999999998</v>
      </c>
      <c r="B23" s="21">
        <f t="shared" si="7"/>
        <v>36962</v>
      </c>
      <c r="C23" s="177">
        <v>10057.77419</v>
      </c>
      <c r="D23" s="6">
        <f t="shared" si="0"/>
        <v>3402.3</v>
      </c>
      <c r="E23" s="6">
        <f t="shared" si="1"/>
        <v>6655.4741899999999</v>
      </c>
      <c r="F23" s="6">
        <f t="shared" si="2"/>
        <v>0</v>
      </c>
      <c r="G23" s="67">
        <f t="shared" si="3"/>
        <v>4.9888000000000003</v>
      </c>
      <c r="H23" s="40">
        <f t="shared" si="4"/>
        <v>33202.829639071999</v>
      </c>
      <c r="I23" s="33">
        <f t="shared" si="5"/>
        <v>0</v>
      </c>
      <c r="J23" s="80">
        <f t="shared" si="6"/>
        <v>10298.446668592511</v>
      </c>
    </row>
    <row r="24" spans="1:10" s="5" customFormat="1" ht="14.25" customHeight="1" x14ac:dyDescent="0.2">
      <c r="A24" s="82">
        <f>'$ VOLS'!D126</f>
        <v>5.98</v>
      </c>
      <c r="B24" s="21">
        <f t="shared" si="7"/>
        <v>36963</v>
      </c>
      <c r="C24" s="177">
        <v>10057.77419</v>
      </c>
      <c r="D24" s="6">
        <f t="shared" si="0"/>
        <v>3402.3</v>
      </c>
      <c r="E24" s="6">
        <f t="shared" si="1"/>
        <v>6655.4741899999999</v>
      </c>
      <c r="F24" s="6">
        <f t="shared" si="2"/>
        <v>0</v>
      </c>
      <c r="G24" s="67">
        <f t="shared" si="3"/>
        <v>5.8261000000000003</v>
      </c>
      <c r="H24" s="40">
        <f t="shared" si="4"/>
        <v>38775.458178359004</v>
      </c>
      <c r="I24" s="33">
        <f t="shared" si="5"/>
        <v>0</v>
      </c>
      <c r="J24" s="80">
        <f t="shared" si="6"/>
        <v>10298.446668592511</v>
      </c>
    </row>
    <row r="25" spans="1:10" s="1" customFormat="1" ht="14.25" customHeight="1" x14ac:dyDescent="0.2">
      <c r="A25" s="82">
        <f>'$ VOLS'!D127</f>
        <v>5.085</v>
      </c>
      <c r="B25" s="21">
        <f t="shared" si="7"/>
        <v>36964</v>
      </c>
      <c r="C25" s="177">
        <v>10057.77419</v>
      </c>
      <c r="D25" s="6">
        <f t="shared" si="0"/>
        <v>3402.3</v>
      </c>
      <c r="E25" s="6">
        <f t="shared" si="1"/>
        <v>6655.4741899999999</v>
      </c>
      <c r="F25" s="6">
        <f t="shared" si="2"/>
        <v>0</v>
      </c>
      <c r="G25" s="67">
        <f t="shared" si="3"/>
        <v>4.9391999999999996</v>
      </c>
      <c r="H25" s="40">
        <f t="shared" si="4"/>
        <v>32872.718119247998</v>
      </c>
      <c r="I25" s="33">
        <f t="shared" si="5"/>
        <v>0</v>
      </c>
      <c r="J25" s="80">
        <f t="shared" si="6"/>
        <v>10298.446668592511</v>
      </c>
    </row>
    <row r="26" spans="1:10" s="1" customFormat="1" ht="14.25" customHeight="1" x14ac:dyDescent="0.2">
      <c r="A26" s="82">
        <f>'$ VOLS'!D128</f>
        <v>4.9950000000000001</v>
      </c>
      <c r="B26" s="21">
        <f t="shared" si="7"/>
        <v>36965</v>
      </c>
      <c r="C26" s="177">
        <v>10057.77419</v>
      </c>
      <c r="D26" s="6">
        <f t="shared" si="0"/>
        <v>3402.3</v>
      </c>
      <c r="E26" s="6">
        <f t="shared" si="1"/>
        <v>6655.4741899999999</v>
      </c>
      <c r="F26" s="6">
        <f t="shared" si="2"/>
        <v>0</v>
      </c>
      <c r="G26" s="67">
        <f t="shared" si="3"/>
        <v>4.8501000000000003</v>
      </c>
      <c r="H26" s="40">
        <f t="shared" si="4"/>
        <v>32279.715368919002</v>
      </c>
      <c r="I26" s="33">
        <f t="shared" si="5"/>
        <v>0</v>
      </c>
      <c r="J26" s="80">
        <f t="shared" si="6"/>
        <v>10298.446668592511</v>
      </c>
    </row>
    <row r="27" spans="1:10" s="1" customFormat="1" ht="14.25" customHeight="1" x14ac:dyDescent="0.2">
      <c r="A27" s="82">
        <f>'$ VOLS'!D129</f>
        <v>4.915</v>
      </c>
      <c r="B27" s="21">
        <f t="shared" si="7"/>
        <v>36966</v>
      </c>
      <c r="C27" s="177">
        <v>10057.77419</v>
      </c>
      <c r="D27" s="6">
        <f t="shared" si="0"/>
        <v>3402.3</v>
      </c>
      <c r="E27" s="6">
        <f t="shared" si="1"/>
        <v>6655.4741899999999</v>
      </c>
      <c r="F27" s="6">
        <f t="shared" si="2"/>
        <v>0</v>
      </c>
      <c r="G27" s="67">
        <f t="shared" si="3"/>
        <v>4.7708000000000004</v>
      </c>
      <c r="H27" s="40">
        <f t="shared" si="4"/>
        <v>31751.936265652002</v>
      </c>
      <c r="I27" s="33">
        <f t="shared" si="5"/>
        <v>0</v>
      </c>
      <c r="J27" s="80">
        <f t="shared" si="6"/>
        <v>10298.446668592511</v>
      </c>
    </row>
    <row r="28" spans="1:10" s="1" customFormat="1" ht="14.25" customHeight="1" x14ac:dyDescent="0.2">
      <c r="A28" s="82">
        <f>'$ VOLS'!D130</f>
        <v>4.9800000000000004</v>
      </c>
      <c r="B28" s="21">
        <f t="shared" si="7"/>
        <v>36967</v>
      </c>
      <c r="C28" s="177">
        <v>10057.77419</v>
      </c>
      <c r="D28" s="6">
        <f t="shared" si="0"/>
        <v>3402.3</v>
      </c>
      <c r="E28" s="6">
        <f t="shared" si="1"/>
        <v>6655.4741899999999</v>
      </c>
      <c r="F28" s="6">
        <f t="shared" si="2"/>
        <v>0</v>
      </c>
      <c r="G28" s="67">
        <f t="shared" si="3"/>
        <v>4.8352000000000004</v>
      </c>
      <c r="H28" s="40">
        <f t="shared" si="4"/>
        <v>32180.548803488004</v>
      </c>
      <c r="I28" s="33">
        <f t="shared" si="5"/>
        <v>0</v>
      </c>
      <c r="J28" s="80">
        <f t="shared" si="6"/>
        <v>10298.446668592511</v>
      </c>
    </row>
    <row r="29" spans="1:10" s="1" customFormat="1" ht="14.25" customHeight="1" x14ac:dyDescent="0.2">
      <c r="A29" s="82">
        <f>'$ VOLS'!D131</f>
        <v>4.9800000000000004</v>
      </c>
      <c r="B29" s="21">
        <f t="shared" si="7"/>
        <v>36968</v>
      </c>
      <c r="C29" s="177">
        <v>10057.77419</v>
      </c>
      <c r="D29" s="6">
        <f t="shared" si="0"/>
        <v>3402.3</v>
      </c>
      <c r="E29" s="6">
        <f t="shared" si="1"/>
        <v>6655.4741899999999</v>
      </c>
      <c r="F29" s="6">
        <f t="shared" si="2"/>
        <v>0</v>
      </c>
      <c r="G29" s="67">
        <f t="shared" si="3"/>
        <v>4.8352000000000004</v>
      </c>
      <c r="H29" s="40">
        <f t="shared" si="4"/>
        <v>32180.548803488004</v>
      </c>
      <c r="I29" s="33">
        <f t="shared" si="5"/>
        <v>0</v>
      </c>
      <c r="J29" s="80">
        <f t="shared" si="6"/>
        <v>10298.446668592511</v>
      </c>
    </row>
    <row r="30" spans="1:10" s="1" customFormat="1" ht="14.25" customHeight="1" x14ac:dyDescent="0.2">
      <c r="A30" s="82">
        <f>'$ VOLS'!D132</f>
        <v>4.9800000000000004</v>
      </c>
      <c r="B30" s="21">
        <f t="shared" si="7"/>
        <v>36969</v>
      </c>
      <c r="C30" s="177">
        <v>10057.77419</v>
      </c>
      <c r="D30" s="6">
        <f t="shared" si="0"/>
        <v>3402.3</v>
      </c>
      <c r="E30" s="6">
        <f t="shared" si="1"/>
        <v>6655.4741899999999</v>
      </c>
      <c r="F30" s="6">
        <f t="shared" si="2"/>
        <v>0</v>
      </c>
      <c r="G30" s="67">
        <f t="shared" si="3"/>
        <v>4.8352000000000004</v>
      </c>
      <c r="H30" s="40">
        <f t="shared" si="4"/>
        <v>32180.548803488004</v>
      </c>
      <c r="I30" s="33">
        <f t="shared" si="5"/>
        <v>0</v>
      </c>
      <c r="J30" s="80">
        <f t="shared" si="6"/>
        <v>10298.446668592511</v>
      </c>
    </row>
    <row r="31" spans="1:10" s="1" customFormat="1" ht="14.25" customHeight="1" x14ac:dyDescent="0.2">
      <c r="A31" s="82">
        <f>'$ VOLS'!D133</f>
        <v>5.0549999999999997</v>
      </c>
      <c r="B31" s="21">
        <f t="shared" si="7"/>
        <v>36970</v>
      </c>
      <c r="C31" s="177">
        <v>10057.77419</v>
      </c>
      <c r="D31" s="6">
        <f t="shared" si="0"/>
        <v>3402.3</v>
      </c>
      <c r="E31" s="6">
        <f t="shared" si="1"/>
        <v>6655.4741899999999</v>
      </c>
      <c r="F31" s="6">
        <f t="shared" si="2"/>
        <v>0</v>
      </c>
      <c r="G31" s="67">
        <f t="shared" si="3"/>
        <v>4.9095000000000004</v>
      </c>
      <c r="H31" s="40">
        <f t="shared" si="4"/>
        <v>32675.050535805003</v>
      </c>
      <c r="I31" s="33">
        <f t="shared" si="5"/>
        <v>0</v>
      </c>
      <c r="J31" s="80">
        <f t="shared" si="6"/>
        <v>10298.446668592511</v>
      </c>
    </row>
    <row r="32" spans="1:10" s="1" customFormat="1" ht="14.25" customHeight="1" x14ac:dyDescent="0.2">
      <c r="A32" s="82">
        <f>'$ VOLS'!D134</f>
        <v>5.0599999999999996</v>
      </c>
      <c r="B32" s="21">
        <f t="shared" si="7"/>
        <v>36971</v>
      </c>
      <c r="C32" s="177">
        <v>10057.77419</v>
      </c>
      <c r="D32" s="6">
        <f t="shared" si="0"/>
        <v>3402.3</v>
      </c>
      <c r="E32" s="6">
        <f t="shared" si="1"/>
        <v>6655.4741899999999</v>
      </c>
      <c r="F32" s="6">
        <f t="shared" si="2"/>
        <v>0</v>
      </c>
      <c r="G32" s="67">
        <f t="shared" si="3"/>
        <v>4.9145000000000003</v>
      </c>
      <c r="H32" s="40">
        <f t="shared" si="4"/>
        <v>32708.327906755003</v>
      </c>
      <c r="I32" s="33">
        <f t="shared" si="5"/>
        <v>0</v>
      </c>
      <c r="J32" s="80">
        <f t="shared" si="6"/>
        <v>10298.446668592511</v>
      </c>
    </row>
    <row r="33" spans="1:10" s="1" customFormat="1" ht="14.25" customHeight="1" x14ac:dyDescent="0.2">
      <c r="A33" s="82">
        <f>'$ VOLS'!D135</f>
        <v>5.1550000000000002</v>
      </c>
      <c r="B33" s="21">
        <f t="shared" si="7"/>
        <v>36972</v>
      </c>
      <c r="C33" s="177">
        <v>10057.77419</v>
      </c>
      <c r="D33" s="6">
        <f t="shared" si="0"/>
        <v>3402.3</v>
      </c>
      <c r="E33" s="6">
        <f t="shared" si="1"/>
        <v>6655.4741899999999</v>
      </c>
      <c r="F33" s="6">
        <f t="shared" si="2"/>
        <v>0</v>
      </c>
      <c r="G33" s="67">
        <f t="shared" si="3"/>
        <v>5.0086000000000004</v>
      </c>
      <c r="H33" s="40">
        <f t="shared" si="4"/>
        <v>33334.608028034003</v>
      </c>
      <c r="I33" s="33">
        <f t="shared" si="5"/>
        <v>0</v>
      </c>
      <c r="J33" s="80">
        <f t="shared" si="6"/>
        <v>10298.446668592511</v>
      </c>
    </row>
    <row r="34" spans="1:10" s="1" customFormat="1" ht="14.25" customHeight="1" x14ac:dyDescent="0.2">
      <c r="A34" s="82">
        <f>'$ VOLS'!D136</f>
        <v>5</v>
      </c>
      <c r="B34" s="21">
        <f t="shared" si="7"/>
        <v>36973</v>
      </c>
      <c r="C34" s="177">
        <v>10057.77419</v>
      </c>
      <c r="D34" s="6">
        <f t="shared" si="0"/>
        <v>3402.3</v>
      </c>
      <c r="E34" s="6">
        <f t="shared" si="1"/>
        <v>6655.4741899999999</v>
      </c>
      <c r="F34" s="6">
        <f t="shared" si="2"/>
        <v>0</v>
      </c>
      <c r="G34" s="67">
        <f t="shared" si="3"/>
        <v>4.8550000000000004</v>
      </c>
      <c r="H34" s="40">
        <f t="shared" si="4"/>
        <v>32312.327192450004</v>
      </c>
      <c r="I34" s="33">
        <f t="shared" si="5"/>
        <v>0</v>
      </c>
      <c r="J34" s="80">
        <f t="shared" si="6"/>
        <v>10298.446668592511</v>
      </c>
    </row>
    <row r="35" spans="1:10" s="1" customFormat="1" ht="14.25" customHeight="1" x14ac:dyDescent="0.2">
      <c r="A35" s="82">
        <f>'$ VOLS'!D137</f>
        <v>5.2</v>
      </c>
      <c r="B35" s="21">
        <f t="shared" si="7"/>
        <v>36974</v>
      </c>
      <c r="C35" s="177">
        <v>10057.77419</v>
      </c>
      <c r="D35" s="6">
        <f t="shared" si="0"/>
        <v>3402.3</v>
      </c>
      <c r="E35" s="6">
        <f t="shared" si="1"/>
        <v>6655.4741899999999</v>
      </c>
      <c r="F35" s="6">
        <f t="shared" si="2"/>
        <v>0</v>
      </c>
      <c r="G35" s="67">
        <f t="shared" si="3"/>
        <v>5.0532000000000004</v>
      </c>
      <c r="H35" s="40">
        <f t="shared" si="4"/>
        <v>33631.442176908</v>
      </c>
      <c r="I35" s="33">
        <f t="shared" si="5"/>
        <v>0</v>
      </c>
      <c r="J35" s="80">
        <f t="shared" si="6"/>
        <v>10298.446668592511</v>
      </c>
    </row>
    <row r="36" spans="1:10" s="1" customFormat="1" ht="14.25" customHeight="1" x14ac:dyDescent="0.2">
      <c r="A36" s="82">
        <f>'$ VOLS'!D138</f>
        <v>5.2</v>
      </c>
      <c r="B36" s="21">
        <f t="shared" si="7"/>
        <v>36975</v>
      </c>
      <c r="C36" s="177">
        <v>10057.77419</v>
      </c>
      <c r="D36" s="6">
        <f t="shared" si="0"/>
        <v>3402.3</v>
      </c>
      <c r="E36" s="6">
        <f t="shared" si="1"/>
        <v>6655.4741899999999</v>
      </c>
      <c r="F36" s="6">
        <f t="shared" si="2"/>
        <v>0</v>
      </c>
      <c r="G36" s="67">
        <f t="shared" si="3"/>
        <v>5.0532000000000004</v>
      </c>
      <c r="H36" s="40">
        <f t="shared" si="4"/>
        <v>33631.442176908</v>
      </c>
      <c r="I36" s="33">
        <f t="shared" si="5"/>
        <v>0</v>
      </c>
      <c r="J36" s="80">
        <f t="shared" si="6"/>
        <v>10298.446668592511</v>
      </c>
    </row>
    <row r="37" spans="1:10" s="1" customFormat="1" ht="14.25" customHeight="1" x14ac:dyDescent="0.2">
      <c r="A37" s="82">
        <f>'$ VOLS'!D139</f>
        <v>5.2</v>
      </c>
      <c r="B37" s="21">
        <f t="shared" si="7"/>
        <v>36976</v>
      </c>
      <c r="C37" s="177">
        <v>10057.77419</v>
      </c>
      <c r="D37" s="6">
        <f t="shared" si="0"/>
        <v>3402.3</v>
      </c>
      <c r="E37" s="6">
        <f t="shared" si="1"/>
        <v>6655.4741899999999</v>
      </c>
      <c r="F37" s="6">
        <f t="shared" si="2"/>
        <v>0</v>
      </c>
      <c r="G37" s="67">
        <f t="shared" si="3"/>
        <v>5.0532000000000004</v>
      </c>
      <c r="H37" s="40">
        <f t="shared" si="4"/>
        <v>33631.442176908</v>
      </c>
      <c r="I37" s="33">
        <f t="shared" si="5"/>
        <v>0</v>
      </c>
      <c r="J37" s="80">
        <f t="shared" si="6"/>
        <v>10298.446668592511</v>
      </c>
    </row>
    <row r="38" spans="1:10" s="1" customFormat="1" ht="14.25" customHeight="1" x14ac:dyDescent="0.2">
      <c r="A38" s="82">
        <f>'$ VOLS'!D140</f>
        <v>5.21</v>
      </c>
      <c r="B38" s="21">
        <f t="shared" si="7"/>
        <v>36977</v>
      </c>
      <c r="C38" s="177">
        <v>10057.77419</v>
      </c>
      <c r="D38" s="6">
        <f t="shared" si="0"/>
        <v>3402.3</v>
      </c>
      <c r="E38" s="6">
        <f t="shared" si="1"/>
        <v>6655.4741899999999</v>
      </c>
      <c r="F38" s="6">
        <f t="shared" si="2"/>
        <v>0</v>
      </c>
      <c r="G38" s="67">
        <f t="shared" si="3"/>
        <v>5.0631000000000004</v>
      </c>
      <c r="H38" s="40">
        <f t="shared" si="4"/>
        <v>33697.331371389002</v>
      </c>
      <c r="I38" s="33">
        <f t="shared" si="5"/>
        <v>0</v>
      </c>
      <c r="J38" s="80">
        <f t="shared" si="6"/>
        <v>10298.446668592511</v>
      </c>
    </row>
    <row r="39" spans="1:10" s="1" customFormat="1" ht="14.25" customHeight="1" x14ac:dyDescent="0.2">
      <c r="A39" s="82">
        <f>'$ VOLS'!D141</f>
        <v>5.38</v>
      </c>
      <c r="B39" s="21">
        <f t="shared" si="7"/>
        <v>36978</v>
      </c>
      <c r="C39" s="177">
        <v>10057.77419</v>
      </c>
      <c r="D39" s="6">
        <f t="shared" si="0"/>
        <v>3402.3</v>
      </c>
      <c r="E39" s="6">
        <f t="shared" si="1"/>
        <v>6655.4741899999999</v>
      </c>
      <c r="F39" s="6">
        <f t="shared" si="2"/>
        <v>0</v>
      </c>
      <c r="G39" s="67">
        <f t="shared" si="3"/>
        <v>5.2316000000000003</v>
      </c>
      <c r="H39" s="40">
        <f t="shared" si="4"/>
        <v>34818.778772404003</v>
      </c>
      <c r="I39" s="33">
        <f t="shared" si="5"/>
        <v>0</v>
      </c>
      <c r="J39" s="80">
        <f t="shared" si="6"/>
        <v>10298.446668592511</v>
      </c>
    </row>
    <row r="40" spans="1:10" s="1" customFormat="1" ht="14.25" customHeight="1" x14ac:dyDescent="0.2">
      <c r="A40" s="82">
        <f>'$ VOLS'!D142</f>
        <v>5.59</v>
      </c>
      <c r="B40" s="21">
        <f t="shared" si="7"/>
        <v>36979</v>
      </c>
      <c r="C40" s="177">
        <v>10057.77419</v>
      </c>
      <c r="D40" s="6">
        <f t="shared" si="0"/>
        <v>3402.3</v>
      </c>
      <c r="E40" s="6">
        <f t="shared" si="1"/>
        <v>6655.4741899999999</v>
      </c>
      <c r="F40" s="6">
        <f t="shared" si="2"/>
        <v>0</v>
      </c>
      <c r="G40" s="67">
        <f t="shared" si="3"/>
        <v>5.4396000000000004</v>
      </c>
      <c r="H40" s="40">
        <f t="shared" si="4"/>
        <v>36203.117403924</v>
      </c>
      <c r="I40" s="33">
        <f t="shared" si="5"/>
        <v>0</v>
      </c>
      <c r="J40" s="80">
        <f t="shared" si="6"/>
        <v>10298.446668592511</v>
      </c>
    </row>
    <row r="41" spans="1:10" s="1" customFormat="1" ht="14.25" customHeight="1" x14ac:dyDescent="0.2">
      <c r="A41" s="82">
        <f>'$ VOLS'!D143</f>
        <v>5.3049999999999997</v>
      </c>
      <c r="B41" s="21">
        <f t="shared" si="7"/>
        <v>36980</v>
      </c>
      <c r="C41" s="177">
        <v>10057.77419</v>
      </c>
      <c r="D41" s="6">
        <f t="shared" si="0"/>
        <v>3402.3</v>
      </c>
      <c r="E41" s="6">
        <f t="shared" si="1"/>
        <v>6655.4741899999999</v>
      </c>
      <c r="F41" s="6">
        <f t="shared" si="2"/>
        <v>0</v>
      </c>
      <c r="G41" s="67">
        <f t="shared" si="3"/>
        <v>5.1571999999999996</v>
      </c>
      <c r="H41" s="40">
        <f t="shared" si="4"/>
        <v>34323.611492667995</v>
      </c>
      <c r="I41" s="33">
        <f t="shared" si="5"/>
        <v>0</v>
      </c>
      <c r="J41" s="80">
        <f t="shared" si="6"/>
        <v>10298.446668592511</v>
      </c>
    </row>
    <row r="42" spans="1:10" s="1" customFormat="1" ht="14.25" customHeight="1" x14ac:dyDescent="0.2">
      <c r="A42" s="82">
        <f>'$ VOLS'!D144</f>
        <v>5.33</v>
      </c>
      <c r="B42" s="21">
        <f t="shared" si="7"/>
        <v>36981</v>
      </c>
      <c r="C42" s="177">
        <v>10057.77419</v>
      </c>
      <c r="D42" s="6">
        <f t="shared" si="0"/>
        <v>3402.3</v>
      </c>
      <c r="E42" s="6">
        <f t="shared" si="1"/>
        <v>6655.4741899999999</v>
      </c>
      <c r="F42" s="6">
        <v>0</v>
      </c>
      <c r="G42" s="67">
        <f t="shared" si="3"/>
        <v>5.1820000000000004</v>
      </c>
      <c r="H42" s="40">
        <f t="shared" si="4"/>
        <v>34488.667252580002</v>
      </c>
      <c r="I42" s="33">
        <f t="shared" si="5"/>
        <v>0</v>
      </c>
      <c r="J42" s="80">
        <f t="shared" si="6"/>
        <v>10298.446668592511</v>
      </c>
    </row>
    <row r="43" spans="1:10" s="1" customFormat="1" ht="14.25" x14ac:dyDescent="0.2">
      <c r="A43" s="85">
        <f>AVERAGE(A26:A41)</f>
        <v>5.1378125000000008</v>
      </c>
      <c r="B43" s="21" t="s">
        <v>104</v>
      </c>
      <c r="C43" s="175">
        <f>SUM(C12:C42)</f>
        <v>311790.99989000004</v>
      </c>
      <c r="D43" s="30">
        <f>SUM(D12:D42)</f>
        <v>105471.30000000006</v>
      </c>
      <c r="E43" s="30">
        <f>SUM(E12:E42)</f>
        <v>206319.69989000002</v>
      </c>
      <c r="F43" s="30">
        <f>SUM(F12:F42)</f>
        <v>0</v>
      </c>
      <c r="G43" s="16" t="s">
        <v>0</v>
      </c>
      <c r="H43" s="79">
        <f>SUM(H12:H42)</f>
        <v>1039045.9750686104</v>
      </c>
      <c r="I43" s="79">
        <f>SUM(I12:I42)</f>
        <v>0</v>
      </c>
      <c r="J43" s="5"/>
    </row>
    <row r="44" spans="1:10" s="1" customFormat="1" ht="12.75" x14ac:dyDescent="0.2">
      <c r="B44" s="2"/>
      <c r="C44" s="171">
        <f>D43+E43</f>
        <v>311790.99989000009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105471.30000000006</v>
      </c>
      <c r="F47" s="24">
        <f>'$ VOLS'!E22</f>
        <v>4.9299000000000008</v>
      </c>
      <c r="G47" s="17">
        <f>+F47*D43</f>
        <v>519962.96187000041</v>
      </c>
      <c r="I47" s="161" t="s">
        <v>22</v>
      </c>
      <c r="J47" s="162">
        <v>0.1004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206319.69989000002</v>
      </c>
      <c r="F48" s="3"/>
      <c r="G48" s="17">
        <f>+H43</f>
        <v>1039045.9750686104</v>
      </c>
      <c r="I48" s="163" t="s">
        <v>23</v>
      </c>
      <c r="J48" s="164">
        <v>9.1000000000000004E-3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311790.99989000009</v>
      </c>
      <c r="F50" s="41">
        <f>+G50/E50</f>
        <v>5.0001729924488822</v>
      </c>
      <c r="G50" s="26">
        <f>SUM(G47:G49)</f>
        <v>1559008.9369386109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24" customHeight="1" x14ac:dyDescent="0.2">
      <c r="B52" s="114"/>
      <c r="C52" s="178"/>
      <c r="E52" s="116"/>
      <c r="F52" s="44" t="s">
        <v>0</v>
      </c>
      <c r="G52" s="44" t="s">
        <v>0</v>
      </c>
      <c r="I52" s="35"/>
    </row>
    <row r="53" spans="2:9" s="5" customFormat="1" ht="12" customHeight="1" x14ac:dyDescent="0.2">
      <c r="B53" s="7"/>
      <c r="C53" s="179"/>
      <c r="E53" s="116"/>
      <c r="G53" s="5" t="s">
        <v>0</v>
      </c>
      <c r="I53" s="34"/>
    </row>
    <row r="54" spans="2:9" ht="12.75" x14ac:dyDescent="0.2">
      <c r="B54" s="7"/>
      <c r="C54" s="179"/>
      <c r="E54" s="116"/>
    </row>
    <row r="55" spans="2:9" ht="12.75" x14ac:dyDescent="0.2">
      <c r="B55" s="7"/>
      <c r="C55" s="179"/>
      <c r="E55" s="117"/>
    </row>
    <row r="56" spans="2:9" ht="12.75" x14ac:dyDescent="0.2">
      <c r="B56" s="7"/>
      <c r="C56" s="179"/>
      <c r="E56" s="117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3" workbookViewId="0">
      <selection activeCell="A48" sqref="A48"/>
    </sheetView>
  </sheetViews>
  <sheetFormatPr defaultRowHeight="12" x14ac:dyDescent="0.15"/>
  <cols>
    <col min="1" max="1" width="9" style="86"/>
    <col min="2" max="2" width="9" style="22"/>
    <col min="3" max="4" width="9" style="22" hidden="1" customWidth="1"/>
    <col min="5" max="5" width="15.375" style="180" customWidth="1"/>
    <col min="6" max="6" width="14.75" customWidth="1"/>
    <col min="7" max="7" width="16.25" customWidth="1"/>
    <col min="8" max="8" width="15.5" customWidth="1"/>
    <col min="9" max="9" width="15.75" customWidth="1"/>
    <col min="10" max="10" width="15.375" customWidth="1"/>
    <col min="11" max="11" width="14.625" style="49" customWidth="1"/>
    <col min="12" max="12" width="11.75" customWidth="1"/>
  </cols>
  <sheetData>
    <row r="1" spans="1:12" s="1" customFormat="1" ht="15" customHeight="1" x14ac:dyDescent="0.2">
      <c r="A1" s="83" t="s">
        <v>0</v>
      </c>
      <c r="B1" s="2"/>
      <c r="C1" s="2"/>
      <c r="D1" s="2"/>
      <c r="E1" s="171"/>
      <c r="K1" s="31"/>
    </row>
    <row r="2" spans="1:12" s="10" customFormat="1" ht="22.5" x14ac:dyDescent="0.3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5" x14ac:dyDescent="0.3">
      <c r="A3" s="84"/>
      <c r="B3" s="19" t="s">
        <v>89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5" x14ac:dyDescent="0.3">
      <c r="A4" s="84"/>
      <c r="B4" s="81">
        <f>+'$ VOLS'!B6</f>
        <v>36951</v>
      </c>
      <c r="C4" s="50"/>
      <c r="D4" s="50"/>
      <c r="E4" s="172"/>
      <c r="F4" s="5"/>
      <c r="G4" s="83" t="s">
        <v>0</v>
      </c>
      <c r="H4" s="5"/>
      <c r="I4" s="5" t="s">
        <v>0</v>
      </c>
      <c r="K4" s="38"/>
    </row>
    <row r="5" spans="1:12" s="10" customFormat="1" ht="9" customHeight="1" x14ac:dyDescent="0.2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ht="12.75" x14ac:dyDescent="0.2">
      <c r="A6" s="8"/>
      <c r="B6" s="5" t="s">
        <v>10</v>
      </c>
      <c r="E6" s="172"/>
      <c r="F6" s="9">
        <f>'$ VOLS'!G9</f>
        <v>0</v>
      </c>
      <c r="I6"/>
      <c r="K6" s="34"/>
    </row>
    <row r="7" spans="1:12" s="5" customFormat="1" ht="12.75" x14ac:dyDescent="0.2">
      <c r="A7" s="8"/>
      <c r="B7" s="5" t="s">
        <v>11</v>
      </c>
      <c r="E7" s="172"/>
      <c r="F7" s="9">
        <f>+F6*1.1</f>
        <v>0</v>
      </c>
      <c r="I7"/>
      <c r="K7" s="34"/>
    </row>
    <row r="8" spans="1:12" s="5" customFormat="1" ht="12.75" x14ac:dyDescent="0.2">
      <c r="A8" s="8"/>
      <c r="B8" s="5" t="s">
        <v>12</v>
      </c>
      <c r="E8" s="172"/>
      <c r="F8" s="9">
        <f>+F6*0.9</f>
        <v>0</v>
      </c>
      <c r="H8" s="11" t="s">
        <v>3</v>
      </c>
      <c r="I8" s="12" t="s">
        <v>0</v>
      </c>
      <c r="K8" s="34"/>
      <c r="L8" s="77" t="s">
        <v>86</v>
      </c>
    </row>
    <row r="9" spans="1:12" s="5" customFormat="1" ht="13.5" customHeight="1" x14ac:dyDescent="0.2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32</v>
      </c>
      <c r="J9" s="12"/>
      <c r="L9" s="77" t="s">
        <v>87</v>
      </c>
    </row>
    <row r="10" spans="1:12" s="5" customFormat="1" ht="12.75" x14ac:dyDescent="0.2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2" t="s">
        <v>2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2.75" x14ac:dyDescent="0.2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16</v>
      </c>
      <c r="J11" s="39" t="str">
        <f>+K11</f>
        <v>AMOUNT</v>
      </c>
      <c r="K11" s="34" t="s">
        <v>7</v>
      </c>
      <c r="L11" s="77">
        <v>1.1419999999999999</v>
      </c>
    </row>
    <row r="12" spans="1:12" s="5" customFormat="1" ht="14.25" customHeight="1" x14ac:dyDescent="0.2">
      <c r="A12" s="82">
        <f>'$ VOLS'!F114</f>
        <v>5.0750000000000002</v>
      </c>
      <c r="B12" s="21">
        <v>36951</v>
      </c>
      <c r="C12" s="9">
        <v>4827</v>
      </c>
      <c r="D12" s="9">
        <v>4827</v>
      </c>
      <c r="E12" s="172">
        <v>0</v>
      </c>
      <c r="F12" s="6">
        <f t="shared" ref="F12:F42" si="0">IF(E12&gt;$F$7,$F$7,E12)</f>
        <v>0</v>
      </c>
      <c r="G12" s="6">
        <f t="shared" ref="G12:G43" si="1">IF(E12&gt;$F$7,E12-F12,0)</f>
        <v>0</v>
      </c>
      <c r="H12" s="6">
        <f t="shared" ref="H12:H41" si="2">IF(E12&lt;$F$8,$F$8-E12,0)</f>
        <v>0</v>
      </c>
      <c r="I12" s="15">
        <f>ROUND(A12,4)</f>
        <v>5.0750000000000002</v>
      </c>
      <c r="J12" s="40">
        <f t="shared" ref="J12:J42" si="3">+I12*G12</f>
        <v>0</v>
      </c>
      <c r="K12" s="33">
        <f>IF(I12&gt;$H$48,($H$48-I12)*H12,0)</f>
        <v>0</v>
      </c>
      <c r="L12" s="80">
        <f>E12*$L$11</f>
        <v>0</v>
      </c>
    </row>
    <row r="13" spans="1:12" s="5" customFormat="1" ht="14.25" customHeight="1" x14ac:dyDescent="0.2">
      <c r="A13" s="82">
        <f>'$ VOLS'!F115</f>
        <v>4.9550000000000001</v>
      </c>
      <c r="B13" s="21">
        <f t="shared" ref="B13:B40" si="4">+B12+1</f>
        <v>36952</v>
      </c>
      <c r="C13" s="9">
        <v>5012</v>
      </c>
      <c r="D13" s="9">
        <v>5011</v>
      </c>
      <c r="E13" s="172">
        <v>0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15">
        <f t="shared" ref="I13:I42" si="5">ROUND(A13,4)</f>
        <v>4.9550000000000001</v>
      </c>
      <c r="J13" s="40">
        <f t="shared" si="3"/>
        <v>0</v>
      </c>
      <c r="K13" s="33">
        <v>0</v>
      </c>
      <c r="L13" s="80">
        <f t="shared" ref="L13:L43" si="6">E13*$L$11</f>
        <v>0</v>
      </c>
    </row>
    <row r="14" spans="1:12" s="5" customFormat="1" ht="14.25" customHeight="1" x14ac:dyDescent="0.2">
      <c r="A14" s="82">
        <f>'$ VOLS'!F116</f>
        <v>5.0049999999999999</v>
      </c>
      <c r="B14" s="21">
        <f t="shared" si="4"/>
        <v>36953</v>
      </c>
      <c r="C14" s="9">
        <v>5235</v>
      </c>
      <c r="D14" s="9">
        <v>5235</v>
      </c>
      <c r="E14" s="172">
        <v>0</v>
      </c>
      <c r="F14" s="6">
        <f t="shared" si="0"/>
        <v>0</v>
      </c>
      <c r="G14" s="6">
        <f t="shared" si="1"/>
        <v>0</v>
      </c>
      <c r="H14" s="6">
        <f t="shared" si="2"/>
        <v>0</v>
      </c>
      <c r="I14" s="15">
        <f t="shared" si="5"/>
        <v>5.0049999999999999</v>
      </c>
      <c r="J14" s="40">
        <f t="shared" si="3"/>
        <v>0</v>
      </c>
      <c r="K14" s="33">
        <v>0</v>
      </c>
      <c r="L14" s="80">
        <f t="shared" si="6"/>
        <v>0</v>
      </c>
    </row>
    <row r="15" spans="1:12" s="5" customFormat="1" ht="14.25" customHeight="1" x14ac:dyDescent="0.2">
      <c r="A15" s="82">
        <f>'$ VOLS'!F117</f>
        <v>5.0049999999999999</v>
      </c>
      <c r="B15" s="21">
        <f t="shared" si="4"/>
        <v>36954</v>
      </c>
      <c r="C15" s="9">
        <v>5260</v>
      </c>
      <c r="D15" s="9">
        <v>5260</v>
      </c>
      <c r="E15" s="172">
        <v>0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15">
        <f t="shared" si="5"/>
        <v>5.0049999999999999</v>
      </c>
      <c r="J15" s="40">
        <f t="shared" si="3"/>
        <v>0</v>
      </c>
      <c r="K15" s="33">
        <v>0</v>
      </c>
      <c r="L15" s="80">
        <f t="shared" si="6"/>
        <v>0</v>
      </c>
    </row>
    <row r="16" spans="1:12" s="5" customFormat="1" ht="14.25" customHeight="1" x14ac:dyDescent="0.2">
      <c r="A16" s="82">
        <f>'$ VOLS'!F118</f>
        <v>5.0049999999999999</v>
      </c>
      <c r="B16" s="21">
        <f t="shared" si="4"/>
        <v>36955</v>
      </c>
      <c r="C16" s="9">
        <v>5162</v>
      </c>
      <c r="D16" s="9">
        <v>5161</v>
      </c>
      <c r="E16" s="172">
        <v>0</v>
      </c>
      <c r="F16" s="6">
        <f t="shared" si="0"/>
        <v>0</v>
      </c>
      <c r="G16" s="6">
        <f t="shared" si="1"/>
        <v>0</v>
      </c>
      <c r="H16" s="6">
        <f t="shared" si="2"/>
        <v>0</v>
      </c>
      <c r="I16" s="15">
        <f t="shared" si="5"/>
        <v>5.0049999999999999</v>
      </c>
      <c r="J16" s="40">
        <f t="shared" si="3"/>
        <v>0</v>
      </c>
      <c r="K16" s="33">
        <v>0</v>
      </c>
      <c r="L16" s="80">
        <f t="shared" si="6"/>
        <v>0</v>
      </c>
    </row>
    <row r="17" spans="1:12" s="5" customFormat="1" ht="14.25" customHeight="1" x14ac:dyDescent="0.2">
      <c r="A17" s="82">
        <f>'$ VOLS'!F119</f>
        <v>5.2549999999999999</v>
      </c>
      <c r="B17" s="21">
        <f t="shared" si="4"/>
        <v>36956</v>
      </c>
      <c r="C17" s="9">
        <v>5100</v>
      </c>
      <c r="D17" s="9">
        <v>5100</v>
      </c>
      <c r="E17" s="172">
        <v>0</v>
      </c>
      <c r="F17" s="6">
        <f t="shared" si="0"/>
        <v>0</v>
      </c>
      <c r="G17" s="6">
        <f t="shared" si="1"/>
        <v>0</v>
      </c>
      <c r="H17" s="6">
        <f t="shared" si="2"/>
        <v>0</v>
      </c>
      <c r="I17" s="15">
        <f t="shared" si="5"/>
        <v>5.2549999999999999</v>
      </c>
      <c r="J17" s="40">
        <f t="shared" si="3"/>
        <v>0</v>
      </c>
      <c r="K17" s="33">
        <v>0</v>
      </c>
      <c r="L17" s="80">
        <f t="shared" si="6"/>
        <v>0</v>
      </c>
    </row>
    <row r="18" spans="1:12" s="5" customFormat="1" ht="14.25" customHeight="1" x14ac:dyDescent="0.2">
      <c r="A18" s="82">
        <f>'$ VOLS'!F120</f>
        <v>5.1749999999999998</v>
      </c>
      <c r="B18" s="21">
        <f t="shared" si="4"/>
        <v>36957</v>
      </c>
      <c r="C18" s="9">
        <v>4535</v>
      </c>
      <c r="D18" s="9">
        <v>7517</v>
      </c>
      <c r="E18" s="172">
        <v>0</v>
      </c>
      <c r="F18" s="6">
        <f t="shared" si="0"/>
        <v>0</v>
      </c>
      <c r="G18" s="6">
        <f t="shared" si="1"/>
        <v>0</v>
      </c>
      <c r="H18" s="6">
        <f t="shared" si="2"/>
        <v>0</v>
      </c>
      <c r="I18" s="15">
        <f t="shared" si="5"/>
        <v>5.1749999999999998</v>
      </c>
      <c r="J18" s="40">
        <f t="shared" si="3"/>
        <v>0</v>
      </c>
      <c r="K18" s="33">
        <v>0</v>
      </c>
      <c r="L18" s="80">
        <f t="shared" si="6"/>
        <v>0</v>
      </c>
    </row>
    <row r="19" spans="1:12" s="5" customFormat="1" ht="14.25" customHeight="1" x14ac:dyDescent="0.2">
      <c r="A19" s="82">
        <f>'$ VOLS'!F121</f>
        <v>5.14</v>
      </c>
      <c r="B19" s="21">
        <f t="shared" si="4"/>
        <v>36958</v>
      </c>
      <c r="C19" s="9">
        <v>3536</v>
      </c>
      <c r="D19" s="9">
        <v>5860</v>
      </c>
      <c r="E19" s="172">
        <v>0</v>
      </c>
      <c r="F19" s="6">
        <f t="shared" si="0"/>
        <v>0</v>
      </c>
      <c r="G19" s="6">
        <f t="shared" si="1"/>
        <v>0</v>
      </c>
      <c r="H19" s="6">
        <f t="shared" si="2"/>
        <v>0</v>
      </c>
      <c r="I19" s="15">
        <f t="shared" si="5"/>
        <v>5.14</v>
      </c>
      <c r="J19" s="40">
        <f t="shared" si="3"/>
        <v>0</v>
      </c>
      <c r="K19" s="33">
        <v>0</v>
      </c>
      <c r="L19" s="80">
        <f t="shared" si="6"/>
        <v>0</v>
      </c>
    </row>
    <row r="20" spans="1:12" s="5" customFormat="1" ht="14.25" customHeight="1" x14ac:dyDescent="0.2">
      <c r="A20" s="82">
        <f>'$ VOLS'!F122</f>
        <v>5.165</v>
      </c>
      <c r="B20" s="21">
        <f t="shared" si="4"/>
        <v>36959</v>
      </c>
      <c r="C20" s="9">
        <v>3621</v>
      </c>
      <c r="D20" s="9">
        <v>6002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0</v>
      </c>
      <c r="I20" s="15">
        <f t="shared" si="5"/>
        <v>5.165</v>
      </c>
      <c r="J20" s="40">
        <f t="shared" si="3"/>
        <v>0</v>
      </c>
      <c r="K20" s="33">
        <v>0</v>
      </c>
      <c r="L20" s="80">
        <f t="shared" si="6"/>
        <v>0</v>
      </c>
    </row>
    <row r="21" spans="1:12" s="5" customFormat="1" ht="14.25" customHeight="1" x14ac:dyDescent="0.2">
      <c r="A21" s="82">
        <f>'$ VOLS'!F123</f>
        <v>5.0449999999999999</v>
      </c>
      <c r="B21" s="21">
        <f t="shared" si="4"/>
        <v>36960</v>
      </c>
      <c r="C21" s="9">
        <v>3610</v>
      </c>
      <c r="D21" s="9">
        <v>5983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0</v>
      </c>
      <c r="I21" s="15">
        <f t="shared" si="5"/>
        <v>5.0449999999999999</v>
      </c>
      <c r="J21" s="40">
        <f t="shared" si="3"/>
        <v>0</v>
      </c>
      <c r="K21" s="33">
        <v>0</v>
      </c>
      <c r="L21" s="80">
        <f t="shared" si="6"/>
        <v>0</v>
      </c>
    </row>
    <row r="22" spans="1:12" s="1" customFormat="1" ht="14.25" customHeight="1" x14ac:dyDescent="0.2">
      <c r="A22" s="82">
        <f>'$ VOLS'!F124</f>
        <v>5.0449999999999999</v>
      </c>
      <c r="B22" s="21">
        <f t="shared" si="4"/>
        <v>36961</v>
      </c>
      <c r="C22" s="9">
        <v>3584</v>
      </c>
      <c r="D22" s="9">
        <v>5939</v>
      </c>
      <c r="E22" s="172">
        <v>0</v>
      </c>
      <c r="F22" s="6">
        <f t="shared" si="0"/>
        <v>0</v>
      </c>
      <c r="G22" s="6">
        <f t="shared" si="1"/>
        <v>0</v>
      </c>
      <c r="H22" s="6">
        <f t="shared" si="2"/>
        <v>0</v>
      </c>
      <c r="I22" s="15">
        <f t="shared" si="5"/>
        <v>5.0449999999999999</v>
      </c>
      <c r="J22" s="40">
        <f t="shared" si="3"/>
        <v>0</v>
      </c>
      <c r="K22" s="33">
        <v>0</v>
      </c>
      <c r="L22" s="80">
        <f t="shared" si="6"/>
        <v>0</v>
      </c>
    </row>
    <row r="23" spans="1:12" s="1" customFormat="1" ht="14.25" customHeight="1" x14ac:dyDescent="0.2">
      <c r="A23" s="82">
        <f>'$ VOLS'!F125</f>
        <v>5.0449999999999999</v>
      </c>
      <c r="B23" s="21">
        <f t="shared" si="4"/>
        <v>36962</v>
      </c>
      <c r="C23" s="9">
        <v>3549</v>
      </c>
      <c r="D23" s="9">
        <v>5881</v>
      </c>
      <c r="E23" s="172">
        <v>0</v>
      </c>
      <c r="F23" s="6">
        <f t="shared" si="0"/>
        <v>0</v>
      </c>
      <c r="G23" s="6">
        <f t="shared" si="1"/>
        <v>0</v>
      </c>
      <c r="H23" s="6">
        <f t="shared" si="2"/>
        <v>0</v>
      </c>
      <c r="I23" s="15">
        <f t="shared" si="5"/>
        <v>5.0449999999999999</v>
      </c>
      <c r="J23" s="40">
        <f t="shared" si="3"/>
        <v>0</v>
      </c>
      <c r="K23" s="33">
        <v>0</v>
      </c>
      <c r="L23" s="80">
        <f t="shared" si="6"/>
        <v>0</v>
      </c>
    </row>
    <row r="24" spans="1:12" s="5" customFormat="1" ht="14.25" customHeight="1" x14ac:dyDescent="0.2">
      <c r="A24" s="82">
        <f>'$ VOLS'!F126</f>
        <v>4.875</v>
      </c>
      <c r="B24" s="21">
        <f t="shared" si="4"/>
        <v>36963</v>
      </c>
      <c r="C24" s="9">
        <v>3507</v>
      </c>
      <c r="D24" s="9">
        <v>5813</v>
      </c>
      <c r="E24" s="172">
        <v>0</v>
      </c>
      <c r="F24" s="6">
        <f t="shared" si="0"/>
        <v>0</v>
      </c>
      <c r="G24" s="6">
        <f t="shared" si="1"/>
        <v>0</v>
      </c>
      <c r="H24" s="6">
        <f t="shared" si="2"/>
        <v>0</v>
      </c>
      <c r="I24" s="15">
        <f t="shared" si="5"/>
        <v>4.875</v>
      </c>
      <c r="J24" s="40">
        <f t="shared" si="3"/>
        <v>0</v>
      </c>
      <c r="K24" s="33">
        <v>0</v>
      </c>
      <c r="L24" s="80">
        <f t="shared" si="6"/>
        <v>0</v>
      </c>
    </row>
    <row r="25" spans="1:12" s="1" customFormat="1" ht="14.25" customHeight="1" x14ac:dyDescent="0.2">
      <c r="A25" s="82">
        <f>'$ VOLS'!F127</f>
        <v>4.9649999999999999</v>
      </c>
      <c r="B25" s="21">
        <f t="shared" si="4"/>
        <v>36964</v>
      </c>
      <c r="C25" s="9">
        <v>3503</v>
      </c>
      <c r="D25" s="9">
        <v>5807</v>
      </c>
      <c r="E25" s="172">
        <v>0</v>
      </c>
      <c r="F25" s="6">
        <f t="shared" si="0"/>
        <v>0</v>
      </c>
      <c r="G25" s="6">
        <f t="shared" si="1"/>
        <v>0</v>
      </c>
      <c r="H25" s="6">
        <f t="shared" si="2"/>
        <v>0</v>
      </c>
      <c r="I25" s="15">
        <f t="shared" si="5"/>
        <v>4.9649999999999999</v>
      </c>
      <c r="J25" s="40">
        <f t="shared" si="3"/>
        <v>0</v>
      </c>
      <c r="K25" s="33">
        <v>0</v>
      </c>
      <c r="L25" s="80">
        <f t="shared" si="6"/>
        <v>0</v>
      </c>
    </row>
    <row r="26" spans="1:12" s="1" customFormat="1" ht="14.25" customHeight="1" x14ac:dyDescent="0.2">
      <c r="A26" s="82">
        <f>'$ VOLS'!F128</f>
        <v>4.87</v>
      </c>
      <c r="B26" s="21">
        <f t="shared" si="4"/>
        <v>36965</v>
      </c>
      <c r="C26" s="9">
        <v>3444</v>
      </c>
      <c r="D26" s="9">
        <v>5709</v>
      </c>
      <c r="E26" s="172">
        <v>0</v>
      </c>
      <c r="F26" s="6">
        <f t="shared" si="0"/>
        <v>0</v>
      </c>
      <c r="G26" s="6">
        <f t="shared" si="1"/>
        <v>0</v>
      </c>
      <c r="H26" s="6">
        <f t="shared" si="2"/>
        <v>0</v>
      </c>
      <c r="I26" s="15">
        <f t="shared" si="5"/>
        <v>4.87</v>
      </c>
      <c r="J26" s="40">
        <f t="shared" si="3"/>
        <v>0</v>
      </c>
      <c r="K26" s="33">
        <v>0</v>
      </c>
      <c r="L26" s="80">
        <f t="shared" si="6"/>
        <v>0</v>
      </c>
    </row>
    <row r="27" spans="1:12" s="1" customFormat="1" ht="14.25" customHeight="1" x14ac:dyDescent="0.2">
      <c r="A27" s="82">
        <f>'$ VOLS'!F129</f>
        <v>4.8049999999999997</v>
      </c>
      <c r="B27" s="21">
        <f t="shared" si="4"/>
        <v>36966</v>
      </c>
      <c r="C27" s="9">
        <v>0</v>
      </c>
      <c r="D27" s="9">
        <v>0</v>
      </c>
      <c r="E27" s="172">
        <v>0</v>
      </c>
      <c r="F27" s="6">
        <f t="shared" si="0"/>
        <v>0</v>
      </c>
      <c r="G27" s="6">
        <f t="shared" si="1"/>
        <v>0</v>
      </c>
      <c r="H27" s="6">
        <f t="shared" si="2"/>
        <v>0</v>
      </c>
      <c r="I27" s="15">
        <f t="shared" si="5"/>
        <v>4.8049999999999997</v>
      </c>
      <c r="J27" s="40">
        <f t="shared" si="3"/>
        <v>0</v>
      </c>
      <c r="K27" s="33">
        <v>0</v>
      </c>
      <c r="L27" s="80">
        <f t="shared" si="6"/>
        <v>0</v>
      </c>
    </row>
    <row r="28" spans="1:12" s="1" customFormat="1" ht="14.25" customHeight="1" x14ac:dyDescent="0.2">
      <c r="A28" s="82">
        <f>'$ VOLS'!F130</f>
        <v>4.8600000000000003</v>
      </c>
      <c r="B28" s="21">
        <f t="shared" si="4"/>
        <v>36967</v>
      </c>
      <c r="C28" s="9">
        <v>2915</v>
      </c>
      <c r="D28" s="9">
        <v>4832</v>
      </c>
      <c r="E28" s="172">
        <v>0</v>
      </c>
      <c r="F28" s="6">
        <f t="shared" si="0"/>
        <v>0</v>
      </c>
      <c r="G28" s="6">
        <f t="shared" si="1"/>
        <v>0</v>
      </c>
      <c r="H28" s="6">
        <f t="shared" si="2"/>
        <v>0</v>
      </c>
      <c r="I28" s="15">
        <f t="shared" si="5"/>
        <v>4.8600000000000003</v>
      </c>
      <c r="J28" s="40">
        <f t="shared" si="3"/>
        <v>0</v>
      </c>
      <c r="K28" s="33">
        <v>0</v>
      </c>
      <c r="L28" s="80">
        <f t="shared" si="6"/>
        <v>0</v>
      </c>
    </row>
    <row r="29" spans="1:12" s="1" customFormat="1" ht="14.25" customHeight="1" x14ac:dyDescent="0.2">
      <c r="A29" s="82">
        <f>'$ VOLS'!F131</f>
        <v>4.8600000000000003</v>
      </c>
      <c r="B29" s="21">
        <f t="shared" si="4"/>
        <v>36968</v>
      </c>
      <c r="C29" s="9">
        <v>3339</v>
      </c>
      <c r="D29" s="9">
        <v>5535</v>
      </c>
      <c r="E29" s="172">
        <v>0</v>
      </c>
      <c r="F29" s="6">
        <f t="shared" si="0"/>
        <v>0</v>
      </c>
      <c r="G29" s="6">
        <f t="shared" si="1"/>
        <v>0</v>
      </c>
      <c r="H29" s="6">
        <f t="shared" si="2"/>
        <v>0</v>
      </c>
      <c r="I29" s="15">
        <f t="shared" si="5"/>
        <v>4.8600000000000003</v>
      </c>
      <c r="J29" s="40">
        <f t="shared" si="3"/>
        <v>0</v>
      </c>
      <c r="K29" s="33">
        <v>0</v>
      </c>
      <c r="L29" s="80">
        <f t="shared" si="6"/>
        <v>0</v>
      </c>
    </row>
    <row r="30" spans="1:12" s="1" customFormat="1" ht="14.25" customHeight="1" x14ac:dyDescent="0.2">
      <c r="A30" s="82">
        <f>'$ VOLS'!F132</f>
        <v>4.8600000000000003</v>
      </c>
      <c r="B30" s="21">
        <f t="shared" si="4"/>
        <v>36969</v>
      </c>
      <c r="C30" s="9">
        <v>3253</v>
      </c>
      <c r="D30" s="9">
        <v>5392</v>
      </c>
      <c r="E30" s="172">
        <v>0</v>
      </c>
      <c r="F30" s="6">
        <f t="shared" si="0"/>
        <v>0</v>
      </c>
      <c r="G30" s="6">
        <f t="shared" si="1"/>
        <v>0</v>
      </c>
      <c r="H30" s="6">
        <f t="shared" si="2"/>
        <v>0</v>
      </c>
      <c r="I30" s="15">
        <f t="shared" si="5"/>
        <v>4.8600000000000003</v>
      </c>
      <c r="J30" s="40">
        <f t="shared" si="3"/>
        <v>0</v>
      </c>
      <c r="K30" s="33">
        <v>0</v>
      </c>
      <c r="L30" s="80">
        <f t="shared" si="6"/>
        <v>0</v>
      </c>
    </row>
    <row r="31" spans="1:12" s="1" customFormat="1" ht="14.25" customHeight="1" x14ac:dyDescent="0.2">
      <c r="A31" s="82">
        <f>'$ VOLS'!F133</f>
        <v>4.97</v>
      </c>
      <c r="B31" s="21">
        <f t="shared" si="4"/>
        <v>36970</v>
      </c>
      <c r="C31" s="9">
        <v>3202</v>
      </c>
      <c r="D31" s="9">
        <v>5308</v>
      </c>
      <c r="E31" s="172">
        <v>0</v>
      </c>
      <c r="F31" s="6">
        <f t="shared" si="0"/>
        <v>0</v>
      </c>
      <c r="G31" s="6">
        <f t="shared" si="1"/>
        <v>0</v>
      </c>
      <c r="H31" s="6">
        <f t="shared" si="2"/>
        <v>0</v>
      </c>
      <c r="I31" s="15">
        <f t="shared" si="5"/>
        <v>4.97</v>
      </c>
      <c r="J31" s="40">
        <f t="shared" si="3"/>
        <v>0</v>
      </c>
      <c r="K31" s="33">
        <v>0</v>
      </c>
      <c r="L31" s="80">
        <f t="shared" si="6"/>
        <v>0</v>
      </c>
    </row>
    <row r="32" spans="1:12" s="1" customFormat="1" ht="14.25" customHeight="1" x14ac:dyDescent="0.2">
      <c r="A32" s="82">
        <f>'$ VOLS'!F134</f>
        <v>4.9800000000000004</v>
      </c>
      <c r="B32" s="21">
        <f t="shared" si="4"/>
        <v>36971</v>
      </c>
      <c r="C32" s="9">
        <v>2759</v>
      </c>
      <c r="D32" s="9">
        <v>4574</v>
      </c>
      <c r="E32" s="172">
        <v>0</v>
      </c>
      <c r="F32" s="6">
        <f t="shared" si="0"/>
        <v>0</v>
      </c>
      <c r="G32" s="6">
        <f t="shared" si="1"/>
        <v>0</v>
      </c>
      <c r="H32" s="6">
        <f t="shared" si="2"/>
        <v>0</v>
      </c>
      <c r="I32" s="15">
        <f t="shared" si="5"/>
        <v>4.9800000000000004</v>
      </c>
      <c r="J32" s="40">
        <f t="shared" si="3"/>
        <v>0</v>
      </c>
      <c r="K32" s="33">
        <v>0</v>
      </c>
      <c r="L32" s="80">
        <f t="shared" si="6"/>
        <v>0</v>
      </c>
    </row>
    <row r="33" spans="1:12" s="1" customFormat="1" ht="14.25" customHeight="1" x14ac:dyDescent="0.2">
      <c r="A33" s="82">
        <f>'$ VOLS'!F135</f>
        <v>5.085</v>
      </c>
      <c r="B33" s="21">
        <f t="shared" si="4"/>
        <v>36972</v>
      </c>
      <c r="C33" s="9">
        <v>2949</v>
      </c>
      <c r="D33" s="9">
        <v>4888</v>
      </c>
      <c r="E33" s="172">
        <v>0</v>
      </c>
      <c r="F33" s="6">
        <f t="shared" si="0"/>
        <v>0</v>
      </c>
      <c r="G33" s="6">
        <f t="shared" si="1"/>
        <v>0</v>
      </c>
      <c r="H33" s="6">
        <f t="shared" si="2"/>
        <v>0</v>
      </c>
      <c r="I33" s="15">
        <f t="shared" si="5"/>
        <v>5.085</v>
      </c>
      <c r="J33" s="40">
        <f t="shared" si="3"/>
        <v>0</v>
      </c>
      <c r="K33" s="33">
        <v>0</v>
      </c>
      <c r="L33" s="80">
        <f t="shared" si="6"/>
        <v>0</v>
      </c>
    </row>
    <row r="34" spans="1:12" s="1" customFormat="1" ht="14.25" customHeight="1" x14ac:dyDescent="0.2">
      <c r="A34" s="82">
        <f>'$ VOLS'!F136</f>
        <v>4.95</v>
      </c>
      <c r="B34" s="21">
        <f t="shared" si="4"/>
        <v>36973</v>
      </c>
      <c r="C34" s="9">
        <v>3918</v>
      </c>
      <c r="D34" s="9">
        <v>6495</v>
      </c>
      <c r="E34" s="172">
        <v>0</v>
      </c>
      <c r="F34" s="6">
        <f t="shared" si="0"/>
        <v>0</v>
      </c>
      <c r="G34" s="6">
        <f t="shared" si="1"/>
        <v>0</v>
      </c>
      <c r="H34" s="6">
        <f t="shared" si="2"/>
        <v>0</v>
      </c>
      <c r="I34" s="15">
        <f t="shared" si="5"/>
        <v>4.95</v>
      </c>
      <c r="J34" s="40">
        <f t="shared" si="3"/>
        <v>0</v>
      </c>
      <c r="K34" s="33">
        <v>0</v>
      </c>
      <c r="L34" s="80">
        <f t="shared" si="6"/>
        <v>0</v>
      </c>
    </row>
    <row r="35" spans="1:12" s="1" customFormat="1" ht="14.25" customHeight="1" x14ac:dyDescent="0.2">
      <c r="A35" s="82">
        <f>'$ VOLS'!F137</f>
        <v>5.1550000000000002</v>
      </c>
      <c r="B35" s="21">
        <f t="shared" si="4"/>
        <v>36974</v>
      </c>
      <c r="C35" s="9">
        <v>4039</v>
      </c>
      <c r="D35" s="9">
        <v>6694</v>
      </c>
      <c r="E35" s="172">
        <v>0</v>
      </c>
      <c r="F35" s="6">
        <f t="shared" si="0"/>
        <v>0</v>
      </c>
      <c r="G35" s="6">
        <f t="shared" si="1"/>
        <v>0</v>
      </c>
      <c r="H35" s="6">
        <f t="shared" si="2"/>
        <v>0</v>
      </c>
      <c r="I35" s="15">
        <f t="shared" si="5"/>
        <v>5.1550000000000002</v>
      </c>
      <c r="J35" s="40">
        <f t="shared" si="3"/>
        <v>0</v>
      </c>
      <c r="K35" s="33">
        <v>0</v>
      </c>
      <c r="L35" s="80">
        <f t="shared" si="6"/>
        <v>0</v>
      </c>
    </row>
    <row r="36" spans="1:12" s="1" customFormat="1" ht="14.25" customHeight="1" x14ac:dyDescent="0.2">
      <c r="A36" s="82">
        <f>'$ VOLS'!F138</f>
        <v>5.1550000000000002</v>
      </c>
      <c r="B36" s="21">
        <f t="shared" si="4"/>
        <v>36975</v>
      </c>
      <c r="C36" s="9">
        <v>3977</v>
      </c>
      <c r="D36" s="9">
        <v>6593</v>
      </c>
      <c r="E36" s="172">
        <v>0</v>
      </c>
      <c r="F36" s="6">
        <f t="shared" si="0"/>
        <v>0</v>
      </c>
      <c r="G36" s="6">
        <f t="shared" si="1"/>
        <v>0</v>
      </c>
      <c r="H36" s="6">
        <f t="shared" si="2"/>
        <v>0</v>
      </c>
      <c r="I36" s="15">
        <f t="shared" si="5"/>
        <v>5.1550000000000002</v>
      </c>
      <c r="J36" s="40">
        <f t="shared" si="3"/>
        <v>0</v>
      </c>
      <c r="K36" s="33">
        <v>0</v>
      </c>
      <c r="L36" s="80">
        <f t="shared" si="6"/>
        <v>0</v>
      </c>
    </row>
    <row r="37" spans="1:12" s="1" customFormat="1" ht="14.25" customHeight="1" x14ac:dyDescent="0.2">
      <c r="A37" s="82">
        <f>'$ VOLS'!F139</f>
        <v>5.1550000000000002</v>
      </c>
      <c r="B37" s="21">
        <f t="shared" si="4"/>
        <v>36976</v>
      </c>
      <c r="C37" s="9">
        <v>3927</v>
      </c>
      <c r="D37" s="9">
        <v>6508</v>
      </c>
      <c r="E37" s="172">
        <v>0</v>
      </c>
      <c r="F37" s="6">
        <f t="shared" si="0"/>
        <v>0</v>
      </c>
      <c r="G37" s="6">
        <f t="shared" si="1"/>
        <v>0</v>
      </c>
      <c r="H37" s="6">
        <f t="shared" si="2"/>
        <v>0</v>
      </c>
      <c r="I37" s="15">
        <f t="shared" si="5"/>
        <v>5.1550000000000002</v>
      </c>
      <c r="J37" s="40">
        <f t="shared" si="3"/>
        <v>0</v>
      </c>
      <c r="K37" s="33">
        <v>0</v>
      </c>
      <c r="L37" s="80">
        <f t="shared" si="6"/>
        <v>0</v>
      </c>
    </row>
    <row r="38" spans="1:12" s="1" customFormat="1" ht="14.25" customHeight="1" x14ac:dyDescent="0.2">
      <c r="A38" s="82">
        <f>'$ VOLS'!F140</f>
        <v>5.165</v>
      </c>
      <c r="B38" s="21">
        <f t="shared" si="4"/>
        <v>36977</v>
      </c>
      <c r="C38" s="9">
        <v>3824</v>
      </c>
      <c r="D38" s="9">
        <v>6338</v>
      </c>
      <c r="E38" s="172">
        <v>0</v>
      </c>
      <c r="F38" s="6">
        <f t="shared" si="0"/>
        <v>0</v>
      </c>
      <c r="G38" s="6">
        <f>IF(E38&gt;$F$7,E38-F38,0)</f>
        <v>0</v>
      </c>
      <c r="H38" s="6">
        <f t="shared" si="2"/>
        <v>0</v>
      </c>
      <c r="I38" s="15">
        <f t="shared" si="5"/>
        <v>5.165</v>
      </c>
      <c r="J38" s="40">
        <f t="shared" si="3"/>
        <v>0</v>
      </c>
      <c r="K38" s="33">
        <v>0</v>
      </c>
      <c r="L38" s="80">
        <f t="shared" si="6"/>
        <v>0</v>
      </c>
    </row>
    <row r="39" spans="1:12" s="1" customFormat="1" ht="14.25" customHeight="1" x14ac:dyDescent="0.2">
      <c r="A39" s="82">
        <f>'$ VOLS'!F141</f>
        <v>5.3650000000000002</v>
      </c>
      <c r="B39" s="21">
        <f t="shared" si="4"/>
        <v>36978</v>
      </c>
      <c r="C39" s="9">
        <v>3848</v>
      </c>
      <c r="D39" s="9">
        <v>6379</v>
      </c>
      <c r="E39" s="172">
        <v>0</v>
      </c>
      <c r="F39" s="6">
        <f t="shared" si="0"/>
        <v>0</v>
      </c>
      <c r="G39" s="6">
        <f t="shared" si="1"/>
        <v>0</v>
      </c>
      <c r="H39" s="6">
        <f t="shared" si="2"/>
        <v>0</v>
      </c>
      <c r="I39" s="15">
        <f t="shared" si="5"/>
        <v>5.3650000000000002</v>
      </c>
      <c r="J39" s="40">
        <f t="shared" si="3"/>
        <v>0</v>
      </c>
      <c r="K39" s="33">
        <v>0</v>
      </c>
      <c r="L39" s="80">
        <f t="shared" si="6"/>
        <v>0</v>
      </c>
    </row>
    <row r="40" spans="1:12" s="1" customFormat="1" ht="14.25" customHeight="1" x14ac:dyDescent="0.2">
      <c r="A40" s="82">
        <f>'$ VOLS'!F142</f>
        <v>5.5350000000000001</v>
      </c>
      <c r="B40" s="21">
        <f t="shared" si="4"/>
        <v>36979</v>
      </c>
      <c r="C40" s="9">
        <v>3812</v>
      </c>
      <c r="D40" s="9">
        <v>6319</v>
      </c>
      <c r="E40" s="172">
        <v>0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15">
        <f t="shared" si="5"/>
        <v>5.5350000000000001</v>
      </c>
      <c r="J40" s="40">
        <f t="shared" si="3"/>
        <v>0</v>
      </c>
      <c r="K40" s="33">
        <v>0</v>
      </c>
      <c r="L40" s="80">
        <f t="shared" si="6"/>
        <v>0</v>
      </c>
    </row>
    <row r="41" spans="1:12" s="1" customFormat="1" ht="14.25" x14ac:dyDescent="0.2">
      <c r="A41" s="82">
        <f>'$ VOLS'!F143</f>
        <v>5.2750000000000004</v>
      </c>
      <c r="B41" s="21">
        <f>+B40+1</f>
        <v>36980</v>
      </c>
      <c r="C41" s="30">
        <f>SUM(C12:C40)</f>
        <v>109247</v>
      </c>
      <c r="D41" s="30">
        <f>SUM(D12:D40)</f>
        <v>160960</v>
      </c>
      <c r="E41" s="172">
        <v>0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15">
        <f t="shared" si="5"/>
        <v>5.2750000000000004</v>
      </c>
      <c r="J41" s="40">
        <f t="shared" si="3"/>
        <v>0</v>
      </c>
      <c r="K41" s="33">
        <v>0</v>
      </c>
      <c r="L41" s="80">
        <f t="shared" si="6"/>
        <v>0</v>
      </c>
    </row>
    <row r="42" spans="1:12" s="1" customFormat="1" ht="12.75" x14ac:dyDescent="0.2">
      <c r="A42" s="82">
        <f>'$ VOLS'!F144</f>
        <v>5.3049999999999997</v>
      </c>
      <c r="B42" s="21">
        <f>+B41+1</f>
        <v>36981</v>
      </c>
      <c r="C42" s="28">
        <v>109247</v>
      </c>
      <c r="D42" s="28">
        <v>160960</v>
      </c>
      <c r="E42" s="172">
        <v>0</v>
      </c>
      <c r="F42" s="6">
        <f t="shared" si="0"/>
        <v>0</v>
      </c>
      <c r="G42" s="6">
        <f t="shared" si="1"/>
        <v>0</v>
      </c>
      <c r="H42" s="6">
        <v>0</v>
      </c>
      <c r="I42" s="15">
        <f t="shared" si="5"/>
        <v>5.3049999999999997</v>
      </c>
      <c r="J42" s="40">
        <f t="shared" si="3"/>
        <v>0</v>
      </c>
      <c r="K42" s="33">
        <v>0</v>
      </c>
      <c r="L42" s="80">
        <f t="shared" si="6"/>
        <v>0</v>
      </c>
    </row>
    <row r="43" spans="1:12" s="1" customFormat="1" ht="12.75" x14ac:dyDescent="0.2">
      <c r="A43" s="85">
        <f>AVERAGE(A12:A42)</f>
        <v>5.067903225806452</v>
      </c>
      <c r="B43" s="21" t="s">
        <v>104</v>
      </c>
      <c r="C43" s="28"/>
      <c r="D43" s="28"/>
      <c r="E43" s="171">
        <f>SUM(E12:E42)</f>
        <v>0</v>
      </c>
      <c r="F43" s="28">
        <f>SUM(F12:F42)</f>
        <v>0</v>
      </c>
      <c r="G43" s="6">
        <f t="shared" si="1"/>
        <v>0</v>
      </c>
      <c r="H43" s="28">
        <f>SUM(H12:H42)</f>
        <v>0</v>
      </c>
      <c r="I43" s="85">
        <f>AVERAGE(I12:I42)</f>
        <v>5.067903225806452</v>
      </c>
      <c r="J43" s="112">
        <f>SUM(J12:J42)</f>
        <v>0</v>
      </c>
      <c r="K43" s="78">
        <f>SUM(K12:K42)</f>
        <v>0</v>
      </c>
      <c r="L43" s="80">
        <f t="shared" si="6"/>
        <v>0</v>
      </c>
    </row>
    <row r="44" spans="1:12" s="1" customFormat="1" ht="12.75" x14ac:dyDescent="0.2">
      <c r="A44" s="85"/>
      <c r="B44" s="21"/>
      <c r="C44" s="28"/>
      <c r="D44" s="28"/>
      <c r="E44" s="171">
        <f>F43+G43</f>
        <v>0</v>
      </c>
      <c r="F44" s="42"/>
      <c r="G44" s="14"/>
      <c r="H44" s="28"/>
      <c r="I44" s="43"/>
      <c r="K44" s="31"/>
      <c r="L44" s="5"/>
    </row>
    <row r="45" spans="1:12" s="1" customFormat="1" ht="14.25" x14ac:dyDescent="0.2">
      <c r="A45" s="83"/>
      <c r="B45" s="2" t="s">
        <v>0</v>
      </c>
      <c r="C45" s="28">
        <f>+C42-C41</f>
        <v>0</v>
      </c>
      <c r="D45" s="28">
        <f>+D42-D41</f>
        <v>0</v>
      </c>
      <c r="E45" s="171">
        <f>+E43-E44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">
      <c r="A46" s="83"/>
      <c r="E46" s="171"/>
      <c r="K46" s="31"/>
    </row>
    <row r="47" spans="1:12" s="1" customFormat="1" ht="12.75" customHeight="1" x14ac:dyDescent="0.2">
      <c r="A47" s="83"/>
      <c r="E47" s="171"/>
      <c r="K47" s="31"/>
    </row>
    <row r="48" spans="1:12" s="1" customFormat="1" ht="14.25" x14ac:dyDescent="0.2">
      <c r="A48" s="83"/>
      <c r="B48" s="2"/>
      <c r="C48" s="2"/>
      <c r="D48" s="2"/>
      <c r="E48" s="175" t="s">
        <v>6</v>
      </c>
      <c r="F48" s="3"/>
      <c r="G48" s="23">
        <f>+F43</f>
        <v>0</v>
      </c>
      <c r="H48" s="24">
        <f>'$ VOLS'!E9</f>
        <v>4.915</v>
      </c>
      <c r="I48" s="17">
        <f>+H48*F43</f>
        <v>0</v>
      </c>
      <c r="K48" s="45" t="s">
        <v>0</v>
      </c>
      <c r="L48" s="46" t="s">
        <v>0</v>
      </c>
    </row>
    <row r="49" spans="1:12" s="1" customFormat="1" ht="14.25" x14ac:dyDescent="0.2">
      <c r="A49" s="83"/>
      <c r="B49" s="2"/>
      <c r="C49" s="2"/>
      <c r="D49" s="2"/>
      <c r="E49" s="175" t="s">
        <v>17</v>
      </c>
      <c r="F49" s="3"/>
      <c r="G49" s="23">
        <f>+G43</f>
        <v>0</v>
      </c>
      <c r="H49" s="3"/>
      <c r="I49" s="17">
        <f>+J43</f>
        <v>0</v>
      </c>
      <c r="K49" s="31" t="s">
        <v>0</v>
      </c>
      <c r="L49" s="47" t="s">
        <v>0</v>
      </c>
    </row>
    <row r="50" spans="1:12" s="1" customFormat="1" ht="14.25" x14ac:dyDescent="0.2">
      <c r="A50" s="83"/>
      <c r="B50" s="2"/>
      <c r="C50" s="2"/>
      <c r="D50" s="2"/>
      <c r="E50" s="175" t="s">
        <v>19</v>
      </c>
      <c r="F50" s="3"/>
      <c r="G50" s="131">
        <f>H43</f>
        <v>0</v>
      </c>
      <c r="H50" s="3"/>
      <c r="I50" s="27">
        <f>+K43</f>
        <v>0</v>
      </c>
      <c r="K50" s="31"/>
    </row>
    <row r="51" spans="1:12" s="1" customFormat="1" ht="15" thickBot="1" x14ac:dyDescent="0.25">
      <c r="A51" s="83"/>
      <c r="B51" s="2"/>
      <c r="C51" s="2"/>
      <c r="D51" s="2"/>
      <c r="E51" s="175"/>
      <c r="F51" s="3"/>
      <c r="G51" s="23">
        <f>SUM(G48:G50)</f>
        <v>0</v>
      </c>
      <c r="H51" s="41" t="e">
        <f>+I51/G51</f>
        <v>#DIV/0!</v>
      </c>
      <c r="I51" s="26">
        <f>SUM(I48:I50)</f>
        <v>0</v>
      </c>
      <c r="J51" s="37"/>
      <c r="K51" s="31"/>
    </row>
    <row r="52" spans="1:12" s="1" customFormat="1" ht="13.5" thickTop="1" x14ac:dyDescent="0.2">
      <c r="A52" s="83"/>
      <c r="B52" s="2" t="s">
        <v>0</v>
      </c>
      <c r="C52" s="2"/>
      <c r="D52" s="2"/>
      <c r="E52" s="171"/>
      <c r="K52" s="31"/>
    </row>
    <row r="53" spans="1:12" s="8" customFormat="1" ht="12" customHeight="1" x14ac:dyDescent="0.2">
      <c r="B53" s="7"/>
      <c r="C53" s="7"/>
      <c r="D53" s="7"/>
      <c r="E53" s="172"/>
      <c r="F53" s="5"/>
      <c r="G53" s="5"/>
      <c r="H53" s="5"/>
      <c r="I53" s="44" t="s">
        <v>0</v>
      </c>
      <c r="K53" s="35"/>
    </row>
    <row r="54" spans="1:12" s="5" customFormat="1" ht="12" customHeight="1" x14ac:dyDescent="0.2">
      <c r="A54" s="8"/>
      <c r="B54" s="7"/>
      <c r="C54" s="7"/>
      <c r="D54" s="7"/>
      <c r="E54" s="172"/>
      <c r="I54" s="5" t="s">
        <v>0</v>
      </c>
      <c r="K54" s="34"/>
    </row>
  </sheetData>
  <phoneticPr fontId="0" type="noConversion"/>
  <printOptions gridLinesSet="0"/>
  <pageMargins left="0.45" right="0.125" top="0" bottom="0" header="0.15" footer="0.15"/>
  <pageSetup scale="72" orientation="landscape" horizontalDpi="300" verticalDpi="300" r:id="rId1"/>
  <headerFooter alignWithMargins="0">
    <oddFooter xml:space="preserve">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04"/>
  <sheetViews>
    <sheetView showGridLines="0" tabSelected="1" topLeftCell="A20" workbookViewId="0">
      <selection activeCell="C38" sqref="C38"/>
    </sheetView>
  </sheetViews>
  <sheetFormatPr defaultRowHeight="12" outlineLevelRow="1" x14ac:dyDescent="0.15"/>
  <cols>
    <col min="1" max="1" width="9" style="22"/>
    <col min="2" max="2" width="17.5" style="48" customWidth="1"/>
    <col min="3" max="3" width="14.75" customWidth="1"/>
    <col min="4" max="7" width="16.25" customWidth="1"/>
    <col min="8" max="8" width="2.625" customWidth="1"/>
    <col min="9" max="9" width="15.5" customWidth="1"/>
    <col min="10" max="10" width="17.625" customWidth="1"/>
    <col min="11" max="11" width="15.75" customWidth="1"/>
    <col min="12" max="12" width="15.375" customWidth="1"/>
    <col min="13" max="13" width="14.625" style="49" customWidth="1"/>
    <col min="14" max="14" width="13.375" customWidth="1"/>
    <col min="15" max="15" width="11" customWidth="1"/>
    <col min="16" max="16" width="9" style="71"/>
  </cols>
  <sheetData>
    <row r="2" spans="1:18" s="1" customFormat="1" ht="12.75" x14ac:dyDescent="0.2">
      <c r="A2" s="2"/>
      <c r="B2" s="28"/>
      <c r="M2" s="31"/>
      <c r="P2" s="58"/>
    </row>
    <row r="3" spans="1:18" s="1" customFormat="1" ht="15.75" x14ac:dyDescent="0.25">
      <c r="A3" s="2"/>
      <c r="B3" s="51" t="s">
        <v>47</v>
      </c>
      <c r="M3" s="31"/>
      <c r="P3" s="58"/>
    </row>
    <row r="4" spans="1:18" s="1" customFormat="1" ht="12.75" x14ac:dyDescent="0.2">
      <c r="A4" s="2"/>
      <c r="B4" s="28"/>
      <c r="M4" s="31"/>
      <c r="P4" s="58"/>
    </row>
    <row r="5" spans="1:18" s="1" customFormat="1" ht="16.5" customHeight="1" x14ac:dyDescent="0.25">
      <c r="A5" s="2"/>
      <c r="D5" s="74" t="s">
        <v>0</v>
      </c>
      <c r="E5" s="74"/>
      <c r="F5" s="74"/>
      <c r="G5" s="74"/>
      <c r="H5" s="74"/>
      <c r="I5" s="69" t="s">
        <v>0</v>
      </c>
      <c r="J5" s="69" t="s">
        <v>67</v>
      </c>
      <c r="K5" s="58"/>
      <c r="N5" s="69" t="s">
        <v>0</v>
      </c>
      <c r="O5" s="69" t="s">
        <v>0</v>
      </c>
      <c r="P5" s="58"/>
      <c r="R5" s="1" t="s">
        <v>0</v>
      </c>
    </row>
    <row r="6" spans="1:18" s="54" customFormat="1" ht="12.75" customHeight="1" x14ac:dyDescent="0.25">
      <c r="A6" s="52"/>
      <c r="B6" s="53">
        <v>36951</v>
      </c>
      <c r="C6" s="75">
        <v>36951</v>
      </c>
      <c r="I6" s="69" t="s">
        <v>0</v>
      </c>
      <c r="J6" s="69" t="str">
        <f>+I6</f>
        <v xml:space="preserve"> </v>
      </c>
      <c r="K6" s="69"/>
      <c r="M6" s="69" t="s">
        <v>80</v>
      </c>
      <c r="N6" s="69" t="s">
        <v>0</v>
      </c>
      <c r="O6" s="69" t="s">
        <v>0</v>
      </c>
      <c r="P6" s="69"/>
      <c r="R6" s="69" t="s">
        <v>0</v>
      </c>
    </row>
    <row r="7" spans="1:18" s="54" customFormat="1" ht="16.5" customHeight="1" x14ac:dyDescent="0.25">
      <c r="A7" s="52"/>
      <c r="C7" s="69" t="s">
        <v>84</v>
      </c>
      <c r="D7" s="55" t="s">
        <v>27</v>
      </c>
      <c r="E7" s="55"/>
      <c r="F7" s="55"/>
      <c r="G7" s="54" t="s">
        <v>46</v>
      </c>
      <c r="I7" s="69" t="s">
        <v>0</v>
      </c>
      <c r="J7" s="69" t="str">
        <f>+I7</f>
        <v xml:space="preserve"> </v>
      </c>
      <c r="K7" s="69" t="s">
        <v>68</v>
      </c>
      <c r="L7" s="69" t="s">
        <v>69</v>
      </c>
      <c r="M7" s="69" t="s">
        <v>81</v>
      </c>
      <c r="N7" s="69" t="s">
        <v>0</v>
      </c>
      <c r="O7" s="69" t="s">
        <v>0</v>
      </c>
      <c r="P7" s="69" t="s">
        <v>0</v>
      </c>
      <c r="Q7" s="69" t="s">
        <v>0</v>
      </c>
      <c r="R7" s="69" t="s">
        <v>0</v>
      </c>
    </row>
    <row r="8" spans="1:18" s="54" customFormat="1" ht="16.5" customHeight="1" x14ac:dyDescent="0.25">
      <c r="A8" s="52"/>
      <c r="B8" s="54" t="s">
        <v>28</v>
      </c>
      <c r="C8" s="17">
        <v>4.9000000000000004</v>
      </c>
      <c r="D8" s="55" t="s">
        <v>27</v>
      </c>
      <c r="E8" s="24">
        <f>+$C$60+0.01</f>
        <v>4.7378</v>
      </c>
      <c r="F8" s="54" t="s">
        <v>29</v>
      </c>
      <c r="G8" s="88" t="s">
        <v>125</v>
      </c>
      <c r="H8" s="88"/>
      <c r="I8" s="54" t="s">
        <v>0</v>
      </c>
      <c r="J8" s="54" t="s">
        <v>0</v>
      </c>
      <c r="K8" s="70">
        <f>+C56</f>
        <v>0.1244</v>
      </c>
      <c r="L8" s="72">
        <f>+$C$59</f>
        <v>0.01</v>
      </c>
      <c r="M8" s="70">
        <f>+$D$60</f>
        <v>0.17220000000000013</v>
      </c>
      <c r="N8" s="54" t="s">
        <v>0</v>
      </c>
      <c r="O8" s="54" t="s">
        <v>0</v>
      </c>
      <c r="P8" s="70" t="s">
        <v>0</v>
      </c>
      <c r="Q8" s="72" t="s">
        <v>0</v>
      </c>
      <c r="R8" s="70" t="s">
        <v>0</v>
      </c>
    </row>
    <row r="9" spans="1:18" s="54" customFormat="1" ht="17.25" customHeight="1" x14ac:dyDescent="0.25">
      <c r="A9" s="52"/>
      <c r="B9" s="54" t="s">
        <v>30</v>
      </c>
      <c r="C9" s="17">
        <v>5.0199999999999996</v>
      </c>
      <c r="D9" s="55" t="s">
        <v>27</v>
      </c>
      <c r="E9" s="24">
        <f>+$C$16+0.005</f>
        <v>4.915</v>
      </c>
      <c r="F9" s="54" t="s">
        <v>31</v>
      </c>
      <c r="G9" s="88">
        <v>0</v>
      </c>
      <c r="H9" s="88"/>
      <c r="I9" s="54" t="s">
        <v>0</v>
      </c>
      <c r="J9" s="54" t="s">
        <v>0</v>
      </c>
      <c r="K9" s="69"/>
      <c r="L9" s="72" t="s">
        <v>0</v>
      </c>
      <c r="M9" s="70" t="s">
        <v>83</v>
      </c>
      <c r="N9" s="54" t="s">
        <v>0</v>
      </c>
      <c r="O9" s="54" t="s">
        <v>0</v>
      </c>
      <c r="P9" s="69" t="s">
        <v>0</v>
      </c>
      <c r="Q9" s="72" t="s">
        <v>0</v>
      </c>
      <c r="R9" s="70" t="s">
        <v>0</v>
      </c>
    </row>
    <row r="10" spans="1:18" s="54" customFormat="1" ht="16.5" customHeight="1" x14ac:dyDescent="0.25">
      <c r="A10" s="52"/>
      <c r="B10" s="54" t="s">
        <v>33</v>
      </c>
      <c r="C10" s="17">
        <v>5.03</v>
      </c>
      <c r="D10" s="55" t="s">
        <v>27</v>
      </c>
      <c r="E10" s="24">
        <f>+$C$45+0.005</f>
        <v>4.9357999999999995</v>
      </c>
      <c r="F10" s="54" t="s">
        <v>34</v>
      </c>
      <c r="G10" s="88">
        <v>328</v>
      </c>
      <c r="H10" s="88"/>
      <c r="I10" s="54" t="s">
        <v>0</v>
      </c>
      <c r="J10" s="54" t="s">
        <v>0</v>
      </c>
      <c r="K10" s="70">
        <f>+$C$43</f>
        <v>7.6899999999999996E-2</v>
      </c>
      <c r="L10" s="72">
        <f>+$C$44</f>
        <v>4.4999999999999997E-3</v>
      </c>
      <c r="M10" s="70">
        <f>+$D$45</f>
        <v>9.9200000000000621E-2</v>
      </c>
      <c r="N10" s="54" t="s">
        <v>0</v>
      </c>
      <c r="O10" s="54" t="s">
        <v>0</v>
      </c>
      <c r="P10" s="70" t="s">
        <v>0</v>
      </c>
      <c r="Q10" s="72" t="s">
        <v>0</v>
      </c>
      <c r="R10" s="70" t="s">
        <v>0</v>
      </c>
    </row>
    <row r="11" spans="1:18" s="54" customFormat="1" ht="16.5" customHeight="1" x14ac:dyDescent="0.25">
      <c r="A11" s="52"/>
      <c r="B11" s="54" t="s">
        <v>36</v>
      </c>
      <c r="C11" s="17">
        <v>4.9000000000000004</v>
      </c>
      <c r="D11" s="55" t="s">
        <v>27</v>
      </c>
      <c r="E11" s="65">
        <f>+$C$84-0.065</f>
        <v>4.827</v>
      </c>
      <c r="F11" s="54" t="s">
        <v>111</v>
      </c>
      <c r="G11" s="88">
        <v>0</v>
      </c>
      <c r="I11" s="54" t="s">
        <v>0</v>
      </c>
      <c r="J11" s="54" t="s">
        <v>0</v>
      </c>
      <c r="K11" s="70">
        <v>0</v>
      </c>
      <c r="L11" s="72">
        <v>0</v>
      </c>
      <c r="M11" s="70" t="s">
        <v>82</v>
      </c>
      <c r="N11" s="54" t="s">
        <v>0</v>
      </c>
      <c r="O11" s="54" t="s">
        <v>0</v>
      </c>
      <c r="P11" s="70" t="s">
        <v>0</v>
      </c>
      <c r="Q11" s="72" t="s">
        <v>0</v>
      </c>
      <c r="R11" s="70" t="s">
        <v>0</v>
      </c>
    </row>
    <row r="12" spans="1:18" s="54" customFormat="1" ht="16.5" customHeight="1" x14ac:dyDescent="0.25">
      <c r="A12" s="52"/>
      <c r="C12" s="17"/>
      <c r="D12" s="55"/>
      <c r="E12" s="65">
        <f>+$C$84-0.065</f>
        <v>4.827</v>
      </c>
      <c r="F12" s="54" t="s">
        <v>135</v>
      </c>
      <c r="G12" s="88">
        <f>609+268</f>
        <v>877</v>
      </c>
      <c r="H12" s="88" t="s">
        <v>0</v>
      </c>
      <c r="I12" s="54" t="s">
        <v>0</v>
      </c>
      <c r="J12" s="54" t="s">
        <v>0</v>
      </c>
      <c r="K12" s="70">
        <f>0.015+0.123</f>
        <v>0.13800000000000001</v>
      </c>
      <c r="L12" s="72">
        <v>0</v>
      </c>
      <c r="M12" s="70" t="s">
        <v>82</v>
      </c>
      <c r="P12" s="70"/>
      <c r="Q12" s="72"/>
      <c r="R12" s="70"/>
    </row>
    <row r="13" spans="1:18" s="54" customFormat="1" ht="16.5" customHeight="1" x14ac:dyDescent="0.25">
      <c r="A13" s="52"/>
      <c r="B13" s="54" t="s">
        <v>38</v>
      </c>
      <c r="C13" s="17">
        <v>4.92</v>
      </c>
      <c r="D13" s="55" t="s">
        <v>27</v>
      </c>
      <c r="E13" s="24">
        <f>+$C$68+0.005</f>
        <v>4.7859999999999996</v>
      </c>
      <c r="F13" s="54" t="s">
        <v>39</v>
      </c>
      <c r="G13" s="88" t="s">
        <v>125</v>
      </c>
      <c r="H13" s="88"/>
      <c r="I13" s="54" t="s">
        <v>0</v>
      </c>
      <c r="J13" s="54" t="s">
        <v>0</v>
      </c>
      <c r="K13" s="70">
        <f>+$C$66</f>
        <v>0.115</v>
      </c>
      <c r="L13" s="72">
        <f>+$C$67</f>
        <v>5.0000000000000001E-3</v>
      </c>
      <c r="M13" s="70">
        <f>+$D$68</f>
        <v>0.13900000000000023</v>
      </c>
      <c r="N13" s="54" t="s">
        <v>96</v>
      </c>
      <c r="O13" s="54" t="s">
        <v>0</v>
      </c>
      <c r="P13" s="70" t="s">
        <v>0</v>
      </c>
      <c r="Q13" s="72" t="s">
        <v>0</v>
      </c>
      <c r="R13" s="70" t="s">
        <v>0</v>
      </c>
    </row>
    <row r="14" spans="1:18" s="54" customFormat="1" ht="16.5" customHeight="1" x14ac:dyDescent="0.25">
      <c r="A14" s="52"/>
      <c r="C14" s="17"/>
      <c r="D14" s="55"/>
      <c r="E14" s="24">
        <f>+$C$68+0.005</f>
        <v>4.7859999999999996</v>
      </c>
      <c r="F14" s="54" t="s">
        <v>78</v>
      </c>
      <c r="G14" s="88" t="s">
        <v>125</v>
      </c>
      <c r="H14" s="88"/>
      <c r="I14" s="54" t="s">
        <v>0</v>
      </c>
      <c r="J14" s="54" t="s">
        <v>0</v>
      </c>
      <c r="K14" s="70">
        <f>+$C$66</f>
        <v>0.115</v>
      </c>
      <c r="L14" s="72">
        <f>+$C$67</f>
        <v>5.0000000000000001E-3</v>
      </c>
      <c r="M14" s="70">
        <f>+$D$68</f>
        <v>0.13900000000000023</v>
      </c>
      <c r="N14" s="54" t="s">
        <v>0</v>
      </c>
      <c r="O14" s="54" t="s">
        <v>0</v>
      </c>
      <c r="P14" s="70" t="s">
        <v>0</v>
      </c>
      <c r="Q14" s="72" t="s">
        <v>0</v>
      </c>
      <c r="R14" s="70" t="s">
        <v>0</v>
      </c>
    </row>
    <row r="15" spans="1:18" s="54" customFormat="1" ht="16.5" customHeight="1" x14ac:dyDescent="0.25">
      <c r="A15" s="52"/>
      <c r="C15" s="17"/>
      <c r="D15" s="55"/>
      <c r="E15" s="24">
        <f>+$C$68+0.005</f>
        <v>4.7859999999999996</v>
      </c>
      <c r="F15" s="54" t="s">
        <v>79</v>
      </c>
      <c r="G15" s="88" t="s">
        <v>125</v>
      </c>
      <c r="H15" s="88"/>
      <c r="I15" s="54" t="s">
        <v>0</v>
      </c>
      <c r="J15" s="54" t="s">
        <v>0</v>
      </c>
      <c r="K15" s="70">
        <f>+$C$66</f>
        <v>0.115</v>
      </c>
      <c r="L15" s="72">
        <f>+$C$67</f>
        <v>5.0000000000000001E-3</v>
      </c>
      <c r="M15" s="70">
        <f>+$D$68</f>
        <v>0.13900000000000023</v>
      </c>
      <c r="N15" s="54" t="s">
        <v>0</v>
      </c>
      <c r="O15" s="54" t="s">
        <v>0</v>
      </c>
      <c r="P15" s="70" t="s">
        <v>0</v>
      </c>
      <c r="Q15" s="72" t="s">
        <v>0</v>
      </c>
      <c r="R15" s="70" t="s">
        <v>0</v>
      </c>
    </row>
    <row r="16" spans="1:18" s="54" customFormat="1" ht="16.5" customHeight="1" x14ac:dyDescent="0.25">
      <c r="A16" s="52"/>
      <c r="B16" s="54" t="s">
        <v>41</v>
      </c>
      <c r="C16" s="17">
        <v>4.91</v>
      </c>
      <c r="D16" s="55" t="s">
        <v>27</v>
      </c>
      <c r="E16" s="24">
        <f>+$C$30+0.015</f>
        <v>4.9047999999999998</v>
      </c>
      <c r="F16" s="54" t="s">
        <v>42</v>
      </c>
      <c r="G16" s="88">
        <v>1327</v>
      </c>
      <c r="H16" s="88"/>
      <c r="I16" s="54" t="s">
        <v>0</v>
      </c>
      <c r="J16" s="54" t="s">
        <v>0</v>
      </c>
      <c r="K16" s="70">
        <f>+$C$28</f>
        <v>6.7599999999999993E-2</v>
      </c>
      <c r="L16" s="72">
        <f>+$C$29</f>
        <v>4.5999999999999999E-3</v>
      </c>
      <c r="M16" s="70">
        <f>+$D$30</f>
        <v>9.020000000000028E-2</v>
      </c>
      <c r="N16" s="54" t="s">
        <v>0</v>
      </c>
      <c r="O16" s="54" t="s">
        <v>0</v>
      </c>
      <c r="P16" s="70" t="s">
        <v>0</v>
      </c>
      <c r="Q16" s="72" t="s">
        <v>0</v>
      </c>
      <c r="R16" s="70" t="s">
        <v>0</v>
      </c>
    </row>
    <row r="17" spans="1:18" s="54" customFormat="1" ht="16.5" customHeight="1" x14ac:dyDescent="0.25">
      <c r="A17" s="52"/>
      <c r="B17" s="54" t="s">
        <v>14</v>
      </c>
      <c r="C17" s="17">
        <v>4.9800000000000004</v>
      </c>
      <c r="D17" s="55" t="s">
        <v>27</v>
      </c>
      <c r="E17" s="24">
        <f>+$C$30+0.015</f>
        <v>4.9047999999999998</v>
      </c>
      <c r="F17" s="54" t="s">
        <v>43</v>
      </c>
      <c r="G17" s="88">
        <v>1020</v>
      </c>
      <c r="H17" s="88"/>
      <c r="I17" s="54" t="s">
        <v>0</v>
      </c>
      <c r="J17" s="54" t="s">
        <v>0</v>
      </c>
      <c r="K17" s="70" t="str">
        <f>+$P$16</f>
        <v xml:space="preserve"> </v>
      </c>
      <c r="L17" s="72" t="str">
        <f>+$Q$16</f>
        <v xml:space="preserve"> </v>
      </c>
      <c r="M17" s="70">
        <f>+$D$30</f>
        <v>9.020000000000028E-2</v>
      </c>
      <c r="N17" s="54" t="s">
        <v>0</v>
      </c>
      <c r="O17" s="54" t="s">
        <v>0</v>
      </c>
      <c r="P17" s="70" t="s">
        <v>0</v>
      </c>
      <c r="Q17" s="72" t="s">
        <v>0</v>
      </c>
      <c r="R17" s="70" t="s">
        <v>0</v>
      </c>
    </row>
    <row r="18" spans="1:18" s="54" customFormat="1" ht="16.5" customHeight="1" x14ac:dyDescent="0.25">
      <c r="A18" s="52"/>
      <c r="B18" s="54" t="s">
        <v>35</v>
      </c>
      <c r="C18" s="17">
        <v>5.03</v>
      </c>
      <c r="D18" s="55" t="s">
        <v>27</v>
      </c>
      <c r="E18" s="24">
        <f>+$C$76+0.0125</f>
        <v>4.7957000000000001</v>
      </c>
      <c r="F18" s="54" t="s">
        <v>44</v>
      </c>
      <c r="G18" s="88">
        <v>48</v>
      </c>
      <c r="H18" s="88"/>
      <c r="I18" s="54" t="s">
        <v>124</v>
      </c>
      <c r="J18" s="54" t="s">
        <v>0</v>
      </c>
      <c r="K18" s="70">
        <f>+$C$74</f>
        <v>1.32E-2</v>
      </c>
      <c r="L18" s="72">
        <f>+$C$75</f>
        <v>2.12E-2</v>
      </c>
      <c r="M18" s="70">
        <f>+$D$76</f>
        <v>0.11680000000000046</v>
      </c>
      <c r="N18" s="54" t="s">
        <v>0</v>
      </c>
      <c r="O18" s="54" t="s">
        <v>0</v>
      </c>
      <c r="P18" s="70" t="s">
        <v>0</v>
      </c>
      <c r="Q18" s="72" t="s">
        <v>0</v>
      </c>
      <c r="R18" s="70" t="s">
        <v>0</v>
      </c>
    </row>
    <row r="19" spans="1:18" s="54" customFormat="1" ht="15.75" customHeight="1" x14ac:dyDescent="0.25">
      <c r="A19" s="52"/>
      <c r="D19" s="55" t="s">
        <v>27</v>
      </c>
      <c r="E19" s="24">
        <f>+$C$38-0.01</f>
        <v>4.8948059139999991</v>
      </c>
      <c r="F19" s="54" t="s">
        <v>142</v>
      </c>
      <c r="G19" s="88">
        <v>3093</v>
      </c>
      <c r="H19" s="88"/>
      <c r="I19" s="54" t="s">
        <v>0</v>
      </c>
      <c r="J19" s="54" t="s">
        <v>0</v>
      </c>
      <c r="K19" s="70">
        <f>+$C$36</f>
        <v>9.0199999999999989E-2</v>
      </c>
      <c r="L19" s="72">
        <f>+$C$37</f>
        <v>5.0699999999999999E-3</v>
      </c>
      <c r="M19" s="70">
        <f>+$D$38</f>
        <v>0.11519408600000069</v>
      </c>
      <c r="N19" s="54" t="s">
        <v>0</v>
      </c>
      <c r="O19" s="54" t="s">
        <v>0</v>
      </c>
      <c r="P19" s="70" t="s">
        <v>0</v>
      </c>
      <c r="Q19" s="72" t="s">
        <v>0</v>
      </c>
      <c r="R19" s="70" t="s">
        <v>0</v>
      </c>
    </row>
    <row r="20" spans="1:18" s="54" customFormat="1" ht="16.5" customHeight="1" x14ac:dyDescent="0.25">
      <c r="A20" s="52"/>
      <c r="D20" s="55" t="s">
        <v>27</v>
      </c>
      <c r="E20" s="24">
        <f>+$C$45+0.005</f>
        <v>4.9357999999999995</v>
      </c>
      <c r="F20" s="54" t="s">
        <v>127</v>
      </c>
      <c r="G20" s="88">
        <f>26+1211</f>
        <v>1237</v>
      </c>
      <c r="H20" s="88"/>
      <c r="I20" s="54" t="s">
        <v>0</v>
      </c>
      <c r="J20" s="54" t="s">
        <v>0</v>
      </c>
      <c r="K20" s="70" t="str">
        <f>+$P$10</f>
        <v xml:space="preserve"> </v>
      </c>
      <c r="L20" s="72" t="str">
        <f>+$Q$10</f>
        <v xml:space="preserve"> </v>
      </c>
      <c r="M20" s="70">
        <f>+$D$45</f>
        <v>9.9200000000000621E-2</v>
      </c>
      <c r="N20" s="54" t="s">
        <v>0</v>
      </c>
      <c r="O20" s="54" t="s">
        <v>0</v>
      </c>
      <c r="P20" s="70" t="s">
        <v>0</v>
      </c>
      <c r="Q20" s="72" t="s">
        <v>0</v>
      </c>
      <c r="R20" s="70" t="s">
        <v>0</v>
      </c>
    </row>
    <row r="21" spans="1:18" s="54" customFormat="1" ht="16.5" customHeight="1" x14ac:dyDescent="0.25">
      <c r="A21" s="52"/>
      <c r="B21" s="69" t="s">
        <v>149</v>
      </c>
      <c r="C21" s="69" t="s">
        <v>148</v>
      </c>
      <c r="D21" s="55" t="s">
        <v>27</v>
      </c>
      <c r="E21" s="24">
        <f>+$C$10-0.085</f>
        <v>4.9450000000000003</v>
      </c>
      <c r="F21" s="54" t="s">
        <v>45</v>
      </c>
      <c r="G21" s="88">
        <v>685</v>
      </c>
      <c r="H21" s="88"/>
      <c r="I21" s="54" t="s">
        <v>0</v>
      </c>
      <c r="J21" s="54" t="s">
        <v>0</v>
      </c>
      <c r="K21" s="69"/>
      <c r="L21" s="72" t="s">
        <v>0</v>
      </c>
      <c r="M21" s="70" t="s">
        <v>83</v>
      </c>
      <c r="N21" s="54" t="s">
        <v>0</v>
      </c>
      <c r="O21" s="54" t="s">
        <v>0</v>
      </c>
      <c r="P21" s="69" t="s">
        <v>0</v>
      </c>
      <c r="Q21" s="72" t="s">
        <v>0</v>
      </c>
      <c r="R21" s="70" t="s">
        <v>0</v>
      </c>
    </row>
    <row r="22" spans="1:18" s="54" customFormat="1" ht="16.5" customHeight="1" x14ac:dyDescent="0.25">
      <c r="A22" s="52"/>
      <c r="B22" s="194">
        <f>+E22-C22</f>
        <v>5.3300000000001013E-2</v>
      </c>
      <c r="C22" s="54">
        <v>4.8765999999999998</v>
      </c>
      <c r="D22" s="55" t="s">
        <v>27</v>
      </c>
      <c r="E22" s="24">
        <f>+$C$30+0.0376+0.0025</f>
        <v>4.9299000000000008</v>
      </c>
      <c r="F22" s="54" t="s">
        <v>112</v>
      </c>
      <c r="G22" s="113">
        <v>17383</v>
      </c>
      <c r="H22" s="89"/>
      <c r="J22" s="54" t="s">
        <v>0</v>
      </c>
      <c r="K22" s="70">
        <f>C89</f>
        <v>0.15989999999999999</v>
      </c>
      <c r="L22" s="87">
        <f>C92</f>
        <v>0</v>
      </c>
      <c r="M22" s="87">
        <f>C91</f>
        <v>0.15989999999999999</v>
      </c>
      <c r="O22" s="54" t="s">
        <v>0</v>
      </c>
      <c r="P22" s="70" t="s">
        <v>0</v>
      </c>
      <c r="Q22" s="87" t="s">
        <v>0</v>
      </c>
      <c r="R22" s="87" t="s">
        <v>0</v>
      </c>
    </row>
    <row r="23" spans="1:18" s="54" customFormat="1" ht="16.5" customHeight="1" thickBot="1" x14ac:dyDescent="0.3">
      <c r="A23" s="52"/>
      <c r="B23" s="54" t="s">
        <v>0</v>
      </c>
      <c r="D23" s="194"/>
      <c r="E23" s="17">
        <f>C18</f>
        <v>5.03</v>
      </c>
      <c r="F23" s="54" t="s">
        <v>133</v>
      </c>
      <c r="G23" s="113">
        <v>4663</v>
      </c>
      <c r="N23" s="69" t="s">
        <v>0</v>
      </c>
      <c r="O23" s="54" t="s">
        <v>0</v>
      </c>
      <c r="P23" s="70" t="s">
        <v>0</v>
      </c>
      <c r="Q23" s="72" t="s">
        <v>0</v>
      </c>
      <c r="R23" s="54" t="s">
        <v>0</v>
      </c>
    </row>
    <row r="24" spans="1:18" s="54" customFormat="1" ht="16.5" customHeight="1" thickBot="1" x14ac:dyDescent="0.3">
      <c r="A24" s="52"/>
      <c r="C24" s="193" t="s">
        <v>147</v>
      </c>
      <c r="D24" s="138" t="s">
        <v>0</v>
      </c>
      <c r="E24" s="95">
        <v>0</v>
      </c>
      <c r="F24" s="54" t="s">
        <v>0</v>
      </c>
      <c r="I24" s="57" t="s">
        <v>0</v>
      </c>
      <c r="J24" s="54" t="s">
        <v>0</v>
      </c>
      <c r="K24" s="57" t="s">
        <v>0</v>
      </c>
      <c r="P24" s="69"/>
      <c r="R24" s="54" t="s">
        <v>0</v>
      </c>
    </row>
    <row r="25" spans="1:18" s="143" customFormat="1" ht="15" x14ac:dyDescent="0.25">
      <c r="A25" s="139"/>
      <c r="B25" s="140" t="s">
        <v>48</v>
      </c>
      <c r="C25" s="141"/>
      <c r="D25" s="141"/>
      <c r="F25" s="192" t="s">
        <v>146</v>
      </c>
      <c r="G25" s="141" t="s">
        <v>126</v>
      </c>
      <c r="H25" s="141"/>
      <c r="I25" s="142"/>
      <c r="M25" s="144"/>
      <c r="P25" s="145"/>
    </row>
    <row r="26" spans="1:18" s="143" customFormat="1" ht="15" outlineLevel="1" x14ac:dyDescent="0.25">
      <c r="A26" s="139"/>
      <c r="B26" s="141" t="s">
        <v>22</v>
      </c>
      <c r="C26" s="146">
        <v>6.7599999999999993E-2</v>
      </c>
      <c r="D26" s="141" t="s">
        <v>144</v>
      </c>
      <c r="E26" s="141"/>
      <c r="F26" s="191">
        <v>0.1004</v>
      </c>
      <c r="G26" s="141"/>
      <c r="H26" s="141"/>
      <c r="I26" s="142"/>
      <c r="M26" s="144"/>
      <c r="P26" s="145"/>
    </row>
    <row r="27" spans="1:18" s="143" customFormat="1" ht="15" outlineLevel="1" x14ac:dyDescent="0.25">
      <c r="A27" s="139"/>
      <c r="B27" s="141" t="s">
        <v>49</v>
      </c>
      <c r="C27" s="147">
        <v>0</v>
      </c>
      <c r="D27" s="141" t="s">
        <v>50</v>
      </c>
      <c r="E27" s="141"/>
      <c r="F27" s="141">
        <v>0</v>
      </c>
      <c r="G27" s="141"/>
      <c r="H27" s="141"/>
      <c r="I27" s="142"/>
      <c r="M27" s="144"/>
      <c r="P27" s="145"/>
    </row>
    <row r="28" spans="1:18" s="148" customFormat="1" ht="12.75" x14ac:dyDescent="0.2">
      <c r="A28" s="141"/>
      <c r="B28" s="141" t="s">
        <v>51</v>
      </c>
      <c r="C28" s="146">
        <f>SUM(C26:C27)</f>
        <v>6.7599999999999993E-2</v>
      </c>
      <c r="D28" s="141"/>
      <c r="E28" s="141"/>
      <c r="F28" s="141">
        <f>+F27+F26</f>
        <v>0.1004</v>
      </c>
      <c r="G28" s="141"/>
      <c r="H28" s="141"/>
      <c r="I28" s="142"/>
      <c r="M28" s="149"/>
      <c r="P28" s="142"/>
    </row>
    <row r="29" spans="1:18" s="148" customFormat="1" ht="12.75" x14ac:dyDescent="0.2">
      <c r="A29" s="141"/>
      <c r="B29" s="141" t="s">
        <v>52</v>
      </c>
      <c r="C29" s="150">
        <v>4.5999999999999999E-3</v>
      </c>
      <c r="D29" s="141" t="s">
        <v>145</v>
      </c>
      <c r="E29" s="141"/>
      <c r="F29" s="141">
        <v>9.1000000000000004E-3</v>
      </c>
      <c r="G29" s="141"/>
      <c r="H29" s="141"/>
      <c r="I29" s="142"/>
      <c r="M29" s="149"/>
      <c r="P29" s="142"/>
    </row>
    <row r="30" spans="1:18" s="148" customFormat="1" ht="14.25" x14ac:dyDescent="0.2">
      <c r="A30" s="141"/>
      <c r="C30" s="151">
        <f>ROUND($C$17-$C$28-($C$17-$C$28)*$C$29,4)</f>
        <v>4.8898000000000001</v>
      </c>
      <c r="D30" s="152">
        <f>+$C$17-C30</f>
        <v>9.020000000000028E-2</v>
      </c>
      <c r="E30" s="152"/>
      <c r="F30" s="152">
        <v>4.8352000000000004</v>
      </c>
      <c r="G30" s="152">
        <v>0.14480000000000001</v>
      </c>
      <c r="H30" s="152"/>
      <c r="I30" s="151" t="s">
        <v>0</v>
      </c>
      <c r="M30" s="149"/>
      <c r="P30" s="142"/>
    </row>
    <row r="31" spans="1:18" s="148" customFormat="1" ht="14.25" x14ac:dyDescent="0.2">
      <c r="A31" s="141"/>
      <c r="C31" s="140" t="s">
        <v>53</v>
      </c>
      <c r="D31" s="141"/>
      <c r="E31" s="141"/>
      <c r="F31" s="141"/>
      <c r="G31" s="141"/>
      <c r="H31" s="141"/>
      <c r="I31" s="142"/>
      <c r="M31" s="149"/>
      <c r="P31" s="142"/>
    </row>
    <row r="32" spans="1:18" s="1" customFormat="1" ht="14.25" x14ac:dyDescent="0.2">
      <c r="A32" s="2"/>
      <c r="C32" s="57"/>
      <c r="D32" s="2"/>
      <c r="E32" s="2"/>
      <c r="F32" s="2"/>
      <c r="G32" s="2"/>
      <c r="H32" s="2"/>
      <c r="I32" s="58"/>
      <c r="M32" s="31"/>
      <c r="P32" s="58"/>
    </row>
    <row r="33" spans="1:16" s="1" customFormat="1" ht="14.25" x14ac:dyDescent="0.2">
      <c r="A33" s="2"/>
      <c r="B33" s="3" t="s">
        <v>57</v>
      </c>
      <c r="C33" s="2"/>
      <c r="D33" s="2"/>
      <c r="E33" s="2"/>
      <c r="F33" s="2"/>
      <c r="G33" s="2"/>
      <c r="H33" s="2"/>
      <c r="M33" s="31"/>
      <c r="P33" s="58"/>
    </row>
    <row r="34" spans="1:16" ht="12.75" outlineLevel="1" x14ac:dyDescent="0.2">
      <c r="B34" s="2" t="s">
        <v>22</v>
      </c>
      <c r="C34" s="46">
        <v>8.7999999999999995E-2</v>
      </c>
      <c r="D34" s="2"/>
      <c r="E34" s="2"/>
      <c r="F34" s="2"/>
      <c r="G34" s="2"/>
      <c r="H34" s="2"/>
      <c r="I34" s="1"/>
    </row>
    <row r="35" spans="1:16" ht="12.75" outlineLevel="1" x14ac:dyDescent="0.2">
      <c r="B35" s="2" t="s">
        <v>49</v>
      </c>
      <c r="C35" s="59">
        <v>2.2000000000000001E-3</v>
      </c>
      <c r="D35" s="2"/>
      <c r="E35" s="2"/>
      <c r="F35" s="2"/>
      <c r="G35" s="2"/>
      <c r="H35" s="2"/>
      <c r="I35" s="1"/>
    </row>
    <row r="36" spans="1:16" ht="15" x14ac:dyDescent="0.25">
      <c r="B36" s="2" t="s">
        <v>51</v>
      </c>
      <c r="C36" s="46">
        <f>SUM(C34:C35)</f>
        <v>9.0199999999999989E-2</v>
      </c>
      <c r="D36" s="63" t="s">
        <v>54</v>
      </c>
      <c r="E36" s="63"/>
      <c r="F36" s="63"/>
      <c r="G36" s="63"/>
      <c r="H36" s="63"/>
    </row>
    <row r="37" spans="1:16" ht="12.75" x14ac:dyDescent="0.2">
      <c r="B37" s="2" t="s">
        <v>52</v>
      </c>
      <c r="C37" s="2">
        <v>5.0699999999999999E-3</v>
      </c>
      <c r="D37" s="46" t="s">
        <v>92</v>
      </c>
      <c r="E37" s="46"/>
      <c r="F37" s="46"/>
      <c r="G37" s="46"/>
      <c r="H37" s="46"/>
    </row>
    <row r="38" spans="1:16" ht="14.25" x14ac:dyDescent="0.2">
      <c r="B38"/>
      <c r="C38" s="62">
        <f>+($C$9)-$C$36-(($C$9)-$C$36)*$C$37</f>
        <v>4.9048059139999989</v>
      </c>
      <c r="D38" s="66">
        <f>+C9-C38</f>
        <v>0.11519408600000069</v>
      </c>
      <c r="E38" s="66"/>
      <c r="F38" s="66"/>
      <c r="G38" s="66"/>
      <c r="H38" s="66"/>
      <c r="I38" s="3"/>
    </row>
    <row r="39" spans="1:16" ht="14.25" x14ac:dyDescent="0.2">
      <c r="B39" s="64"/>
      <c r="C39" s="62" t="s">
        <v>0</v>
      </c>
      <c r="D39" s="61"/>
      <c r="E39" s="61"/>
      <c r="F39" s="61"/>
      <c r="G39" s="61"/>
      <c r="H39" s="61"/>
      <c r="I39" s="3"/>
    </row>
    <row r="40" spans="1:16" s="154" customFormat="1" ht="14.25" x14ac:dyDescent="0.2">
      <c r="A40" s="153"/>
      <c r="B40" s="140" t="s">
        <v>55</v>
      </c>
      <c r="C40" s="141"/>
      <c r="D40" s="141"/>
      <c r="E40" s="141"/>
      <c r="F40" s="141"/>
      <c r="G40" s="141"/>
      <c r="H40" s="141"/>
      <c r="I40" s="142"/>
      <c r="M40" s="155"/>
      <c r="P40" s="156"/>
    </row>
    <row r="41" spans="1:16" s="154" customFormat="1" ht="12.75" outlineLevel="1" x14ac:dyDescent="0.2">
      <c r="A41" s="153"/>
      <c r="B41" s="141" t="s">
        <v>22</v>
      </c>
      <c r="C41" s="146">
        <v>7.6899999999999996E-2</v>
      </c>
      <c r="D41" s="141" t="s">
        <v>122</v>
      </c>
      <c r="E41" s="141"/>
      <c r="F41" s="141"/>
      <c r="G41" s="141"/>
      <c r="H41" s="141"/>
      <c r="I41" s="142"/>
      <c r="M41" s="155"/>
      <c r="P41" s="156"/>
    </row>
    <row r="42" spans="1:16" s="154" customFormat="1" ht="12.75" outlineLevel="1" x14ac:dyDescent="0.2">
      <c r="A42" s="153"/>
      <c r="B42" s="141" t="s">
        <v>49</v>
      </c>
      <c r="C42" s="147">
        <v>0</v>
      </c>
      <c r="D42" s="141" t="s">
        <v>50</v>
      </c>
      <c r="E42" s="141"/>
      <c r="F42" s="141"/>
      <c r="G42" s="141"/>
      <c r="H42" s="141"/>
      <c r="I42" s="142"/>
      <c r="M42" s="155"/>
      <c r="P42" s="156"/>
    </row>
    <row r="43" spans="1:16" s="154" customFormat="1" ht="12.75" x14ac:dyDescent="0.2">
      <c r="A43" s="153"/>
      <c r="B43" s="141" t="s">
        <v>51</v>
      </c>
      <c r="C43" s="146">
        <f>SUM(C41:C42)</f>
        <v>7.6899999999999996E-2</v>
      </c>
      <c r="D43" s="141"/>
      <c r="E43" s="141"/>
      <c r="F43" s="141"/>
      <c r="G43" s="141"/>
      <c r="H43" s="141"/>
      <c r="I43" s="142"/>
      <c r="M43" s="155"/>
      <c r="P43" s="156"/>
    </row>
    <row r="44" spans="1:16" s="154" customFormat="1" ht="12.75" x14ac:dyDescent="0.2">
      <c r="A44" s="153"/>
      <c r="B44" s="141" t="s">
        <v>52</v>
      </c>
      <c r="C44" s="150">
        <v>4.4999999999999997E-3</v>
      </c>
      <c r="D44" s="141" t="s">
        <v>121</v>
      </c>
      <c r="E44" s="141"/>
      <c r="F44" s="141"/>
      <c r="G44" s="141"/>
      <c r="H44" s="141"/>
      <c r="I44" s="142"/>
      <c r="M44" s="155"/>
      <c r="P44" s="156"/>
    </row>
    <row r="45" spans="1:16" s="154" customFormat="1" ht="14.25" x14ac:dyDescent="0.2">
      <c r="A45" s="153"/>
      <c r="B45" s="148"/>
      <c r="C45" s="151">
        <f>ROUND($C$18-$C$43-($C$18-$C$43)*$C$44,4)</f>
        <v>4.9307999999999996</v>
      </c>
      <c r="D45" s="152">
        <f>+$C$18-C45</f>
        <v>9.9200000000000621E-2</v>
      </c>
      <c r="E45" s="152"/>
      <c r="F45" s="152"/>
      <c r="G45" s="152"/>
      <c r="H45" s="152"/>
      <c r="I45" s="151" t="s">
        <v>0</v>
      </c>
      <c r="M45" s="155"/>
      <c r="P45" s="156"/>
    </row>
    <row r="46" spans="1:16" s="154" customFormat="1" ht="14.25" x14ac:dyDescent="0.2">
      <c r="A46" s="153"/>
      <c r="B46" s="148"/>
      <c r="C46" s="140" t="s">
        <v>56</v>
      </c>
      <c r="D46" s="141"/>
      <c r="E46" s="141"/>
      <c r="F46" s="141"/>
      <c r="G46" s="141"/>
      <c r="H46" s="141"/>
      <c r="I46" s="142"/>
      <c r="M46" s="155"/>
      <c r="P46" s="156"/>
    </row>
    <row r="48" spans="1:16" s="154" customFormat="1" ht="14.25" x14ac:dyDescent="0.2">
      <c r="A48" s="153"/>
      <c r="B48" s="140" t="s">
        <v>150</v>
      </c>
      <c r="C48" s="141"/>
      <c r="D48" s="141"/>
      <c r="E48" s="141"/>
      <c r="F48" s="141"/>
      <c r="G48" s="141"/>
      <c r="H48" s="141"/>
      <c r="I48" s="142"/>
      <c r="M48" s="155"/>
      <c r="P48" s="156"/>
    </row>
    <row r="49" spans="1:16" s="154" customFormat="1" ht="12.75" outlineLevel="1" x14ac:dyDescent="0.2">
      <c r="A49" s="153"/>
      <c r="B49" s="141" t="s">
        <v>22</v>
      </c>
      <c r="C49" s="146">
        <v>6.7599999999999993E-2</v>
      </c>
      <c r="D49" s="141" t="s">
        <v>122</v>
      </c>
      <c r="E49" s="141"/>
      <c r="F49" s="141"/>
      <c r="G49" s="141"/>
      <c r="H49" s="141"/>
      <c r="I49" s="142"/>
      <c r="M49" s="155"/>
      <c r="P49" s="156"/>
    </row>
    <row r="50" spans="1:16" s="154" customFormat="1" ht="12.75" outlineLevel="1" x14ac:dyDescent="0.2">
      <c r="A50" s="153"/>
      <c r="B50" s="141" t="s">
        <v>49</v>
      </c>
      <c r="C50" s="147">
        <v>0</v>
      </c>
      <c r="D50" s="141" t="s">
        <v>50</v>
      </c>
      <c r="E50" s="141"/>
      <c r="F50" s="141"/>
      <c r="G50" s="141"/>
      <c r="H50" s="141"/>
      <c r="I50" s="142"/>
      <c r="M50" s="155"/>
      <c r="P50" s="156"/>
    </row>
    <row r="51" spans="1:16" s="154" customFormat="1" ht="12.75" x14ac:dyDescent="0.2">
      <c r="A51" s="153"/>
      <c r="B51" s="141" t="s">
        <v>51</v>
      </c>
      <c r="C51" s="146">
        <f>SUM(C49:C50)</f>
        <v>6.7599999999999993E-2</v>
      </c>
      <c r="D51" s="141"/>
      <c r="E51" s="141"/>
      <c r="F51" s="141"/>
      <c r="G51" s="141"/>
      <c r="H51" s="141"/>
      <c r="I51" s="142"/>
      <c r="M51" s="155"/>
      <c r="P51" s="156"/>
    </row>
    <row r="52" spans="1:16" s="154" customFormat="1" ht="12.75" x14ac:dyDescent="0.2">
      <c r="A52" s="153"/>
      <c r="B52" s="141" t="s">
        <v>52</v>
      </c>
      <c r="C52" s="150">
        <v>4.5999999999999999E-3</v>
      </c>
      <c r="D52" s="141" t="s">
        <v>121</v>
      </c>
      <c r="E52" s="141"/>
      <c r="F52" s="141"/>
      <c r="G52" s="141"/>
      <c r="H52" s="141"/>
      <c r="I52" s="142"/>
      <c r="M52" s="155"/>
      <c r="P52" s="156"/>
    </row>
    <row r="53" spans="1:16" s="154" customFormat="1" ht="14.25" x14ac:dyDescent="0.2">
      <c r="A53" s="153"/>
      <c r="B53" s="148"/>
      <c r="C53" s="151">
        <f>ROUND($C$18-$C$43-($C$18-$C$43)*$C$44,4)</f>
        <v>4.9307999999999996</v>
      </c>
      <c r="D53" s="152">
        <f>+$C$18-C53</f>
        <v>9.9200000000000621E-2</v>
      </c>
      <c r="E53" s="152"/>
      <c r="F53" s="152"/>
      <c r="G53" s="152"/>
      <c r="H53" s="152"/>
      <c r="I53" s="151" t="s">
        <v>0</v>
      </c>
      <c r="M53" s="155"/>
      <c r="P53" s="156"/>
    </row>
    <row r="54" spans="1:16" s="154" customFormat="1" ht="14.25" x14ac:dyDescent="0.2">
      <c r="A54" s="153"/>
      <c r="B54" s="148"/>
      <c r="C54" s="140" t="s">
        <v>56</v>
      </c>
      <c r="D54" s="141"/>
      <c r="E54" s="141"/>
      <c r="F54" s="141"/>
      <c r="G54" s="141"/>
      <c r="H54" s="141"/>
      <c r="I54" s="142"/>
      <c r="M54" s="155"/>
      <c r="P54" s="156"/>
    </row>
    <row r="55" spans="1:16" ht="14.25" x14ac:dyDescent="0.2">
      <c r="B55" s="57" t="s">
        <v>58</v>
      </c>
      <c r="C55" s="2"/>
      <c r="D55" s="2"/>
      <c r="E55" s="2"/>
      <c r="F55" s="2"/>
      <c r="G55" s="2"/>
      <c r="H55" s="2"/>
      <c r="I55" s="58"/>
    </row>
    <row r="56" spans="1:16" ht="12.75" outlineLevel="1" x14ac:dyDescent="0.2">
      <c r="B56" s="2" t="s">
        <v>22</v>
      </c>
      <c r="C56" s="46">
        <v>0.1244</v>
      </c>
      <c r="D56" s="2" t="s">
        <v>59</v>
      </c>
      <c r="E56" s="2"/>
      <c r="F56" s="2"/>
      <c r="G56" s="2"/>
      <c r="H56" s="2"/>
      <c r="I56" s="58"/>
    </row>
    <row r="57" spans="1:16" ht="12.75" outlineLevel="1" x14ac:dyDescent="0.2">
      <c r="B57" s="2" t="s">
        <v>49</v>
      </c>
      <c r="C57" s="59">
        <v>0</v>
      </c>
      <c r="D57" s="2" t="s">
        <v>76</v>
      </c>
      <c r="E57" s="2"/>
      <c r="F57" s="2"/>
      <c r="G57" s="2"/>
      <c r="H57" s="2"/>
      <c r="I57" s="58"/>
    </row>
    <row r="58" spans="1:16" ht="12.75" x14ac:dyDescent="0.2">
      <c r="B58" s="2" t="s">
        <v>51</v>
      </c>
      <c r="C58" s="46">
        <f>SUM(C56:C57)</f>
        <v>0.1244</v>
      </c>
      <c r="D58" s="2"/>
      <c r="E58" s="2"/>
      <c r="F58" s="2"/>
      <c r="G58" s="2"/>
      <c r="H58" s="2"/>
      <c r="I58" s="58"/>
    </row>
    <row r="59" spans="1:16" ht="12.75" x14ac:dyDescent="0.2">
      <c r="B59" s="2" t="s">
        <v>52</v>
      </c>
      <c r="C59" s="60">
        <v>0.01</v>
      </c>
      <c r="D59" s="2" t="s">
        <v>59</v>
      </c>
      <c r="E59" s="2"/>
      <c r="F59" s="2"/>
      <c r="G59" s="2"/>
      <c r="H59" s="2"/>
      <c r="I59" s="58"/>
    </row>
    <row r="60" spans="1:16" ht="14.25" x14ac:dyDescent="0.2">
      <c r="B60" s="1"/>
      <c r="C60" s="61">
        <f>ROUND($C$8-$C$58-($C$8-$C$58)*$C$59,4)</f>
        <v>4.7278000000000002</v>
      </c>
      <c r="D60" s="62">
        <f>+$C$8-C60</f>
        <v>0.17220000000000013</v>
      </c>
      <c r="E60" s="62"/>
      <c r="F60" s="62"/>
      <c r="G60" s="62"/>
      <c r="H60" s="62"/>
      <c r="I60" s="61" t="s">
        <v>0</v>
      </c>
    </row>
    <row r="61" spans="1:16" ht="14.25" x14ac:dyDescent="0.2">
      <c r="B61" s="1"/>
      <c r="C61" s="57" t="s">
        <v>60</v>
      </c>
      <c r="D61" s="2"/>
      <c r="E61" s="2"/>
      <c r="F61" s="2"/>
      <c r="G61" s="2"/>
      <c r="H61" s="2"/>
      <c r="I61" s="58"/>
    </row>
    <row r="63" spans="1:16" ht="14.25" x14ac:dyDescent="0.2">
      <c r="B63" s="57" t="s">
        <v>40</v>
      </c>
      <c r="C63" s="2"/>
      <c r="D63" s="2"/>
      <c r="E63" s="2"/>
      <c r="F63" s="2"/>
      <c r="G63" s="2"/>
      <c r="H63" s="2"/>
      <c r="I63" s="58"/>
    </row>
    <row r="64" spans="1:16" ht="12.75" outlineLevel="1" x14ac:dyDescent="0.2">
      <c r="B64" s="2" t="s">
        <v>22</v>
      </c>
      <c r="C64" s="46">
        <v>0.115</v>
      </c>
      <c r="D64" s="2" t="s">
        <v>85</v>
      </c>
      <c r="E64" s="2"/>
      <c r="F64" s="2"/>
      <c r="G64" s="2"/>
      <c r="H64" s="2"/>
      <c r="I64" s="58"/>
    </row>
    <row r="65" spans="1:16" ht="12.75" outlineLevel="1" x14ac:dyDescent="0.2">
      <c r="B65" s="2" t="s">
        <v>49</v>
      </c>
      <c r="C65" s="59">
        <v>0</v>
      </c>
      <c r="D65" s="2" t="s">
        <v>50</v>
      </c>
      <c r="E65" s="2"/>
      <c r="F65" s="2"/>
      <c r="G65" s="2"/>
      <c r="H65" s="2"/>
      <c r="I65" s="58"/>
    </row>
    <row r="66" spans="1:16" ht="12.75" x14ac:dyDescent="0.2">
      <c r="B66" s="2" t="s">
        <v>51</v>
      </c>
      <c r="C66" s="46">
        <f>SUM(C64:C65)</f>
        <v>0.115</v>
      </c>
      <c r="D66" s="2"/>
      <c r="E66" s="2"/>
      <c r="F66" s="2"/>
      <c r="G66" s="2"/>
      <c r="H66" s="2"/>
      <c r="I66" s="58"/>
    </row>
    <row r="67" spans="1:16" ht="12.75" x14ac:dyDescent="0.2">
      <c r="B67" s="2" t="s">
        <v>52</v>
      </c>
      <c r="C67" s="60">
        <v>5.0000000000000001E-3</v>
      </c>
      <c r="D67" s="2" t="s">
        <v>62</v>
      </c>
      <c r="E67" s="2"/>
      <c r="F67" s="2"/>
      <c r="G67" s="2"/>
      <c r="H67" s="2"/>
      <c r="I67" s="58"/>
    </row>
    <row r="68" spans="1:16" ht="14.25" x14ac:dyDescent="0.2">
      <c r="B68" s="1" t="s">
        <v>63</v>
      </c>
      <c r="C68" s="61">
        <f>ROUND($C$13-$C$66-($C$13-$C$66)*$C$67,4)</f>
        <v>4.7809999999999997</v>
      </c>
      <c r="D68" s="62">
        <f>+$C$13-C68</f>
        <v>0.13900000000000023</v>
      </c>
      <c r="E68" s="62"/>
      <c r="F68" s="62"/>
      <c r="G68" s="62"/>
      <c r="H68" s="62"/>
      <c r="I68" s="61" t="s">
        <v>0</v>
      </c>
    </row>
    <row r="69" spans="1:16" ht="14.25" x14ac:dyDescent="0.2">
      <c r="B69" s="1"/>
      <c r="C69" s="57" t="s">
        <v>66</v>
      </c>
      <c r="D69" s="2"/>
      <c r="E69" s="2"/>
      <c r="F69" s="2"/>
      <c r="G69" s="2"/>
      <c r="H69" s="2"/>
      <c r="I69" s="58"/>
    </row>
    <row r="71" spans="1:16" s="154" customFormat="1" ht="14.25" x14ac:dyDescent="0.2">
      <c r="A71" s="153"/>
      <c r="B71" s="140" t="s">
        <v>61</v>
      </c>
      <c r="C71" s="141"/>
      <c r="D71" s="141"/>
      <c r="E71" s="141"/>
      <c r="F71" s="141"/>
      <c r="G71" s="141"/>
      <c r="H71" s="141"/>
      <c r="I71" s="142"/>
      <c r="M71" s="155"/>
      <c r="P71" s="156"/>
    </row>
    <row r="72" spans="1:16" s="154" customFormat="1" ht="13.5" customHeight="1" outlineLevel="1" x14ac:dyDescent="0.25">
      <c r="A72" s="153"/>
      <c r="B72" s="141" t="s">
        <v>22</v>
      </c>
      <c r="C72" s="146">
        <f>0.0059+0.0051</f>
        <v>1.0999999999999999E-2</v>
      </c>
      <c r="D72" s="141" t="s">
        <v>129</v>
      </c>
      <c r="E72" s="141"/>
      <c r="F72" s="141"/>
      <c r="G72" s="141"/>
      <c r="H72" s="141"/>
      <c r="I72" s="142"/>
      <c r="K72" s="159" t="s">
        <v>0</v>
      </c>
      <c r="M72" s="155"/>
      <c r="P72" s="156"/>
    </row>
    <row r="73" spans="1:16" s="154" customFormat="1" ht="13.5" customHeight="1" outlineLevel="1" x14ac:dyDescent="0.25">
      <c r="A73" s="153"/>
      <c r="B73" s="141" t="s">
        <v>49</v>
      </c>
      <c r="C73" s="147">
        <v>2.2000000000000001E-3</v>
      </c>
      <c r="D73" s="141" t="s">
        <v>130</v>
      </c>
      <c r="E73" s="141"/>
      <c r="F73" s="141"/>
      <c r="G73" s="141"/>
      <c r="H73" s="141"/>
      <c r="I73" s="142"/>
      <c r="K73" s="159" t="s">
        <v>0</v>
      </c>
      <c r="M73" s="155"/>
      <c r="P73" s="156"/>
    </row>
    <row r="74" spans="1:16" s="154" customFormat="1" ht="12.75" x14ac:dyDescent="0.2">
      <c r="A74" s="153"/>
      <c r="B74" s="141" t="s">
        <v>51</v>
      </c>
      <c r="C74" s="146">
        <f>SUM(C72:C73)</f>
        <v>1.32E-2</v>
      </c>
      <c r="D74" s="141"/>
      <c r="E74" s="141"/>
      <c r="F74" s="141"/>
      <c r="G74" s="141"/>
      <c r="H74" s="141"/>
      <c r="I74" s="142"/>
      <c r="M74" s="155"/>
      <c r="P74" s="156"/>
    </row>
    <row r="75" spans="1:16" s="154" customFormat="1" ht="12.75" x14ac:dyDescent="0.2">
      <c r="A75" s="153"/>
      <c r="B75" s="141" t="s">
        <v>52</v>
      </c>
      <c r="C75" s="150">
        <v>2.12E-2</v>
      </c>
      <c r="D75" s="141" t="s">
        <v>131</v>
      </c>
      <c r="E75" s="141"/>
      <c r="F75" s="141"/>
      <c r="G75" s="141"/>
      <c r="H75" s="141"/>
      <c r="I75" s="142"/>
      <c r="M75" s="155"/>
      <c r="P75" s="156"/>
    </row>
    <row r="76" spans="1:16" s="154" customFormat="1" ht="14.25" x14ac:dyDescent="0.2">
      <c r="A76" s="153"/>
      <c r="B76" s="148"/>
      <c r="C76" s="151">
        <f>ROUND($C$11-$C$74-($C$11-$C$74)*$C$75,4)</f>
        <v>4.7831999999999999</v>
      </c>
      <c r="D76" s="152">
        <f>+$C$11-C76</f>
        <v>0.11680000000000046</v>
      </c>
      <c r="E76" s="152"/>
      <c r="F76" s="152"/>
      <c r="G76" s="152"/>
      <c r="H76" s="152"/>
      <c r="I76" s="151" t="s">
        <v>0</v>
      </c>
      <c r="M76" s="155"/>
      <c r="P76" s="156"/>
    </row>
    <row r="77" spans="1:16" s="154" customFormat="1" ht="14.25" x14ac:dyDescent="0.2">
      <c r="A77" s="153"/>
      <c r="B77" s="148"/>
      <c r="C77" s="140" t="s">
        <v>65</v>
      </c>
      <c r="D77" s="141"/>
      <c r="E77" s="141"/>
      <c r="F77" s="141"/>
      <c r="G77" s="141"/>
      <c r="H77" s="141"/>
      <c r="I77" s="142"/>
      <c r="M77" s="155"/>
      <c r="P77" s="156"/>
    </row>
    <row r="79" spans="1:16" ht="14.25" x14ac:dyDescent="0.2">
      <c r="B79" s="57" t="s">
        <v>37</v>
      </c>
      <c r="C79" s="2"/>
      <c r="D79" s="2"/>
      <c r="E79" s="2"/>
      <c r="F79" s="2"/>
      <c r="G79" s="2"/>
      <c r="H79" s="2"/>
    </row>
    <row r="80" spans="1:16" ht="12.75" outlineLevel="1" x14ac:dyDescent="0.2">
      <c r="B80" s="2" t="s">
        <v>22</v>
      </c>
      <c r="C80" s="46">
        <v>0.123</v>
      </c>
      <c r="D80" s="2" t="s">
        <v>71</v>
      </c>
      <c r="E80" s="2"/>
      <c r="F80" s="2"/>
      <c r="G80" s="2"/>
      <c r="H80" s="2"/>
    </row>
    <row r="81" spans="2:9" ht="12.75" outlineLevel="1" x14ac:dyDescent="0.2">
      <c r="B81" s="73" t="s">
        <v>70</v>
      </c>
      <c r="C81" s="59">
        <v>1.4999999999999999E-2</v>
      </c>
      <c r="D81" s="2" t="s">
        <v>71</v>
      </c>
      <c r="E81" s="2"/>
      <c r="F81" s="2"/>
      <c r="G81" s="2"/>
      <c r="H81" s="2"/>
    </row>
    <row r="82" spans="2:9" ht="12.75" x14ac:dyDescent="0.2">
      <c r="B82" s="2" t="s">
        <v>51</v>
      </c>
      <c r="C82" s="46">
        <f>SUM(C80:C81)</f>
        <v>0.13800000000000001</v>
      </c>
      <c r="D82" s="2"/>
      <c r="E82" s="2"/>
      <c r="F82" s="2"/>
      <c r="G82" s="2"/>
      <c r="H82" s="2"/>
    </row>
    <row r="83" spans="2:9" ht="12.75" x14ac:dyDescent="0.2">
      <c r="B83" s="2" t="s">
        <v>52</v>
      </c>
      <c r="C83" s="60">
        <v>0</v>
      </c>
      <c r="D83" s="2" t="s">
        <v>71</v>
      </c>
      <c r="E83" s="2"/>
      <c r="F83" s="2"/>
      <c r="G83" s="2"/>
      <c r="H83" s="2"/>
    </row>
    <row r="84" spans="2:9" ht="14.25" x14ac:dyDescent="0.2">
      <c r="B84" s="1"/>
      <c r="C84" s="61">
        <f>ROUND($C$10-$C$82-($C$10-$C$82)*$C$83,4)</f>
        <v>4.8920000000000003</v>
      </c>
      <c r="D84" s="62">
        <f>+$C$10-C84</f>
        <v>0.1379999999999999</v>
      </c>
      <c r="E84" s="62"/>
      <c r="F84" s="62"/>
      <c r="G84" s="62"/>
      <c r="H84" s="62"/>
    </row>
    <row r="85" spans="2:9" ht="14.25" x14ac:dyDescent="0.2">
      <c r="B85" s="1"/>
      <c r="C85" s="57" t="s">
        <v>72</v>
      </c>
      <c r="D85" s="2"/>
      <c r="E85" s="2"/>
      <c r="F85" s="2"/>
      <c r="G85" s="2"/>
      <c r="H85" s="2"/>
    </row>
    <row r="88" spans="2:9" ht="14.25" x14ac:dyDescent="0.2">
      <c r="B88" s="57" t="s">
        <v>58</v>
      </c>
      <c r="C88" s="2"/>
      <c r="D88" s="2"/>
      <c r="E88" s="2"/>
      <c r="F88" s="2"/>
      <c r="G88" s="2"/>
      <c r="H88" s="2"/>
      <c r="I88" s="58"/>
    </row>
    <row r="89" spans="2:9" ht="12.75" outlineLevel="1" x14ac:dyDescent="0.2">
      <c r="B89" s="2" t="s">
        <v>22</v>
      </c>
      <c r="C89" s="46">
        <v>0.15989999999999999</v>
      </c>
      <c r="D89" s="2" t="s">
        <v>59</v>
      </c>
      <c r="E89" s="2"/>
      <c r="F89" s="2"/>
      <c r="G89" s="2"/>
      <c r="H89" s="2"/>
      <c r="I89" s="58"/>
    </row>
    <row r="90" spans="2:9" ht="12.75" outlineLevel="1" x14ac:dyDescent="0.2">
      <c r="B90" s="2" t="s">
        <v>49</v>
      </c>
      <c r="C90" s="59">
        <v>0</v>
      </c>
      <c r="D90" s="2" t="s">
        <v>76</v>
      </c>
      <c r="E90" s="2"/>
      <c r="F90" s="2"/>
      <c r="G90" s="2"/>
      <c r="H90" s="2"/>
      <c r="I90" s="58"/>
    </row>
    <row r="91" spans="2:9" ht="12.75" x14ac:dyDescent="0.2">
      <c r="B91" s="2" t="s">
        <v>51</v>
      </c>
      <c r="C91" s="46">
        <f>SUM(C89:C90)</f>
        <v>0.15989999999999999</v>
      </c>
      <c r="D91" s="2"/>
      <c r="E91" s="2"/>
      <c r="F91" s="2"/>
      <c r="G91" s="2"/>
      <c r="H91" s="2"/>
      <c r="I91" s="58"/>
    </row>
    <row r="92" spans="2:9" ht="12.75" x14ac:dyDescent="0.2">
      <c r="B92" s="2" t="s">
        <v>52</v>
      </c>
      <c r="C92" s="60">
        <v>0</v>
      </c>
      <c r="D92" s="2" t="s">
        <v>59</v>
      </c>
      <c r="E92" s="2"/>
      <c r="F92" s="2"/>
      <c r="G92" s="2"/>
      <c r="H92" s="2"/>
      <c r="I92" s="58"/>
    </row>
    <row r="93" spans="2:9" ht="14.25" x14ac:dyDescent="0.2">
      <c r="B93" s="1"/>
      <c r="C93" s="61">
        <f>ROUND($C$8-$C$58-($C$8-$C$58)*$C$59,4)</f>
        <v>4.7278000000000002</v>
      </c>
      <c r="D93" s="62">
        <f>C91</f>
        <v>0.15989999999999999</v>
      </c>
      <c r="E93" s="62"/>
      <c r="F93" s="62"/>
      <c r="G93" s="62"/>
      <c r="H93" s="62"/>
      <c r="I93" s="61" t="s">
        <v>0</v>
      </c>
    </row>
    <row r="94" spans="2:9" ht="14.25" x14ac:dyDescent="0.2">
      <c r="B94" s="1"/>
      <c r="C94" s="57" t="s">
        <v>60</v>
      </c>
      <c r="D94" s="2"/>
      <c r="E94" s="2"/>
      <c r="F94" s="2"/>
      <c r="G94" s="2"/>
      <c r="H94" s="2"/>
      <c r="I94" s="58"/>
    </row>
    <row r="95" spans="2:9" ht="14.25" x14ac:dyDescent="0.2">
      <c r="B95" s="1"/>
      <c r="C95" s="57"/>
      <c r="D95" s="2"/>
      <c r="E95" s="2"/>
      <c r="F95" s="2"/>
      <c r="G95" s="2"/>
      <c r="H95" s="2"/>
      <c r="I95" s="58"/>
    </row>
    <row r="96" spans="2:9" ht="14.25" x14ac:dyDescent="0.2">
      <c r="B96" s="1"/>
      <c r="C96" s="57"/>
      <c r="D96" s="2"/>
      <c r="E96" s="2"/>
      <c r="F96" s="2"/>
      <c r="G96" s="2"/>
      <c r="H96" s="2"/>
      <c r="I96" s="58"/>
    </row>
    <row r="97" spans="1:16" s="54" customFormat="1" ht="15" x14ac:dyDescent="0.25">
      <c r="A97" s="52"/>
      <c r="B97" s="57" t="s">
        <v>48</v>
      </c>
      <c r="C97" s="2"/>
      <c r="D97" s="2"/>
      <c r="E97" s="2"/>
      <c r="F97" s="2"/>
      <c r="G97" s="2"/>
      <c r="H97" s="2"/>
      <c r="I97" s="58"/>
      <c r="M97" s="56"/>
      <c r="P97" s="69"/>
    </row>
    <row r="98" spans="1:16" s="54" customFormat="1" ht="15" outlineLevel="1" x14ac:dyDescent="0.25">
      <c r="A98" s="52"/>
      <c r="B98" s="2" t="s">
        <v>22</v>
      </c>
      <c r="C98" s="46">
        <v>6.6000000000000003E-2</v>
      </c>
      <c r="D98" s="2" t="s">
        <v>113</v>
      </c>
      <c r="E98" s="2"/>
      <c r="F98" s="2"/>
      <c r="G98" s="2"/>
      <c r="H98" s="2"/>
      <c r="I98" s="58"/>
      <c r="M98" s="56"/>
      <c r="P98" s="69"/>
    </row>
    <row r="99" spans="1:16" s="54" customFormat="1" ht="15" outlineLevel="1" x14ac:dyDescent="0.25">
      <c r="A99" s="52"/>
      <c r="B99" s="2" t="s">
        <v>49</v>
      </c>
      <c r="C99" s="59">
        <v>0</v>
      </c>
      <c r="D99" s="2" t="s">
        <v>50</v>
      </c>
      <c r="E99" s="2"/>
      <c r="F99" s="2"/>
      <c r="G99" s="2"/>
      <c r="H99" s="2"/>
      <c r="I99" s="58"/>
      <c r="M99" s="56"/>
      <c r="P99" s="69"/>
    </row>
    <row r="100" spans="1:16" s="1" customFormat="1" ht="12.75" x14ac:dyDescent="0.2">
      <c r="A100" s="2"/>
      <c r="B100" s="2" t="s">
        <v>51</v>
      </c>
      <c r="C100" s="46">
        <f>SUM(C98:C99)</f>
        <v>6.6000000000000003E-2</v>
      </c>
      <c r="D100" s="2"/>
      <c r="E100" s="2"/>
      <c r="F100" s="2"/>
      <c r="G100" s="2"/>
      <c r="H100" s="2"/>
      <c r="I100" s="58"/>
      <c r="M100" s="31"/>
      <c r="P100" s="58"/>
    </row>
    <row r="101" spans="1:16" s="1" customFormat="1" ht="12.75" x14ac:dyDescent="0.2">
      <c r="A101" s="2"/>
      <c r="B101" s="2" t="s">
        <v>52</v>
      </c>
      <c r="C101" s="60">
        <v>0</v>
      </c>
      <c r="D101" s="2" t="s">
        <v>114</v>
      </c>
      <c r="E101" s="2"/>
      <c r="F101" s="2"/>
      <c r="G101" s="2"/>
      <c r="H101" s="2"/>
      <c r="I101" s="58"/>
      <c r="M101" s="31"/>
      <c r="P101" s="58"/>
    </row>
    <row r="102" spans="1:16" s="1" customFormat="1" ht="14.25" x14ac:dyDescent="0.2">
      <c r="A102" s="2"/>
      <c r="C102" s="61">
        <f>ROUND($C$17-$C$28-($C$17-$C$28)*$C$29,4)</f>
        <v>4.8898000000000001</v>
      </c>
      <c r="D102" s="62">
        <f>+$C$17-C102</f>
        <v>9.020000000000028E-2</v>
      </c>
      <c r="E102" s="62"/>
      <c r="F102" s="62"/>
      <c r="G102" s="62"/>
      <c r="H102" s="62"/>
      <c r="I102" s="61" t="s">
        <v>0</v>
      </c>
      <c r="M102" s="31"/>
      <c r="P102" s="58"/>
    </row>
    <row r="103" spans="1:16" s="1" customFormat="1" ht="14.25" x14ac:dyDescent="0.2">
      <c r="A103" s="2"/>
      <c r="C103" s="57" t="s">
        <v>53</v>
      </c>
      <c r="D103" s="2"/>
      <c r="E103" s="2"/>
      <c r="F103" s="2"/>
      <c r="G103" s="2"/>
      <c r="H103" s="2"/>
      <c r="I103" s="58"/>
      <c r="M103" s="31"/>
      <c r="P103" s="58"/>
    </row>
    <row r="104" spans="1:16" x14ac:dyDescent="0.15">
      <c r="A104" s="96" t="s">
        <v>103</v>
      </c>
    </row>
    <row r="112" spans="1:16" s="101" customFormat="1" ht="24" x14ac:dyDescent="0.15">
      <c r="A112" s="100"/>
      <c r="B112" s="100" t="s">
        <v>105</v>
      </c>
      <c r="C112" s="100" t="s">
        <v>106</v>
      </c>
      <c r="D112" s="101" t="s">
        <v>107</v>
      </c>
      <c r="E112" s="101" t="s">
        <v>108</v>
      </c>
      <c r="F112" s="101" t="s">
        <v>109</v>
      </c>
      <c r="G112" s="101" t="s">
        <v>110</v>
      </c>
      <c r="I112" s="101" t="s">
        <v>117</v>
      </c>
      <c r="M112" s="102"/>
      <c r="P112" s="103"/>
    </row>
    <row r="113" spans="1:16" s="106" customFormat="1" x14ac:dyDescent="0.15">
      <c r="A113" s="104"/>
      <c r="B113" s="105"/>
      <c r="C113" s="110"/>
      <c r="D113" s="110"/>
      <c r="E113" s="110"/>
      <c r="F113" s="110"/>
      <c r="G113" s="110"/>
      <c r="M113" s="107"/>
      <c r="P113" s="108"/>
    </row>
    <row r="114" spans="1:16" s="106" customFormat="1" x14ac:dyDescent="0.15">
      <c r="A114" s="104">
        <v>1</v>
      </c>
      <c r="B114" s="109">
        <v>5.0199999999999996</v>
      </c>
      <c r="C114" s="110">
        <v>5.18</v>
      </c>
      <c r="D114" s="110">
        <v>5.19</v>
      </c>
      <c r="E114" s="110">
        <v>5.31</v>
      </c>
      <c r="F114" s="110">
        <v>5.0750000000000002</v>
      </c>
      <c r="G114" s="110">
        <v>5.14</v>
      </c>
      <c r="I114" s="106">
        <v>5.12</v>
      </c>
      <c r="M114" s="107"/>
      <c r="P114" s="108"/>
    </row>
    <row r="115" spans="1:16" s="106" customFormat="1" x14ac:dyDescent="0.15">
      <c r="A115" s="104">
        <v>2</v>
      </c>
      <c r="B115" s="109">
        <v>4.9450000000000003</v>
      </c>
      <c r="C115" s="110">
        <v>5.1050000000000004</v>
      </c>
      <c r="D115" s="110">
        <v>5.1150000000000002</v>
      </c>
      <c r="E115" s="110">
        <v>5.2949999999999999</v>
      </c>
      <c r="F115" s="110">
        <v>4.9550000000000001</v>
      </c>
      <c r="G115" s="110">
        <v>5.085</v>
      </c>
      <c r="I115" s="106">
        <v>5.04</v>
      </c>
      <c r="M115" s="107"/>
      <c r="P115" s="108"/>
    </row>
    <row r="116" spans="1:16" s="106" customFormat="1" x14ac:dyDescent="0.15">
      <c r="A116" s="104">
        <v>3</v>
      </c>
      <c r="B116" s="109">
        <v>4.9450000000000003</v>
      </c>
      <c r="C116" s="110">
        <v>5.13</v>
      </c>
      <c r="D116" s="110">
        <v>5.0999999999999996</v>
      </c>
      <c r="E116" s="110">
        <v>5.21</v>
      </c>
      <c r="F116" s="110">
        <v>5.0049999999999999</v>
      </c>
      <c r="G116" s="110">
        <v>5.08</v>
      </c>
      <c r="I116" s="106">
        <v>5.01</v>
      </c>
      <c r="M116" s="107"/>
      <c r="P116" s="108"/>
    </row>
    <row r="117" spans="1:16" s="106" customFormat="1" x14ac:dyDescent="0.15">
      <c r="A117" s="104">
        <v>4</v>
      </c>
      <c r="B117" s="109">
        <v>4.9450000000000003</v>
      </c>
      <c r="C117" s="110">
        <v>5.13</v>
      </c>
      <c r="D117" s="110">
        <v>5.0999999999999996</v>
      </c>
      <c r="E117" s="110">
        <v>5.21</v>
      </c>
      <c r="F117" s="110">
        <v>5.0049999999999999</v>
      </c>
      <c r="G117" s="110">
        <v>5.08</v>
      </c>
      <c r="I117" s="106">
        <v>5.01</v>
      </c>
      <c r="M117" s="107"/>
      <c r="P117" s="108"/>
    </row>
    <row r="118" spans="1:16" s="106" customFormat="1" x14ac:dyDescent="0.15">
      <c r="A118" s="104">
        <v>5</v>
      </c>
      <c r="B118" s="109">
        <v>4.9450000000000003</v>
      </c>
      <c r="C118" s="110">
        <v>5.13</v>
      </c>
      <c r="D118" s="110">
        <v>5.0999999999999996</v>
      </c>
      <c r="E118" s="110">
        <v>5.21</v>
      </c>
      <c r="F118" s="110">
        <v>5.0049999999999999</v>
      </c>
      <c r="G118" s="110">
        <v>5.08</v>
      </c>
      <c r="I118" s="106">
        <v>5.01</v>
      </c>
      <c r="M118" s="107"/>
      <c r="P118" s="108"/>
    </row>
    <row r="119" spans="1:16" s="106" customFormat="1" x14ac:dyDescent="0.15">
      <c r="A119" s="104">
        <v>6</v>
      </c>
      <c r="B119" s="109">
        <v>5.16</v>
      </c>
      <c r="C119" s="110">
        <v>5.3150000000000004</v>
      </c>
      <c r="D119" s="110">
        <v>5.32</v>
      </c>
      <c r="E119" s="110">
        <v>5.3250000000000002</v>
      </c>
      <c r="F119" s="110">
        <v>5.2549999999999999</v>
      </c>
      <c r="G119" s="110">
        <v>5.2949999999999999</v>
      </c>
      <c r="I119" s="106">
        <v>5.2649999999999997</v>
      </c>
      <c r="M119" s="107"/>
      <c r="P119" s="108"/>
    </row>
    <row r="120" spans="1:16" s="106" customFormat="1" x14ac:dyDescent="0.15">
      <c r="A120" s="104">
        <v>7</v>
      </c>
      <c r="B120" s="109">
        <v>5.16</v>
      </c>
      <c r="C120" s="110">
        <v>5.3150000000000004</v>
      </c>
      <c r="D120" s="110">
        <v>5.27</v>
      </c>
      <c r="E120" s="110">
        <v>5.2750000000000004</v>
      </c>
      <c r="F120" s="110">
        <v>5.1749999999999998</v>
      </c>
      <c r="G120" s="110">
        <v>5.24</v>
      </c>
      <c r="I120" s="106">
        <v>5.2149999999999999</v>
      </c>
      <c r="M120" s="107"/>
      <c r="P120" s="108"/>
    </row>
    <row r="121" spans="1:16" s="106" customFormat="1" x14ac:dyDescent="0.15">
      <c r="A121" s="104">
        <v>8</v>
      </c>
      <c r="B121" s="109">
        <v>5.1449999999999996</v>
      </c>
      <c r="C121" s="110">
        <v>5.28</v>
      </c>
      <c r="D121" s="110">
        <v>5.22</v>
      </c>
      <c r="E121" s="110">
        <v>5.23</v>
      </c>
      <c r="F121" s="110">
        <v>5.14</v>
      </c>
      <c r="G121" s="110">
        <v>5.1849999999999996</v>
      </c>
      <c r="I121" s="106">
        <v>5.18</v>
      </c>
      <c r="M121" s="107"/>
      <c r="P121" s="108"/>
    </row>
    <row r="122" spans="1:16" s="106" customFormat="1" x14ac:dyDescent="0.15">
      <c r="A122" s="104">
        <v>9</v>
      </c>
      <c r="B122" s="109">
        <v>5.16</v>
      </c>
      <c r="C122" s="110">
        <v>5.3</v>
      </c>
      <c r="D122" s="110">
        <v>5.2450000000000001</v>
      </c>
      <c r="E122" s="110">
        <v>5.23</v>
      </c>
      <c r="F122" s="110">
        <v>5.165</v>
      </c>
      <c r="G122" s="110">
        <v>5.22</v>
      </c>
      <c r="I122" s="106">
        <v>5.1950000000000003</v>
      </c>
      <c r="M122" s="107"/>
      <c r="P122" s="108"/>
    </row>
    <row r="123" spans="1:16" s="106" customFormat="1" x14ac:dyDescent="0.15">
      <c r="A123" s="104">
        <v>10</v>
      </c>
      <c r="B123" s="109">
        <v>5.0599999999999996</v>
      </c>
      <c r="C123" s="110">
        <v>5.19</v>
      </c>
      <c r="D123" s="110">
        <v>5.1349999999999998</v>
      </c>
      <c r="E123" s="110">
        <v>5.12</v>
      </c>
      <c r="F123" s="110">
        <v>5.0449999999999999</v>
      </c>
      <c r="G123" s="110">
        <v>5.0999999999999996</v>
      </c>
      <c r="I123" s="106">
        <v>5.07</v>
      </c>
      <c r="M123" s="107"/>
      <c r="P123" s="108"/>
    </row>
    <row r="124" spans="1:16" s="106" customFormat="1" x14ac:dyDescent="0.15">
      <c r="A124" s="104">
        <v>11</v>
      </c>
      <c r="B124" s="109">
        <v>5.0599999999999996</v>
      </c>
      <c r="C124" s="110">
        <v>5.19</v>
      </c>
      <c r="D124" s="110">
        <v>5.1349999999999998</v>
      </c>
      <c r="E124" s="110">
        <v>5.12</v>
      </c>
      <c r="F124" s="110">
        <v>5.0449999999999999</v>
      </c>
      <c r="G124" s="110">
        <v>5.0999999999999996</v>
      </c>
      <c r="I124" s="106">
        <v>5.07</v>
      </c>
      <c r="M124" s="107"/>
      <c r="P124" s="108"/>
    </row>
    <row r="125" spans="1:16" s="106" customFormat="1" x14ac:dyDescent="0.15">
      <c r="A125" s="104">
        <v>12</v>
      </c>
      <c r="B125" s="109">
        <v>5.0599999999999996</v>
      </c>
      <c r="C125" s="110">
        <v>5.19</v>
      </c>
      <c r="D125" s="110">
        <v>5.1349999999999998</v>
      </c>
      <c r="E125" s="110">
        <v>5.12</v>
      </c>
      <c r="F125" s="110">
        <v>5.0449999999999999</v>
      </c>
      <c r="G125" s="110">
        <v>5.0999999999999996</v>
      </c>
      <c r="I125" s="106">
        <v>5.07</v>
      </c>
      <c r="M125" s="107"/>
      <c r="P125" s="108"/>
    </row>
    <row r="126" spans="1:16" s="106" customFormat="1" x14ac:dyDescent="0.15">
      <c r="A126" s="104">
        <v>13</v>
      </c>
      <c r="B126" s="109">
        <v>4.8899999999999997</v>
      </c>
      <c r="C126" s="110">
        <v>5.0199999999999996</v>
      </c>
      <c r="D126" s="110">
        <v>5.98</v>
      </c>
      <c r="E126" s="110">
        <v>5</v>
      </c>
      <c r="F126" s="110">
        <v>4.875</v>
      </c>
      <c r="G126" s="110">
        <v>4.95</v>
      </c>
      <c r="I126" s="106">
        <v>4.9349999999999996</v>
      </c>
      <c r="M126" s="107"/>
      <c r="P126" s="108"/>
    </row>
    <row r="127" spans="1:16" s="106" customFormat="1" x14ac:dyDescent="0.15">
      <c r="A127" s="104">
        <v>14</v>
      </c>
      <c r="B127" s="109">
        <v>4.9800000000000004</v>
      </c>
      <c r="C127" s="110">
        <v>5.125</v>
      </c>
      <c r="D127" s="110">
        <v>5.085</v>
      </c>
      <c r="E127" s="110">
        <v>5.085</v>
      </c>
      <c r="F127" s="110">
        <v>4.9649999999999999</v>
      </c>
      <c r="G127" s="110">
        <v>5.05</v>
      </c>
      <c r="I127" s="106">
        <v>5.04</v>
      </c>
      <c r="M127" s="107"/>
      <c r="P127" s="108"/>
    </row>
    <row r="128" spans="1:16" s="106" customFormat="1" x14ac:dyDescent="0.15">
      <c r="A128" s="104">
        <v>15</v>
      </c>
      <c r="B128" s="109">
        <v>4.8849999999999998</v>
      </c>
      <c r="C128" s="110">
        <v>5.0250000000000004</v>
      </c>
      <c r="D128" s="110">
        <v>4.9950000000000001</v>
      </c>
      <c r="E128" s="110">
        <v>4.9850000000000003</v>
      </c>
      <c r="F128" s="110">
        <v>4.87</v>
      </c>
      <c r="G128" s="110">
        <v>4.95</v>
      </c>
      <c r="I128" s="106">
        <v>4.9249999999999998</v>
      </c>
      <c r="M128" s="107"/>
      <c r="P128" s="108"/>
    </row>
    <row r="129" spans="1:16" s="106" customFormat="1" x14ac:dyDescent="0.15">
      <c r="A129" s="104">
        <v>16</v>
      </c>
      <c r="B129" s="109">
        <v>4.8049999999999997</v>
      </c>
      <c r="C129" s="110">
        <v>4.9400000000000004</v>
      </c>
      <c r="D129" s="110">
        <v>4.915</v>
      </c>
      <c r="E129" s="110">
        <v>4.95</v>
      </c>
      <c r="F129" s="110">
        <v>4.8049999999999997</v>
      </c>
      <c r="G129" s="110">
        <v>4.8949999999999996</v>
      </c>
      <c r="I129" s="106">
        <v>4.875</v>
      </c>
      <c r="M129" s="107"/>
      <c r="P129" s="108"/>
    </row>
    <row r="130" spans="1:16" s="106" customFormat="1" x14ac:dyDescent="0.15">
      <c r="A130" s="104">
        <v>17</v>
      </c>
      <c r="B130" s="109">
        <v>4.8600000000000003</v>
      </c>
      <c r="C130" s="110">
        <v>4.9749999999999996</v>
      </c>
      <c r="D130" s="110">
        <v>4.9800000000000004</v>
      </c>
      <c r="E130" s="110">
        <v>5.01</v>
      </c>
      <c r="F130" s="110">
        <v>4.8600000000000003</v>
      </c>
      <c r="G130" s="110">
        <v>4.9550000000000001</v>
      </c>
      <c r="I130" s="106">
        <v>4.95</v>
      </c>
      <c r="M130" s="107"/>
      <c r="P130" s="108"/>
    </row>
    <row r="131" spans="1:16" s="106" customFormat="1" x14ac:dyDescent="0.15">
      <c r="A131" s="104">
        <v>18</v>
      </c>
      <c r="B131" s="109">
        <v>4.8600000000000003</v>
      </c>
      <c r="C131" s="110">
        <v>4.9749999999999996</v>
      </c>
      <c r="D131" s="110">
        <v>4.9800000000000004</v>
      </c>
      <c r="E131" s="110">
        <v>5.01</v>
      </c>
      <c r="F131" s="110">
        <v>4.8600000000000003</v>
      </c>
      <c r="G131" s="110">
        <v>4.9550000000000001</v>
      </c>
      <c r="I131" s="106">
        <v>4.95</v>
      </c>
      <c r="M131" s="107"/>
      <c r="P131" s="108"/>
    </row>
    <row r="132" spans="1:16" s="106" customFormat="1" x14ac:dyDescent="0.15">
      <c r="A132" s="104">
        <v>19</v>
      </c>
      <c r="B132" s="109">
        <v>4.8600000000000003</v>
      </c>
      <c r="C132" s="110">
        <v>4.9749999999999996</v>
      </c>
      <c r="D132" s="110">
        <v>4.9800000000000004</v>
      </c>
      <c r="E132" s="110">
        <v>5.01</v>
      </c>
      <c r="F132" s="110">
        <v>4.8600000000000003</v>
      </c>
      <c r="G132" s="110">
        <v>4.9550000000000001</v>
      </c>
      <c r="I132" s="106">
        <v>4.95</v>
      </c>
      <c r="M132" s="107"/>
      <c r="P132" s="108"/>
    </row>
    <row r="133" spans="1:16" s="106" customFormat="1" x14ac:dyDescent="0.15">
      <c r="A133" s="104">
        <v>20</v>
      </c>
      <c r="B133" s="109">
        <v>4.95</v>
      </c>
      <c r="C133" s="110">
        <v>5.07</v>
      </c>
      <c r="D133" s="110">
        <v>5.0549999999999997</v>
      </c>
      <c r="E133" s="110">
        <v>5.0599999999999996</v>
      </c>
      <c r="F133" s="110">
        <v>4.97</v>
      </c>
      <c r="G133" s="110">
        <v>5.0350000000000001</v>
      </c>
      <c r="I133" s="106">
        <v>5.01</v>
      </c>
      <c r="M133" s="107"/>
      <c r="P133" s="108"/>
    </row>
    <row r="134" spans="1:16" s="106" customFormat="1" x14ac:dyDescent="0.15">
      <c r="A134" s="104">
        <v>21</v>
      </c>
      <c r="B134" s="109">
        <v>5.0250000000000004</v>
      </c>
      <c r="C134" s="110">
        <v>5.0999999999999996</v>
      </c>
      <c r="D134" s="110">
        <v>5.0599999999999996</v>
      </c>
      <c r="E134" s="110">
        <v>5.0650000000000004</v>
      </c>
      <c r="F134" s="110">
        <v>4.9800000000000004</v>
      </c>
      <c r="G134" s="110">
        <v>5.0250000000000004</v>
      </c>
      <c r="I134" s="106">
        <v>5.0049999999999999</v>
      </c>
      <c r="M134" s="107"/>
      <c r="P134" s="108"/>
    </row>
    <row r="135" spans="1:16" s="106" customFormat="1" x14ac:dyDescent="0.15">
      <c r="A135" s="104">
        <v>22</v>
      </c>
      <c r="B135" s="109">
        <v>5.07</v>
      </c>
      <c r="C135" s="110">
        <v>5.18</v>
      </c>
      <c r="D135" s="110">
        <v>5.1550000000000002</v>
      </c>
      <c r="E135" s="110">
        <v>5.1349999999999998</v>
      </c>
      <c r="F135" s="110">
        <v>5.085</v>
      </c>
      <c r="G135" s="110">
        <v>5.13</v>
      </c>
      <c r="I135" s="106">
        <v>5.1050000000000004</v>
      </c>
      <c r="M135" s="107"/>
      <c r="P135" s="108"/>
    </row>
    <row r="136" spans="1:16" s="106" customFormat="1" x14ac:dyDescent="0.15">
      <c r="A136" s="104">
        <v>23</v>
      </c>
      <c r="B136" s="109">
        <v>5.94</v>
      </c>
      <c r="C136" s="110">
        <v>5.0449999999999999</v>
      </c>
      <c r="D136" s="110">
        <v>5</v>
      </c>
      <c r="E136" s="110">
        <v>4.9950000000000001</v>
      </c>
      <c r="F136" s="110">
        <v>4.95</v>
      </c>
      <c r="G136" s="110">
        <v>4.9749999999999996</v>
      </c>
      <c r="I136" s="106">
        <v>4.93</v>
      </c>
      <c r="M136" s="107"/>
      <c r="P136" s="108"/>
    </row>
    <row r="137" spans="1:16" s="106" customFormat="1" x14ac:dyDescent="0.15">
      <c r="A137" s="104">
        <v>24</v>
      </c>
      <c r="B137" s="109">
        <v>5.1150000000000002</v>
      </c>
      <c r="C137" s="110">
        <v>5.2450000000000001</v>
      </c>
      <c r="D137" s="110">
        <v>5.2</v>
      </c>
      <c r="E137" s="110">
        <v>5.2249999999999996</v>
      </c>
      <c r="F137" s="110">
        <v>5.1550000000000002</v>
      </c>
      <c r="G137" s="110">
        <v>5.2</v>
      </c>
      <c r="I137" s="106">
        <v>5.15</v>
      </c>
      <c r="M137" s="107"/>
      <c r="P137" s="108"/>
    </row>
    <row r="138" spans="1:16" s="106" customFormat="1" x14ac:dyDescent="0.15">
      <c r="A138" s="104">
        <v>25</v>
      </c>
      <c r="B138" s="109">
        <v>5.1150000000000002</v>
      </c>
      <c r="C138" s="110">
        <v>5.2450000000000001</v>
      </c>
      <c r="D138" s="110">
        <v>5.2</v>
      </c>
      <c r="E138" s="110">
        <v>5.2249999999999996</v>
      </c>
      <c r="F138" s="110">
        <v>5.1550000000000002</v>
      </c>
      <c r="G138" s="110">
        <v>5.2</v>
      </c>
      <c r="I138" s="106">
        <v>5.15</v>
      </c>
      <c r="M138" s="107"/>
      <c r="P138" s="108"/>
    </row>
    <row r="139" spans="1:16" s="106" customFormat="1" x14ac:dyDescent="0.15">
      <c r="A139" s="104">
        <v>26</v>
      </c>
      <c r="B139" s="109">
        <v>5.1150000000000002</v>
      </c>
      <c r="C139" s="110">
        <v>5.2450000000000001</v>
      </c>
      <c r="D139" s="110">
        <v>5.2</v>
      </c>
      <c r="E139" s="110">
        <v>5.2249999999999996</v>
      </c>
      <c r="F139" s="110">
        <v>5.1550000000000002</v>
      </c>
      <c r="G139" s="110">
        <v>5.2</v>
      </c>
      <c r="I139" s="106">
        <v>5.15</v>
      </c>
      <c r="M139" s="107"/>
      <c r="P139" s="108"/>
    </row>
    <row r="140" spans="1:16" s="106" customFormat="1" x14ac:dyDescent="0.15">
      <c r="A140" s="104">
        <v>27</v>
      </c>
      <c r="B140" s="109">
        <v>5.0650000000000004</v>
      </c>
      <c r="C140" s="110">
        <v>5.19</v>
      </c>
      <c r="D140" s="110">
        <v>5.21</v>
      </c>
      <c r="E140" s="110">
        <v>5.2350000000000003</v>
      </c>
      <c r="F140" s="110">
        <v>5.165</v>
      </c>
      <c r="G140" s="110">
        <v>5.1749999999999998</v>
      </c>
      <c r="I140" s="106">
        <v>5.15</v>
      </c>
      <c r="M140" s="107"/>
      <c r="P140" s="108"/>
    </row>
    <row r="141" spans="1:16" s="106" customFormat="1" x14ac:dyDescent="0.15">
      <c r="A141" s="104">
        <v>28</v>
      </c>
      <c r="B141" s="109">
        <v>5.1550000000000002</v>
      </c>
      <c r="C141" s="110">
        <v>5.335</v>
      </c>
      <c r="D141" s="110">
        <v>5.38</v>
      </c>
      <c r="E141" s="110">
        <v>5.4249999999999998</v>
      </c>
      <c r="F141" s="110">
        <v>5.3650000000000002</v>
      </c>
      <c r="G141" s="110">
        <v>5.3650000000000002</v>
      </c>
      <c r="I141" s="106">
        <v>5.35</v>
      </c>
      <c r="M141" s="107"/>
      <c r="P141" s="108"/>
    </row>
    <row r="142" spans="1:16" s="106" customFormat="1" x14ac:dyDescent="0.15">
      <c r="A142" s="104">
        <v>29</v>
      </c>
      <c r="B142" s="109">
        <v>5.3849999999999998</v>
      </c>
      <c r="C142" s="110">
        <v>5.5350000000000001</v>
      </c>
      <c r="D142" s="110">
        <v>5.59</v>
      </c>
      <c r="E142" s="110">
        <v>5.65</v>
      </c>
      <c r="F142" s="110">
        <v>5.5350000000000001</v>
      </c>
      <c r="G142" s="110">
        <v>5.5449999999999999</v>
      </c>
      <c r="I142" s="106">
        <v>5.52</v>
      </c>
      <c r="M142" s="107"/>
      <c r="P142" s="108"/>
    </row>
    <row r="143" spans="1:16" s="106" customFormat="1" x14ac:dyDescent="0.15">
      <c r="A143" s="104">
        <v>30</v>
      </c>
      <c r="B143" s="109">
        <v>5.1449999999999996</v>
      </c>
      <c r="C143" s="110">
        <v>5.3049999999999997</v>
      </c>
      <c r="D143" s="110">
        <v>5.3049999999999997</v>
      </c>
      <c r="E143" s="110">
        <v>5.3449999999999998</v>
      </c>
      <c r="F143" s="110">
        <v>5.2750000000000004</v>
      </c>
      <c r="G143" s="110">
        <v>5.3</v>
      </c>
      <c r="I143" s="106">
        <v>5.29</v>
      </c>
      <c r="M143" s="107"/>
      <c r="P143" s="108"/>
    </row>
    <row r="144" spans="1:16" s="106" customFormat="1" x14ac:dyDescent="0.15">
      <c r="A144" s="104">
        <v>31</v>
      </c>
      <c r="B144" s="109">
        <v>5.1449999999999996</v>
      </c>
      <c r="C144" s="110">
        <v>5.35</v>
      </c>
      <c r="D144" s="110">
        <v>5.33</v>
      </c>
      <c r="E144" s="110">
        <v>5.3</v>
      </c>
      <c r="F144" s="110">
        <v>5.3049999999999997</v>
      </c>
      <c r="G144" s="110">
        <v>5.3</v>
      </c>
      <c r="I144" s="106">
        <v>5.2850000000000001</v>
      </c>
      <c r="M144" s="107"/>
      <c r="P144" s="108"/>
    </row>
    <row r="145" spans="1:16" s="106" customFormat="1" x14ac:dyDescent="0.15">
      <c r="A145" s="104"/>
      <c r="B145" s="109"/>
      <c r="C145" s="110"/>
      <c r="D145" s="110"/>
      <c r="E145" s="110"/>
      <c r="F145" s="110"/>
      <c r="G145" s="110"/>
      <c r="M145" s="107"/>
      <c r="P145" s="108"/>
    </row>
    <row r="146" spans="1:16" s="106" customFormat="1" x14ac:dyDescent="0.15">
      <c r="A146" s="104"/>
      <c r="B146" s="105"/>
      <c r="C146" s="110"/>
      <c r="D146" s="110"/>
      <c r="E146" s="110"/>
      <c r="F146" s="110"/>
      <c r="G146" s="110"/>
      <c r="M146" s="107"/>
      <c r="P146" s="108"/>
    </row>
    <row r="147" spans="1:16" s="106" customFormat="1" x14ac:dyDescent="0.15">
      <c r="A147" s="104"/>
      <c r="B147" s="105"/>
      <c r="C147" s="110"/>
      <c r="D147" s="110"/>
      <c r="E147" s="110"/>
      <c r="F147" s="110"/>
      <c r="G147" s="110"/>
      <c r="M147" s="107"/>
      <c r="P147" s="108"/>
    </row>
    <row r="148" spans="1:16" s="106" customFormat="1" x14ac:dyDescent="0.15">
      <c r="A148" s="104"/>
      <c r="B148" s="105"/>
      <c r="C148" s="110"/>
      <c r="D148" s="110"/>
      <c r="E148" s="110"/>
      <c r="F148" s="110"/>
      <c r="G148" s="110"/>
      <c r="M148" s="107"/>
      <c r="P148" s="108"/>
    </row>
    <row r="149" spans="1:16" s="106" customFormat="1" x14ac:dyDescent="0.15">
      <c r="A149" s="104"/>
      <c r="B149" s="105"/>
      <c r="C149" s="110"/>
      <c r="D149" s="110"/>
      <c r="E149" s="110"/>
      <c r="F149" s="110"/>
      <c r="G149" s="110"/>
      <c r="M149" s="107"/>
      <c r="P149" s="108"/>
    </row>
    <row r="150" spans="1:16" s="106" customFormat="1" x14ac:dyDescent="0.15">
      <c r="A150" s="104"/>
      <c r="B150" s="105"/>
      <c r="C150" s="110"/>
      <c r="D150" s="110"/>
      <c r="E150" s="110"/>
      <c r="F150" s="110"/>
      <c r="G150" s="110"/>
      <c r="M150" s="107"/>
      <c r="P150" s="108"/>
    </row>
    <row r="151" spans="1:16" s="106" customFormat="1" x14ac:dyDescent="0.15">
      <c r="A151" s="104"/>
      <c r="B151" s="105"/>
      <c r="C151" s="110"/>
      <c r="D151" s="110"/>
      <c r="E151" s="110"/>
      <c r="F151" s="110"/>
      <c r="G151" s="110"/>
      <c r="M151" s="107"/>
      <c r="P151" s="108"/>
    </row>
    <row r="152" spans="1:16" s="106" customFormat="1" x14ac:dyDescent="0.15">
      <c r="A152" s="104"/>
      <c r="B152" s="105"/>
      <c r="C152" s="110"/>
      <c r="D152" s="110"/>
      <c r="E152" s="110"/>
      <c r="F152" s="110"/>
      <c r="G152" s="110"/>
      <c r="M152" s="107"/>
      <c r="P152" s="108"/>
    </row>
    <row r="153" spans="1:16" s="106" customFormat="1" x14ac:dyDescent="0.15">
      <c r="A153" s="104"/>
      <c r="B153" s="105"/>
      <c r="C153" s="110"/>
      <c r="D153" s="110"/>
      <c r="E153" s="110"/>
      <c r="F153" s="110"/>
      <c r="G153" s="110"/>
      <c r="M153" s="107"/>
      <c r="P153" s="108"/>
    </row>
    <row r="154" spans="1:16" s="106" customFormat="1" x14ac:dyDescent="0.15">
      <c r="A154" s="104"/>
      <c r="B154" s="105"/>
      <c r="C154" s="110"/>
      <c r="D154" s="110"/>
      <c r="E154" s="110"/>
      <c r="F154" s="110"/>
      <c r="G154" s="110"/>
      <c r="M154" s="107"/>
      <c r="P154" s="108"/>
    </row>
    <row r="155" spans="1:16" s="106" customFormat="1" x14ac:dyDescent="0.15">
      <c r="A155" s="104"/>
      <c r="B155" s="105"/>
      <c r="C155" s="110"/>
      <c r="D155" s="110"/>
      <c r="E155" s="110"/>
      <c r="F155" s="110"/>
      <c r="G155" s="110"/>
      <c r="M155" s="107"/>
      <c r="P155" s="108"/>
    </row>
    <row r="156" spans="1:16" s="106" customFormat="1" x14ac:dyDescent="0.15">
      <c r="A156" s="104"/>
      <c r="B156" s="105"/>
      <c r="C156" s="110"/>
      <c r="D156" s="110"/>
      <c r="E156" s="110"/>
      <c r="F156" s="110"/>
      <c r="G156" s="110"/>
      <c r="M156" s="107"/>
      <c r="P156" s="108"/>
    </row>
    <row r="157" spans="1:16" s="106" customFormat="1" x14ac:dyDescent="0.15">
      <c r="A157" s="104"/>
      <c r="B157" s="105"/>
      <c r="C157" s="110"/>
      <c r="D157" s="110"/>
      <c r="E157" s="110"/>
      <c r="F157" s="110"/>
      <c r="G157" s="110"/>
      <c r="M157" s="107"/>
      <c r="P157" s="108"/>
    </row>
    <row r="158" spans="1:16" s="106" customFormat="1" x14ac:dyDescent="0.15">
      <c r="A158" s="104"/>
      <c r="B158" s="105"/>
      <c r="C158" s="110"/>
      <c r="D158" s="110"/>
      <c r="E158" s="110"/>
      <c r="F158" s="110"/>
      <c r="G158" s="110"/>
      <c r="M158" s="107"/>
      <c r="P158" s="108"/>
    </row>
    <row r="159" spans="1:16" s="106" customFormat="1" x14ac:dyDescent="0.15">
      <c r="A159" s="104"/>
      <c r="B159" s="105"/>
      <c r="C159" s="110"/>
      <c r="D159" s="110"/>
      <c r="E159" s="110"/>
      <c r="F159" s="110"/>
      <c r="G159" s="110"/>
      <c r="M159" s="107"/>
      <c r="P159" s="108"/>
    </row>
    <row r="160" spans="1:16" s="106" customFormat="1" x14ac:dyDescent="0.15">
      <c r="A160" s="104"/>
      <c r="B160" s="105"/>
      <c r="C160" s="110"/>
      <c r="D160" s="110"/>
      <c r="E160" s="110"/>
      <c r="F160" s="110"/>
      <c r="G160" s="110"/>
      <c r="M160" s="107"/>
      <c r="P160" s="108"/>
    </row>
    <row r="161" spans="1:16" s="106" customFormat="1" x14ac:dyDescent="0.15">
      <c r="A161" s="104"/>
      <c r="B161" s="105"/>
      <c r="C161" s="110"/>
      <c r="D161" s="110"/>
      <c r="E161" s="110"/>
      <c r="F161" s="110"/>
      <c r="G161" s="110"/>
      <c r="M161" s="107"/>
      <c r="P161" s="108"/>
    </row>
    <row r="162" spans="1:16" s="106" customFormat="1" x14ac:dyDescent="0.15">
      <c r="A162" s="104"/>
      <c r="B162" s="105"/>
      <c r="C162" s="110"/>
      <c r="D162" s="110"/>
      <c r="E162" s="110"/>
      <c r="F162" s="110"/>
      <c r="G162" s="110"/>
      <c r="M162" s="107"/>
      <c r="P162" s="108"/>
    </row>
    <row r="163" spans="1:16" s="106" customFormat="1" x14ac:dyDescent="0.15">
      <c r="A163" s="104"/>
      <c r="B163" s="105"/>
      <c r="C163" s="110"/>
      <c r="D163" s="110"/>
      <c r="E163" s="110"/>
      <c r="F163" s="110"/>
      <c r="G163" s="110"/>
      <c r="M163" s="107"/>
      <c r="P163" s="108"/>
    </row>
    <row r="164" spans="1:16" s="106" customFormat="1" x14ac:dyDescent="0.15">
      <c r="A164" s="104"/>
      <c r="B164" s="105"/>
      <c r="C164" s="110"/>
      <c r="D164" s="110"/>
      <c r="E164" s="110"/>
      <c r="F164" s="110"/>
      <c r="G164" s="110"/>
      <c r="M164" s="107"/>
      <c r="P164" s="108"/>
    </row>
    <row r="165" spans="1:16" s="106" customFormat="1" x14ac:dyDescent="0.15">
      <c r="A165" s="104"/>
      <c r="B165" s="105"/>
      <c r="C165" s="110"/>
      <c r="D165" s="110"/>
      <c r="E165" s="110"/>
      <c r="F165" s="110"/>
      <c r="G165" s="110"/>
      <c r="M165" s="107"/>
      <c r="P165" s="108"/>
    </row>
    <row r="166" spans="1:16" s="106" customFormat="1" x14ac:dyDescent="0.15">
      <c r="A166" s="104"/>
      <c r="B166" s="105"/>
      <c r="C166" s="110"/>
      <c r="D166" s="110"/>
      <c r="E166" s="110"/>
      <c r="F166" s="110"/>
      <c r="G166" s="110"/>
      <c r="M166" s="107"/>
      <c r="P166" s="108"/>
    </row>
    <row r="167" spans="1:16" s="106" customFormat="1" x14ac:dyDescent="0.15">
      <c r="A167" s="104"/>
      <c r="B167" s="105"/>
      <c r="C167" s="110"/>
      <c r="D167" s="110"/>
      <c r="E167" s="110"/>
      <c r="F167" s="110"/>
      <c r="G167" s="110"/>
      <c r="M167" s="107"/>
      <c r="P167" s="108"/>
    </row>
    <row r="168" spans="1:16" s="106" customFormat="1" x14ac:dyDescent="0.15">
      <c r="A168" s="104"/>
      <c r="B168" s="105"/>
      <c r="C168" s="110"/>
      <c r="D168" s="110"/>
      <c r="E168" s="110"/>
      <c r="F168" s="110"/>
      <c r="G168" s="110"/>
      <c r="M168" s="107"/>
      <c r="P168" s="108"/>
    </row>
    <row r="169" spans="1:16" s="106" customFormat="1" x14ac:dyDescent="0.15">
      <c r="A169" s="104"/>
      <c r="B169" s="105"/>
      <c r="C169" s="110"/>
      <c r="D169" s="110"/>
      <c r="E169" s="110"/>
      <c r="F169" s="110"/>
      <c r="G169" s="110"/>
      <c r="M169" s="107"/>
      <c r="P169" s="108"/>
    </row>
    <row r="170" spans="1:16" s="106" customFormat="1" x14ac:dyDescent="0.15">
      <c r="A170" s="104"/>
      <c r="B170" s="105"/>
      <c r="C170" s="110"/>
      <c r="D170" s="110"/>
      <c r="E170" s="110"/>
      <c r="F170" s="110"/>
      <c r="G170" s="110"/>
      <c r="M170" s="107"/>
      <c r="P170" s="108"/>
    </row>
    <row r="171" spans="1:16" s="106" customFormat="1" x14ac:dyDescent="0.15">
      <c r="A171" s="104"/>
      <c r="B171" s="105"/>
      <c r="C171" s="110"/>
      <c r="D171" s="110"/>
      <c r="E171" s="110"/>
      <c r="F171" s="110"/>
      <c r="G171" s="110"/>
      <c r="M171" s="107"/>
      <c r="P171" s="108"/>
    </row>
    <row r="172" spans="1:16" s="106" customFormat="1" x14ac:dyDescent="0.15">
      <c r="A172" s="104"/>
      <c r="B172" s="105"/>
      <c r="F172" s="110"/>
      <c r="G172" s="110"/>
      <c r="M172" s="107"/>
      <c r="P172" s="108"/>
    </row>
    <row r="173" spans="1:16" s="106" customFormat="1" x14ac:dyDescent="0.15">
      <c r="A173" s="104"/>
      <c r="B173" s="105"/>
      <c r="F173" s="110"/>
      <c r="G173" s="110"/>
      <c r="M173" s="107"/>
      <c r="P173" s="108"/>
    </row>
    <row r="174" spans="1:16" s="106" customFormat="1" x14ac:dyDescent="0.15">
      <c r="A174" s="104"/>
      <c r="B174" s="105"/>
      <c r="F174" s="110"/>
      <c r="G174" s="110"/>
      <c r="M174" s="107"/>
      <c r="P174" s="108"/>
    </row>
    <row r="175" spans="1:16" s="106" customFormat="1" x14ac:dyDescent="0.15">
      <c r="A175" s="104"/>
      <c r="B175" s="105"/>
      <c r="F175" s="110"/>
      <c r="G175" s="110"/>
      <c r="M175" s="107"/>
      <c r="P175" s="108"/>
    </row>
    <row r="176" spans="1:16" s="106" customFormat="1" x14ac:dyDescent="0.15">
      <c r="A176" s="104"/>
      <c r="B176" s="105"/>
      <c r="F176" s="110"/>
      <c r="G176" s="110"/>
      <c r="M176" s="107"/>
      <c r="P176" s="108"/>
    </row>
    <row r="177" spans="1:16" s="106" customFormat="1" x14ac:dyDescent="0.15">
      <c r="A177" s="104"/>
      <c r="B177" s="105"/>
      <c r="F177" s="110"/>
      <c r="G177" s="110"/>
      <c r="M177" s="107"/>
      <c r="P177" s="108"/>
    </row>
    <row r="178" spans="1:16" s="106" customFormat="1" x14ac:dyDescent="0.15">
      <c r="A178" s="104"/>
      <c r="B178" s="105"/>
      <c r="F178" s="110"/>
      <c r="G178" s="110"/>
      <c r="M178" s="107"/>
      <c r="P178" s="108"/>
    </row>
    <row r="179" spans="1:16" s="106" customFormat="1" x14ac:dyDescent="0.15">
      <c r="A179" s="104"/>
      <c r="B179" s="105"/>
      <c r="F179" s="110"/>
      <c r="G179" s="110"/>
      <c r="M179" s="107"/>
      <c r="P179" s="108"/>
    </row>
    <row r="180" spans="1:16" s="106" customFormat="1" x14ac:dyDescent="0.15">
      <c r="A180" s="104"/>
      <c r="B180" s="105"/>
      <c r="F180" s="110"/>
      <c r="G180" s="110"/>
      <c r="M180" s="107"/>
      <c r="P180" s="108"/>
    </row>
    <row r="181" spans="1:16" s="106" customFormat="1" x14ac:dyDescent="0.15">
      <c r="A181" s="104"/>
      <c r="B181" s="105"/>
      <c r="F181" s="110"/>
      <c r="G181" s="110"/>
      <c r="M181" s="107"/>
      <c r="P181" s="108"/>
    </row>
    <row r="182" spans="1:16" s="106" customFormat="1" x14ac:dyDescent="0.15">
      <c r="A182" s="104"/>
      <c r="B182" s="105"/>
      <c r="F182" s="110"/>
      <c r="G182" s="110"/>
      <c r="M182" s="107"/>
      <c r="P182" s="108"/>
    </row>
    <row r="183" spans="1:16" s="106" customFormat="1" x14ac:dyDescent="0.15">
      <c r="A183" s="104"/>
      <c r="B183" s="105"/>
      <c r="F183" s="110"/>
      <c r="G183" s="110"/>
      <c r="M183" s="107"/>
      <c r="P183" s="108"/>
    </row>
    <row r="184" spans="1:16" s="106" customFormat="1" x14ac:dyDescent="0.15">
      <c r="A184" s="104"/>
      <c r="B184" s="105"/>
      <c r="F184" s="110"/>
      <c r="G184" s="110"/>
      <c r="M184" s="107"/>
      <c r="P184" s="108"/>
    </row>
    <row r="185" spans="1:16" s="106" customFormat="1" x14ac:dyDescent="0.15">
      <c r="A185" s="104"/>
      <c r="B185" s="105"/>
      <c r="F185" s="110"/>
      <c r="G185" s="110"/>
      <c r="M185" s="107"/>
      <c r="P185" s="108"/>
    </row>
    <row r="186" spans="1:16" s="106" customFormat="1" x14ac:dyDescent="0.15">
      <c r="A186" s="104"/>
      <c r="B186" s="105"/>
      <c r="F186" s="110"/>
      <c r="G186" s="110"/>
      <c r="M186" s="107"/>
      <c r="P186" s="108"/>
    </row>
    <row r="187" spans="1:16" s="106" customFormat="1" x14ac:dyDescent="0.15">
      <c r="A187" s="104"/>
      <c r="B187" s="105"/>
      <c r="F187" s="110"/>
      <c r="G187" s="110"/>
      <c r="M187" s="107"/>
      <c r="P187" s="108"/>
    </row>
    <row r="188" spans="1:16" s="106" customFormat="1" x14ac:dyDescent="0.15">
      <c r="A188" s="104"/>
      <c r="B188" s="105"/>
      <c r="F188" s="110"/>
      <c r="G188" s="110"/>
      <c r="M188" s="107"/>
      <c r="P188" s="108"/>
    </row>
    <row r="189" spans="1:16" s="106" customFormat="1" x14ac:dyDescent="0.15">
      <c r="A189" s="104"/>
      <c r="B189" s="105"/>
      <c r="F189" s="110"/>
      <c r="G189" s="110"/>
      <c r="M189" s="107"/>
      <c r="P189" s="108"/>
    </row>
    <row r="190" spans="1:16" s="106" customFormat="1" x14ac:dyDescent="0.15">
      <c r="A190" s="104"/>
      <c r="B190" s="105"/>
      <c r="F190" s="110"/>
      <c r="G190" s="110"/>
      <c r="M190" s="107"/>
      <c r="P190" s="108"/>
    </row>
    <row r="191" spans="1:16" s="106" customFormat="1" x14ac:dyDescent="0.15">
      <c r="A191" s="104"/>
      <c r="B191" s="105"/>
      <c r="F191" s="110"/>
      <c r="G191" s="110"/>
      <c r="M191" s="107"/>
      <c r="P191" s="108"/>
    </row>
    <row r="192" spans="1:16" s="106" customFormat="1" x14ac:dyDescent="0.15">
      <c r="A192" s="104"/>
      <c r="B192" s="105"/>
      <c r="F192" s="110"/>
      <c r="G192" s="110"/>
      <c r="M192" s="107"/>
      <c r="P192" s="108"/>
    </row>
    <row r="193" spans="1:16" s="106" customFormat="1" x14ac:dyDescent="0.15">
      <c r="A193" s="104"/>
      <c r="B193" s="105"/>
      <c r="F193" s="110"/>
      <c r="G193" s="110"/>
      <c r="M193" s="107"/>
      <c r="P193" s="108"/>
    </row>
    <row r="194" spans="1:16" s="106" customFormat="1" x14ac:dyDescent="0.15">
      <c r="A194" s="104"/>
      <c r="B194" s="105"/>
      <c r="F194" s="110"/>
      <c r="G194" s="110"/>
      <c r="M194" s="107"/>
      <c r="P194" s="108"/>
    </row>
    <row r="195" spans="1:16" s="106" customFormat="1" x14ac:dyDescent="0.15">
      <c r="A195" s="104"/>
      <c r="B195" s="105"/>
      <c r="F195" s="110"/>
      <c r="G195" s="110"/>
      <c r="M195" s="107"/>
      <c r="P195" s="108"/>
    </row>
    <row r="196" spans="1:16" s="106" customFormat="1" x14ac:dyDescent="0.15">
      <c r="A196" s="104"/>
      <c r="B196" s="105"/>
      <c r="F196" s="110"/>
      <c r="G196" s="110"/>
      <c r="M196" s="107"/>
      <c r="P196" s="108"/>
    </row>
    <row r="197" spans="1:16" s="106" customFormat="1" x14ac:dyDescent="0.15">
      <c r="A197" s="104"/>
      <c r="B197" s="105"/>
      <c r="F197" s="110"/>
      <c r="G197" s="110"/>
      <c r="M197" s="107"/>
      <c r="P197" s="108"/>
    </row>
    <row r="198" spans="1:16" s="106" customFormat="1" x14ac:dyDescent="0.15">
      <c r="A198" s="104"/>
      <c r="B198" s="105"/>
      <c r="F198" s="110"/>
      <c r="G198" s="110"/>
      <c r="M198" s="107"/>
      <c r="P198" s="108"/>
    </row>
    <row r="199" spans="1:16" s="106" customFormat="1" x14ac:dyDescent="0.15">
      <c r="A199" s="104"/>
      <c r="B199" s="105"/>
      <c r="F199" s="110"/>
      <c r="G199" s="110"/>
      <c r="M199" s="107"/>
      <c r="P199" s="108"/>
    </row>
    <row r="200" spans="1:16" s="106" customFormat="1" x14ac:dyDescent="0.15">
      <c r="A200" s="104"/>
      <c r="B200" s="105"/>
      <c r="F200" s="110"/>
      <c r="G200" s="110"/>
      <c r="M200" s="107"/>
      <c r="P200" s="108"/>
    </row>
    <row r="201" spans="1:16" s="106" customFormat="1" x14ac:dyDescent="0.15">
      <c r="A201" s="104"/>
      <c r="B201" s="105"/>
      <c r="F201" s="110"/>
      <c r="G201" s="110"/>
      <c r="M201" s="107"/>
      <c r="P201" s="108"/>
    </row>
    <row r="202" spans="1:16" s="106" customFormat="1" x14ac:dyDescent="0.15">
      <c r="A202" s="104"/>
      <c r="B202" s="105"/>
      <c r="F202" s="110"/>
      <c r="G202" s="110"/>
      <c r="M202" s="107"/>
      <c r="P202" s="108"/>
    </row>
    <row r="203" spans="1:16" s="106" customFormat="1" x14ac:dyDescent="0.15">
      <c r="A203" s="104"/>
      <c r="B203" s="105"/>
      <c r="F203" s="110"/>
      <c r="G203" s="110"/>
      <c r="M203" s="107"/>
      <c r="P203" s="108"/>
    </row>
    <row r="204" spans="1:16" s="106" customFormat="1" x14ac:dyDescent="0.15">
      <c r="A204" s="104"/>
      <c r="B204" s="105"/>
      <c r="F204" s="110"/>
      <c r="G204" s="110"/>
      <c r="M204" s="107"/>
      <c r="P204" s="108"/>
    </row>
    <row r="205" spans="1:16" s="106" customFormat="1" x14ac:dyDescent="0.15">
      <c r="A205" s="104"/>
      <c r="B205" s="105"/>
      <c r="F205" s="110"/>
      <c r="G205" s="110"/>
      <c r="M205" s="107"/>
      <c r="P205" s="108"/>
    </row>
    <row r="206" spans="1:16" s="106" customFormat="1" x14ac:dyDescent="0.15">
      <c r="A206" s="104"/>
      <c r="B206" s="105"/>
      <c r="F206" s="110"/>
      <c r="G206" s="110"/>
      <c r="M206" s="107"/>
      <c r="P206" s="108"/>
    </row>
    <row r="207" spans="1:16" s="106" customFormat="1" x14ac:dyDescent="0.15">
      <c r="A207" s="104"/>
      <c r="B207" s="105"/>
      <c r="F207" s="110"/>
      <c r="G207" s="110"/>
      <c r="M207" s="107"/>
      <c r="P207" s="108"/>
    </row>
    <row r="208" spans="1:16" s="106" customFormat="1" x14ac:dyDescent="0.15">
      <c r="A208" s="104"/>
      <c r="B208" s="105"/>
      <c r="F208" s="110"/>
      <c r="G208" s="110"/>
      <c r="M208" s="107"/>
      <c r="P208" s="108"/>
    </row>
    <row r="209" spans="1:16" s="106" customFormat="1" x14ac:dyDescent="0.15">
      <c r="A209" s="104"/>
      <c r="B209" s="105"/>
      <c r="F209" s="110"/>
      <c r="G209" s="110"/>
      <c r="M209" s="107"/>
      <c r="P209" s="108"/>
    </row>
    <row r="210" spans="1:16" s="106" customFormat="1" x14ac:dyDescent="0.15">
      <c r="A210" s="104"/>
      <c r="B210" s="105"/>
      <c r="F210" s="110"/>
      <c r="G210" s="110"/>
      <c r="M210" s="107"/>
      <c r="P210" s="108"/>
    </row>
    <row r="211" spans="1:16" s="106" customFormat="1" x14ac:dyDescent="0.15">
      <c r="A211" s="104"/>
      <c r="B211" s="105"/>
      <c r="F211" s="110"/>
      <c r="G211" s="110"/>
      <c r="M211" s="107"/>
      <c r="P211" s="108"/>
    </row>
    <row r="212" spans="1:16" s="106" customFormat="1" x14ac:dyDescent="0.15">
      <c r="A212" s="104"/>
      <c r="B212" s="105"/>
      <c r="F212" s="110"/>
      <c r="G212" s="110"/>
      <c r="M212" s="107"/>
      <c r="P212" s="108"/>
    </row>
    <row r="213" spans="1:16" s="106" customFormat="1" x14ac:dyDescent="0.15">
      <c r="A213" s="104"/>
      <c r="B213" s="105"/>
      <c r="F213" s="110"/>
      <c r="G213" s="110"/>
      <c r="M213" s="107"/>
      <c r="P213" s="108"/>
    </row>
    <row r="214" spans="1:16" s="106" customFormat="1" x14ac:dyDescent="0.15">
      <c r="A214" s="104"/>
      <c r="B214" s="105"/>
      <c r="F214" s="110"/>
      <c r="G214" s="110"/>
      <c r="M214" s="107"/>
      <c r="P214" s="108"/>
    </row>
    <row r="215" spans="1:16" s="106" customFormat="1" x14ac:dyDescent="0.15">
      <c r="A215" s="104"/>
      <c r="B215" s="105"/>
      <c r="F215" s="110"/>
      <c r="G215" s="110"/>
      <c r="M215" s="107"/>
      <c r="P215" s="108"/>
    </row>
    <row r="216" spans="1:16" s="106" customFormat="1" x14ac:dyDescent="0.15">
      <c r="A216" s="104"/>
      <c r="B216" s="105"/>
      <c r="F216" s="110"/>
      <c r="G216" s="110"/>
      <c r="M216" s="107"/>
      <c r="P216" s="108"/>
    </row>
    <row r="217" spans="1:16" s="106" customFormat="1" x14ac:dyDescent="0.15">
      <c r="A217" s="104"/>
      <c r="B217" s="105"/>
      <c r="F217" s="110"/>
      <c r="G217" s="110"/>
      <c r="M217" s="107"/>
      <c r="P217" s="108"/>
    </row>
    <row r="218" spans="1:16" s="106" customFormat="1" x14ac:dyDescent="0.15">
      <c r="A218" s="104"/>
      <c r="B218" s="105"/>
      <c r="F218" s="110"/>
      <c r="G218" s="110"/>
      <c r="M218" s="107"/>
      <c r="P218" s="108"/>
    </row>
    <row r="219" spans="1:16" s="106" customFormat="1" x14ac:dyDescent="0.15">
      <c r="A219" s="104"/>
      <c r="B219" s="105"/>
      <c r="F219" s="110"/>
      <c r="G219" s="110"/>
      <c r="M219" s="107"/>
      <c r="P219" s="108"/>
    </row>
    <row r="220" spans="1:16" s="106" customFormat="1" x14ac:dyDescent="0.15">
      <c r="A220" s="104"/>
      <c r="B220" s="105"/>
      <c r="F220" s="110"/>
      <c r="G220" s="110"/>
      <c r="M220" s="107"/>
      <c r="P220" s="108"/>
    </row>
    <row r="221" spans="1:16" s="106" customFormat="1" x14ac:dyDescent="0.15">
      <c r="A221" s="104"/>
      <c r="B221" s="105"/>
      <c r="F221" s="110"/>
      <c r="G221" s="110"/>
      <c r="M221" s="107"/>
      <c r="P221" s="108"/>
    </row>
    <row r="222" spans="1:16" s="106" customFormat="1" x14ac:dyDescent="0.15">
      <c r="A222" s="104"/>
      <c r="B222" s="105"/>
      <c r="F222" s="110"/>
      <c r="G222" s="110"/>
      <c r="M222" s="107"/>
      <c r="P222" s="108"/>
    </row>
    <row r="223" spans="1:16" s="106" customFormat="1" x14ac:dyDescent="0.15">
      <c r="A223" s="104"/>
      <c r="B223" s="105"/>
      <c r="F223" s="110"/>
      <c r="G223" s="110"/>
      <c r="M223" s="107"/>
      <c r="P223" s="108"/>
    </row>
    <row r="224" spans="1:16" s="106" customFormat="1" x14ac:dyDescent="0.15">
      <c r="A224" s="104"/>
      <c r="B224" s="105"/>
      <c r="F224" s="110"/>
      <c r="G224" s="110"/>
      <c r="M224" s="107"/>
      <c r="P224" s="108"/>
    </row>
    <row r="225" spans="1:16" s="106" customFormat="1" x14ac:dyDescent="0.15">
      <c r="A225" s="104"/>
      <c r="B225" s="105"/>
      <c r="F225" s="110"/>
      <c r="G225" s="110"/>
      <c r="M225" s="107"/>
      <c r="P225" s="108"/>
    </row>
    <row r="226" spans="1:16" s="106" customFormat="1" x14ac:dyDescent="0.15">
      <c r="A226" s="104"/>
      <c r="B226" s="105"/>
      <c r="F226" s="110"/>
      <c r="G226" s="110"/>
      <c r="M226" s="107"/>
      <c r="P226" s="108"/>
    </row>
    <row r="227" spans="1:16" s="106" customFormat="1" x14ac:dyDescent="0.15">
      <c r="A227" s="104"/>
      <c r="B227" s="105"/>
      <c r="F227" s="110"/>
      <c r="G227" s="110"/>
      <c r="M227" s="107"/>
      <c r="P227" s="108"/>
    </row>
    <row r="228" spans="1:16" s="106" customFormat="1" x14ac:dyDescent="0.15">
      <c r="A228" s="104"/>
      <c r="B228" s="105"/>
      <c r="F228" s="110"/>
      <c r="G228" s="110"/>
      <c r="M228" s="107"/>
      <c r="P228" s="108"/>
    </row>
    <row r="229" spans="1:16" s="106" customFormat="1" x14ac:dyDescent="0.15">
      <c r="A229" s="104"/>
      <c r="B229" s="105"/>
      <c r="F229" s="110"/>
      <c r="G229" s="110"/>
      <c r="M229" s="107"/>
      <c r="P229" s="108"/>
    </row>
    <row r="230" spans="1:16" s="106" customFormat="1" x14ac:dyDescent="0.15">
      <c r="A230" s="104"/>
      <c r="B230" s="105"/>
      <c r="F230" s="110"/>
      <c r="G230" s="110"/>
      <c r="M230" s="107"/>
      <c r="P230" s="108"/>
    </row>
    <row r="231" spans="1:16" s="106" customFormat="1" x14ac:dyDescent="0.15">
      <c r="A231" s="104"/>
      <c r="B231" s="105"/>
      <c r="F231" s="110"/>
      <c r="G231" s="110"/>
      <c r="M231" s="107"/>
      <c r="P231" s="108"/>
    </row>
    <row r="232" spans="1:16" s="106" customFormat="1" x14ac:dyDescent="0.15">
      <c r="A232" s="104"/>
      <c r="B232" s="105"/>
      <c r="F232" s="110"/>
      <c r="G232" s="110"/>
      <c r="M232" s="107"/>
      <c r="P232" s="108"/>
    </row>
    <row r="233" spans="1:16" s="106" customFormat="1" x14ac:dyDescent="0.15">
      <c r="A233" s="104"/>
      <c r="B233" s="105"/>
      <c r="F233" s="110"/>
      <c r="G233" s="110"/>
      <c r="M233" s="107"/>
      <c r="P233" s="108"/>
    </row>
    <row r="234" spans="1:16" s="106" customFormat="1" x14ac:dyDescent="0.15">
      <c r="A234" s="104"/>
      <c r="B234" s="105"/>
      <c r="F234" s="110"/>
      <c r="G234" s="110"/>
      <c r="M234" s="107"/>
      <c r="P234" s="108"/>
    </row>
    <row r="235" spans="1:16" s="106" customFormat="1" x14ac:dyDescent="0.15">
      <c r="A235" s="104"/>
      <c r="B235" s="105"/>
      <c r="F235" s="110"/>
      <c r="G235" s="110"/>
      <c r="M235" s="107"/>
      <c r="P235" s="108"/>
    </row>
    <row r="236" spans="1:16" s="106" customFormat="1" x14ac:dyDescent="0.15">
      <c r="A236" s="104"/>
      <c r="B236" s="105"/>
      <c r="F236" s="110"/>
      <c r="G236" s="110"/>
      <c r="M236" s="107"/>
      <c r="P236" s="108"/>
    </row>
    <row r="237" spans="1:16" s="106" customFormat="1" x14ac:dyDescent="0.15">
      <c r="A237" s="104"/>
      <c r="B237" s="105"/>
      <c r="F237" s="110"/>
      <c r="G237" s="110"/>
      <c r="M237" s="107"/>
      <c r="P237" s="108"/>
    </row>
    <row r="238" spans="1:16" s="106" customFormat="1" x14ac:dyDescent="0.15">
      <c r="A238" s="104"/>
      <c r="B238" s="105"/>
      <c r="F238" s="110"/>
      <c r="G238" s="110"/>
      <c r="M238" s="107"/>
      <c r="P238" s="108"/>
    </row>
    <row r="239" spans="1:16" s="106" customFormat="1" x14ac:dyDescent="0.15">
      <c r="A239" s="104"/>
      <c r="B239" s="105"/>
      <c r="F239" s="110"/>
      <c r="G239" s="110"/>
      <c r="M239" s="107"/>
      <c r="P239" s="108"/>
    </row>
    <row r="240" spans="1:16" s="106" customFormat="1" x14ac:dyDescent="0.15">
      <c r="A240" s="104"/>
      <c r="B240" s="105"/>
      <c r="F240" s="110"/>
      <c r="G240" s="110"/>
      <c r="M240" s="107"/>
      <c r="P240" s="108"/>
    </row>
    <row r="241" spans="1:16" s="106" customFormat="1" x14ac:dyDescent="0.15">
      <c r="A241" s="104"/>
      <c r="B241" s="105"/>
      <c r="F241" s="110"/>
      <c r="G241" s="110"/>
      <c r="M241" s="107"/>
      <c r="P241" s="108"/>
    </row>
    <row r="242" spans="1:16" s="106" customFormat="1" x14ac:dyDescent="0.15">
      <c r="A242" s="104"/>
      <c r="B242" s="105"/>
      <c r="F242" s="110"/>
      <c r="G242" s="110"/>
      <c r="M242" s="107"/>
      <c r="P242" s="108"/>
    </row>
    <row r="243" spans="1:16" s="106" customFormat="1" x14ac:dyDescent="0.15">
      <c r="A243" s="104"/>
      <c r="B243" s="105"/>
      <c r="F243" s="110"/>
      <c r="G243" s="110"/>
      <c r="M243" s="107"/>
      <c r="P243" s="108"/>
    </row>
    <row r="244" spans="1:16" s="106" customFormat="1" x14ac:dyDescent="0.15">
      <c r="A244" s="104"/>
      <c r="B244" s="105"/>
      <c r="F244" s="110"/>
      <c r="G244" s="110"/>
      <c r="M244" s="107"/>
      <c r="P244" s="108"/>
    </row>
    <row r="245" spans="1:16" s="106" customFormat="1" x14ac:dyDescent="0.15">
      <c r="A245" s="104"/>
      <c r="B245" s="105"/>
      <c r="F245" s="110"/>
      <c r="G245" s="110"/>
      <c r="M245" s="107"/>
      <c r="P245" s="108"/>
    </row>
    <row r="246" spans="1:16" s="106" customFormat="1" x14ac:dyDescent="0.15">
      <c r="A246" s="104"/>
      <c r="B246" s="105"/>
      <c r="F246" s="110"/>
      <c r="G246" s="110"/>
      <c r="M246" s="107"/>
      <c r="P246" s="108"/>
    </row>
    <row r="247" spans="1:16" s="106" customFormat="1" x14ac:dyDescent="0.15">
      <c r="A247" s="104"/>
      <c r="B247" s="105"/>
      <c r="F247" s="110"/>
      <c r="G247" s="110"/>
      <c r="M247" s="107"/>
      <c r="P247" s="108"/>
    </row>
    <row r="248" spans="1:16" s="106" customFormat="1" x14ac:dyDescent="0.15">
      <c r="A248" s="104"/>
      <c r="B248" s="105"/>
      <c r="F248" s="110"/>
      <c r="G248" s="110"/>
      <c r="M248" s="107"/>
      <c r="P248" s="108"/>
    </row>
    <row r="249" spans="1:16" s="106" customFormat="1" x14ac:dyDescent="0.15">
      <c r="A249" s="104"/>
      <c r="B249" s="105"/>
      <c r="F249" s="110"/>
      <c r="G249" s="110"/>
      <c r="M249" s="107"/>
      <c r="P249" s="108"/>
    </row>
    <row r="250" spans="1:16" s="106" customFormat="1" x14ac:dyDescent="0.15">
      <c r="A250" s="104"/>
      <c r="B250" s="105"/>
      <c r="F250" s="110"/>
      <c r="G250" s="110"/>
      <c r="M250" s="107"/>
      <c r="P250" s="108"/>
    </row>
    <row r="251" spans="1:16" s="106" customFormat="1" x14ac:dyDescent="0.15">
      <c r="A251" s="104"/>
      <c r="B251" s="105"/>
      <c r="F251" s="110"/>
      <c r="G251" s="110"/>
      <c r="M251" s="107"/>
      <c r="P251" s="108"/>
    </row>
    <row r="252" spans="1:16" s="106" customFormat="1" x14ac:dyDescent="0.15">
      <c r="A252" s="104"/>
      <c r="B252" s="105"/>
      <c r="F252" s="110"/>
      <c r="G252" s="110"/>
      <c r="M252" s="107"/>
      <c r="P252" s="108"/>
    </row>
    <row r="253" spans="1:16" s="106" customFormat="1" x14ac:dyDescent="0.15">
      <c r="A253" s="104"/>
      <c r="B253" s="105"/>
      <c r="F253" s="110"/>
      <c r="G253" s="110"/>
      <c r="M253" s="107"/>
      <c r="P253" s="108"/>
    </row>
    <row r="254" spans="1:16" s="106" customFormat="1" x14ac:dyDescent="0.15">
      <c r="A254" s="104"/>
      <c r="B254" s="105"/>
      <c r="F254" s="110"/>
      <c r="G254" s="110"/>
      <c r="M254" s="107"/>
      <c r="P254" s="108"/>
    </row>
    <row r="255" spans="1:16" s="106" customFormat="1" x14ac:dyDescent="0.15">
      <c r="A255" s="104"/>
      <c r="B255" s="105"/>
      <c r="F255" s="110"/>
      <c r="G255" s="110"/>
      <c r="M255" s="107"/>
      <c r="P255" s="108"/>
    </row>
    <row r="256" spans="1:16" s="106" customFormat="1" x14ac:dyDescent="0.15">
      <c r="A256" s="104"/>
      <c r="B256" s="105"/>
      <c r="F256" s="110"/>
      <c r="G256" s="110"/>
      <c r="M256" s="107"/>
      <c r="P256" s="108"/>
    </row>
    <row r="257" spans="1:16" s="106" customFormat="1" x14ac:dyDescent="0.15">
      <c r="A257" s="104"/>
      <c r="B257" s="105"/>
      <c r="F257" s="110"/>
      <c r="G257" s="110"/>
      <c r="M257" s="107"/>
      <c r="P257" s="108"/>
    </row>
    <row r="258" spans="1:16" s="106" customFormat="1" x14ac:dyDescent="0.15">
      <c r="A258" s="104"/>
      <c r="B258" s="105"/>
      <c r="F258" s="110"/>
      <c r="G258" s="110"/>
      <c r="M258" s="107"/>
      <c r="P258" s="108"/>
    </row>
    <row r="259" spans="1:16" s="106" customFormat="1" x14ac:dyDescent="0.15">
      <c r="A259" s="104"/>
      <c r="B259" s="105"/>
      <c r="F259" s="110"/>
      <c r="G259" s="110"/>
      <c r="M259" s="107"/>
      <c r="P259" s="108"/>
    </row>
    <row r="260" spans="1:16" s="106" customFormat="1" x14ac:dyDescent="0.15">
      <c r="A260" s="104"/>
      <c r="B260" s="105"/>
      <c r="F260" s="110"/>
      <c r="G260" s="110"/>
      <c r="M260" s="107"/>
      <c r="P260" s="108"/>
    </row>
    <row r="261" spans="1:16" s="106" customFormat="1" x14ac:dyDescent="0.15">
      <c r="A261" s="104"/>
      <c r="B261" s="105"/>
      <c r="F261" s="110"/>
      <c r="G261" s="110"/>
      <c r="M261" s="107"/>
      <c r="P261" s="108"/>
    </row>
    <row r="262" spans="1:16" s="106" customFormat="1" x14ac:dyDescent="0.15">
      <c r="A262" s="104"/>
      <c r="B262" s="105"/>
      <c r="F262" s="110"/>
      <c r="G262" s="110"/>
      <c r="M262" s="107"/>
      <c r="P262" s="108"/>
    </row>
    <row r="263" spans="1:16" s="106" customFormat="1" x14ac:dyDescent="0.15">
      <c r="A263" s="104"/>
      <c r="B263" s="105"/>
      <c r="F263" s="110"/>
      <c r="G263" s="110"/>
      <c r="M263" s="107"/>
      <c r="P263" s="108"/>
    </row>
    <row r="264" spans="1:16" s="106" customFormat="1" x14ac:dyDescent="0.15">
      <c r="A264" s="104"/>
      <c r="B264" s="105"/>
      <c r="F264" s="110"/>
      <c r="G264" s="110"/>
      <c r="M264" s="107"/>
      <c r="P264" s="108"/>
    </row>
    <row r="265" spans="1:16" s="106" customFormat="1" x14ac:dyDescent="0.15">
      <c r="A265" s="104"/>
      <c r="B265" s="105"/>
      <c r="F265" s="110"/>
      <c r="G265" s="110"/>
      <c r="M265" s="107"/>
      <c r="P265" s="108"/>
    </row>
    <row r="266" spans="1:16" s="106" customFormat="1" x14ac:dyDescent="0.15">
      <c r="A266" s="104"/>
      <c r="B266" s="105"/>
      <c r="F266" s="110"/>
      <c r="G266" s="110"/>
      <c r="M266" s="107"/>
      <c r="P266" s="108"/>
    </row>
    <row r="267" spans="1:16" s="106" customFormat="1" x14ac:dyDescent="0.15">
      <c r="A267" s="104"/>
      <c r="B267" s="105"/>
      <c r="F267" s="110"/>
      <c r="G267" s="110"/>
      <c r="M267" s="107"/>
      <c r="P267" s="108"/>
    </row>
    <row r="268" spans="1:16" s="106" customFormat="1" x14ac:dyDescent="0.15">
      <c r="A268" s="104"/>
      <c r="B268" s="105"/>
      <c r="F268" s="110"/>
      <c r="G268" s="110"/>
      <c r="M268" s="107"/>
      <c r="P268" s="108"/>
    </row>
    <row r="269" spans="1:16" s="106" customFormat="1" x14ac:dyDescent="0.15">
      <c r="A269" s="104"/>
      <c r="B269" s="105"/>
      <c r="F269" s="110"/>
      <c r="G269" s="110"/>
      <c r="M269" s="107"/>
      <c r="P269" s="108"/>
    </row>
    <row r="270" spans="1:16" s="106" customFormat="1" x14ac:dyDescent="0.15">
      <c r="A270" s="104"/>
      <c r="B270" s="105"/>
      <c r="F270" s="110"/>
      <c r="G270" s="110"/>
      <c r="M270" s="107"/>
      <c r="P270" s="108"/>
    </row>
    <row r="271" spans="1:16" s="106" customFormat="1" x14ac:dyDescent="0.15">
      <c r="A271" s="104"/>
      <c r="B271" s="105"/>
      <c r="F271" s="110"/>
      <c r="G271" s="110"/>
      <c r="M271" s="107"/>
      <c r="P271" s="108"/>
    </row>
    <row r="272" spans="1:16" s="106" customFormat="1" x14ac:dyDescent="0.15">
      <c r="A272" s="104"/>
      <c r="B272" s="105"/>
      <c r="F272" s="110"/>
      <c r="G272" s="110"/>
      <c r="M272" s="107"/>
      <c r="P272" s="108"/>
    </row>
    <row r="273" spans="1:16" s="106" customFormat="1" x14ac:dyDescent="0.15">
      <c r="A273" s="104"/>
      <c r="B273" s="105"/>
      <c r="F273" s="110"/>
      <c r="G273" s="110"/>
      <c r="M273" s="107"/>
      <c r="P273" s="108"/>
    </row>
    <row r="274" spans="1:16" s="106" customFormat="1" x14ac:dyDescent="0.15">
      <c r="A274" s="104"/>
      <c r="B274" s="105"/>
      <c r="F274" s="110"/>
      <c r="G274" s="110"/>
      <c r="M274" s="107"/>
      <c r="P274" s="108"/>
    </row>
    <row r="275" spans="1:16" s="106" customFormat="1" x14ac:dyDescent="0.15">
      <c r="A275" s="104"/>
      <c r="B275" s="105"/>
      <c r="F275" s="110"/>
      <c r="G275" s="110"/>
      <c r="M275" s="107"/>
      <c r="P275" s="108"/>
    </row>
    <row r="276" spans="1:16" s="106" customFormat="1" x14ac:dyDescent="0.15">
      <c r="A276" s="104"/>
      <c r="B276" s="105"/>
      <c r="F276" s="110"/>
      <c r="G276" s="110"/>
      <c r="M276" s="107"/>
      <c r="P276" s="108"/>
    </row>
    <row r="277" spans="1:16" s="106" customFormat="1" x14ac:dyDescent="0.15">
      <c r="A277" s="104"/>
      <c r="B277" s="105"/>
      <c r="F277" s="110"/>
      <c r="G277" s="110"/>
      <c r="M277" s="107"/>
      <c r="P277" s="108"/>
    </row>
    <row r="278" spans="1:16" s="106" customFormat="1" x14ac:dyDescent="0.15">
      <c r="A278" s="104"/>
      <c r="B278" s="105"/>
      <c r="F278" s="110"/>
      <c r="G278" s="110"/>
      <c r="M278" s="107"/>
      <c r="P278" s="108"/>
    </row>
    <row r="279" spans="1:16" s="106" customFormat="1" x14ac:dyDescent="0.15">
      <c r="A279" s="104"/>
      <c r="B279" s="105"/>
      <c r="F279" s="110"/>
      <c r="G279" s="110"/>
      <c r="M279" s="107"/>
      <c r="P279" s="108"/>
    </row>
    <row r="280" spans="1:16" s="106" customFormat="1" x14ac:dyDescent="0.15">
      <c r="A280" s="104"/>
      <c r="B280" s="105"/>
      <c r="F280" s="110"/>
      <c r="G280" s="110"/>
      <c r="M280" s="107"/>
      <c r="P280" s="108"/>
    </row>
    <row r="281" spans="1:16" s="106" customFormat="1" x14ac:dyDescent="0.15">
      <c r="A281" s="104"/>
      <c r="B281" s="105"/>
      <c r="F281" s="110"/>
      <c r="G281" s="110"/>
      <c r="M281" s="107"/>
      <c r="P281" s="108"/>
    </row>
    <row r="282" spans="1:16" s="106" customFormat="1" x14ac:dyDescent="0.15">
      <c r="A282" s="104"/>
      <c r="B282" s="105"/>
      <c r="F282" s="110"/>
      <c r="G282" s="110"/>
      <c r="M282" s="107"/>
      <c r="P282" s="108"/>
    </row>
    <row r="283" spans="1:16" s="106" customFormat="1" x14ac:dyDescent="0.15">
      <c r="A283" s="104"/>
      <c r="B283" s="105"/>
      <c r="F283" s="110"/>
      <c r="G283" s="110"/>
      <c r="M283" s="107"/>
      <c r="P283" s="108"/>
    </row>
    <row r="284" spans="1:16" s="106" customFormat="1" x14ac:dyDescent="0.15">
      <c r="A284" s="104"/>
      <c r="B284" s="105"/>
      <c r="F284" s="110"/>
      <c r="G284" s="110"/>
      <c r="M284" s="107"/>
      <c r="P284" s="108"/>
    </row>
    <row r="285" spans="1:16" s="106" customFormat="1" x14ac:dyDescent="0.15">
      <c r="A285" s="104"/>
      <c r="B285" s="105"/>
      <c r="F285" s="110"/>
      <c r="G285" s="110"/>
      <c r="M285" s="107"/>
      <c r="P285" s="108"/>
    </row>
    <row r="286" spans="1:16" s="106" customFormat="1" x14ac:dyDescent="0.15">
      <c r="A286" s="104"/>
      <c r="B286" s="105"/>
      <c r="F286" s="110"/>
      <c r="G286" s="110"/>
      <c r="M286" s="107"/>
      <c r="P286" s="108"/>
    </row>
    <row r="287" spans="1:16" s="106" customFormat="1" x14ac:dyDescent="0.15">
      <c r="A287" s="104"/>
      <c r="B287" s="105"/>
      <c r="F287" s="110"/>
      <c r="G287" s="110"/>
      <c r="M287" s="107"/>
      <c r="P287" s="108"/>
    </row>
    <row r="288" spans="1:16" s="106" customFormat="1" x14ac:dyDescent="0.15">
      <c r="A288" s="104"/>
      <c r="B288" s="105"/>
      <c r="F288" s="110"/>
      <c r="G288" s="110"/>
      <c r="M288" s="107"/>
      <c r="P288" s="108"/>
    </row>
    <row r="289" spans="1:16" s="106" customFormat="1" x14ac:dyDescent="0.15">
      <c r="A289" s="104"/>
      <c r="B289" s="105"/>
      <c r="F289" s="110"/>
      <c r="G289" s="110"/>
      <c r="M289" s="107"/>
      <c r="P289" s="108"/>
    </row>
    <row r="290" spans="1:16" s="106" customFormat="1" x14ac:dyDescent="0.15">
      <c r="A290" s="104"/>
      <c r="B290" s="105"/>
      <c r="F290" s="110"/>
      <c r="G290" s="110"/>
      <c r="M290" s="107"/>
      <c r="P290" s="108"/>
    </row>
    <row r="291" spans="1:16" s="106" customFormat="1" x14ac:dyDescent="0.15">
      <c r="A291" s="104"/>
      <c r="B291" s="105"/>
      <c r="F291" s="110"/>
      <c r="G291" s="110"/>
      <c r="M291" s="107"/>
      <c r="P291" s="108"/>
    </row>
    <row r="292" spans="1:16" s="106" customFormat="1" x14ac:dyDescent="0.15">
      <c r="A292" s="104"/>
      <c r="B292" s="105"/>
      <c r="F292" s="110"/>
      <c r="G292" s="110"/>
      <c r="M292" s="107"/>
      <c r="P292" s="108"/>
    </row>
    <row r="293" spans="1:16" s="106" customFormat="1" x14ac:dyDescent="0.15">
      <c r="A293" s="104"/>
      <c r="B293" s="105"/>
      <c r="F293" s="110"/>
      <c r="G293" s="110"/>
      <c r="M293" s="107"/>
      <c r="P293" s="108"/>
    </row>
    <row r="294" spans="1:16" s="106" customFormat="1" x14ac:dyDescent="0.15">
      <c r="A294" s="104"/>
      <c r="B294" s="105"/>
      <c r="F294" s="110"/>
      <c r="G294" s="110"/>
      <c r="M294" s="107"/>
      <c r="P294" s="108"/>
    </row>
    <row r="295" spans="1:16" s="106" customFormat="1" x14ac:dyDescent="0.15">
      <c r="A295" s="104"/>
      <c r="B295" s="105"/>
      <c r="F295" s="110"/>
      <c r="G295" s="110"/>
      <c r="M295" s="107"/>
      <c r="P295" s="108"/>
    </row>
    <row r="296" spans="1:16" s="106" customFormat="1" x14ac:dyDescent="0.15">
      <c r="A296" s="104"/>
      <c r="B296" s="105"/>
      <c r="F296" s="110"/>
      <c r="G296" s="110"/>
      <c r="M296" s="107"/>
      <c r="P296" s="108"/>
    </row>
    <row r="297" spans="1:16" s="106" customFormat="1" x14ac:dyDescent="0.15">
      <c r="A297" s="104"/>
      <c r="B297" s="105"/>
      <c r="F297" s="110"/>
      <c r="G297" s="110"/>
      <c r="M297" s="107"/>
      <c r="P297" s="108"/>
    </row>
    <row r="298" spans="1:16" s="106" customFormat="1" x14ac:dyDescent="0.15">
      <c r="A298" s="104"/>
      <c r="B298" s="105"/>
      <c r="F298" s="110"/>
      <c r="G298" s="110"/>
      <c r="M298" s="107"/>
      <c r="P298" s="108"/>
    </row>
    <row r="299" spans="1:16" s="106" customFormat="1" x14ac:dyDescent="0.15">
      <c r="A299" s="104"/>
      <c r="B299" s="105"/>
      <c r="F299" s="110"/>
      <c r="G299" s="110"/>
      <c r="M299" s="107"/>
      <c r="P299" s="108"/>
    </row>
    <row r="300" spans="1:16" s="106" customFormat="1" x14ac:dyDescent="0.15">
      <c r="A300" s="104"/>
      <c r="B300" s="105"/>
      <c r="F300" s="110"/>
      <c r="G300" s="110"/>
      <c r="M300" s="107"/>
      <c r="P300" s="108"/>
    </row>
    <row r="301" spans="1:16" s="106" customFormat="1" x14ac:dyDescent="0.15">
      <c r="A301" s="104"/>
      <c r="B301" s="105"/>
      <c r="F301" s="110"/>
      <c r="G301" s="110"/>
      <c r="M301" s="107"/>
      <c r="P301" s="108"/>
    </row>
    <row r="302" spans="1:16" s="106" customFormat="1" x14ac:dyDescent="0.15">
      <c r="A302" s="104"/>
      <c r="B302" s="105"/>
      <c r="F302" s="110"/>
      <c r="G302" s="110"/>
      <c r="M302" s="107"/>
      <c r="P302" s="108"/>
    </row>
    <row r="303" spans="1:16" s="106" customFormat="1" x14ac:dyDescent="0.15">
      <c r="A303" s="104"/>
      <c r="B303" s="105"/>
      <c r="F303" s="110"/>
      <c r="G303" s="110"/>
      <c r="M303" s="107"/>
      <c r="P303" s="108"/>
    </row>
    <row r="304" spans="1:16" s="106" customFormat="1" x14ac:dyDescent="0.15">
      <c r="A304" s="104"/>
      <c r="B304" s="105"/>
      <c r="F304" s="110"/>
      <c r="G304" s="110"/>
      <c r="M304" s="107"/>
      <c r="P304" s="108"/>
    </row>
    <row r="305" spans="1:16" s="106" customFormat="1" x14ac:dyDescent="0.15">
      <c r="A305" s="104"/>
      <c r="B305" s="105"/>
      <c r="F305" s="110"/>
      <c r="G305" s="110"/>
      <c r="M305" s="107"/>
      <c r="P305" s="108"/>
    </row>
    <row r="306" spans="1:16" s="106" customFormat="1" x14ac:dyDescent="0.15">
      <c r="A306" s="104"/>
      <c r="B306" s="105"/>
      <c r="F306" s="110"/>
      <c r="G306" s="110"/>
      <c r="M306" s="107"/>
      <c r="P306" s="108"/>
    </row>
    <row r="307" spans="1:16" s="106" customFormat="1" x14ac:dyDescent="0.15">
      <c r="A307" s="104"/>
      <c r="B307" s="105"/>
      <c r="F307" s="110"/>
      <c r="G307" s="110"/>
      <c r="M307" s="107"/>
      <c r="P307" s="108"/>
    </row>
    <row r="308" spans="1:16" s="106" customFormat="1" x14ac:dyDescent="0.15">
      <c r="A308" s="104"/>
      <c r="B308" s="105"/>
      <c r="F308" s="110"/>
      <c r="G308" s="110"/>
      <c r="M308" s="107"/>
      <c r="P308" s="108"/>
    </row>
    <row r="309" spans="1:16" s="106" customFormat="1" x14ac:dyDescent="0.15">
      <c r="A309" s="104"/>
      <c r="B309" s="105"/>
      <c r="F309" s="110"/>
      <c r="G309" s="110"/>
      <c r="M309" s="107"/>
      <c r="P309" s="108"/>
    </row>
    <row r="310" spans="1:16" s="106" customFormat="1" x14ac:dyDescent="0.15">
      <c r="A310" s="104"/>
      <c r="B310" s="105"/>
      <c r="F310" s="110"/>
      <c r="G310" s="110"/>
      <c r="M310" s="107"/>
      <c r="P310" s="108"/>
    </row>
    <row r="311" spans="1:16" s="106" customFormat="1" x14ac:dyDescent="0.15">
      <c r="A311" s="104"/>
      <c r="B311" s="105"/>
      <c r="F311" s="110"/>
      <c r="G311" s="110"/>
      <c r="M311" s="107"/>
      <c r="P311" s="108"/>
    </row>
    <row r="312" spans="1:16" s="106" customFormat="1" x14ac:dyDescent="0.15">
      <c r="A312" s="104"/>
      <c r="B312" s="105"/>
      <c r="F312" s="110"/>
      <c r="G312" s="110"/>
      <c r="M312" s="107"/>
      <c r="P312" s="108"/>
    </row>
    <row r="313" spans="1:16" s="106" customFormat="1" x14ac:dyDescent="0.15">
      <c r="A313" s="104"/>
      <c r="B313" s="105"/>
      <c r="F313" s="110"/>
      <c r="G313" s="110"/>
      <c r="M313" s="107"/>
      <c r="P313" s="108"/>
    </row>
    <row r="314" spans="1:16" s="106" customFormat="1" x14ac:dyDescent="0.15">
      <c r="A314" s="104"/>
      <c r="B314" s="105"/>
      <c r="F314" s="110"/>
      <c r="G314" s="110"/>
      <c r="M314" s="107"/>
      <c r="P314" s="108"/>
    </row>
    <row r="315" spans="1:16" s="106" customFormat="1" x14ac:dyDescent="0.15">
      <c r="A315" s="104"/>
      <c r="B315" s="105"/>
      <c r="F315" s="110"/>
      <c r="G315" s="110"/>
      <c r="M315" s="107"/>
      <c r="P315" s="108"/>
    </row>
    <row r="316" spans="1:16" s="106" customFormat="1" x14ac:dyDescent="0.15">
      <c r="A316" s="104"/>
      <c r="B316" s="105"/>
      <c r="F316" s="110"/>
      <c r="G316" s="110"/>
      <c r="M316" s="107"/>
      <c r="P316" s="108"/>
    </row>
    <row r="317" spans="1:16" s="106" customFormat="1" x14ac:dyDescent="0.15">
      <c r="A317" s="104"/>
      <c r="B317" s="105"/>
      <c r="F317" s="110"/>
      <c r="G317" s="110"/>
      <c r="M317" s="107"/>
      <c r="P317" s="108"/>
    </row>
    <row r="318" spans="1:16" s="106" customFormat="1" x14ac:dyDescent="0.15">
      <c r="A318" s="104"/>
      <c r="B318" s="105"/>
      <c r="F318" s="110"/>
      <c r="G318" s="110"/>
      <c r="M318" s="107"/>
      <c r="P318" s="108"/>
    </row>
    <row r="319" spans="1:16" s="106" customFormat="1" x14ac:dyDescent="0.15">
      <c r="A319" s="104"/>
      <c r="B319" s="105"/>
      <c r="F319" s="110"/>
      <c r="G319" s="110"/>
      <c r="M319" s="107"/>
      <c r="P319" s="108"/>
    </row>
    <row r="320" spans="1:16" s="106" customFormat="1" x14ac:dyDescent="0.15">
      <c r="A320" s="104"/>
      <c r="B320" s="105"/>
      <c r="F320" s="110"/>
      <c r="G320" s="110"/>
      <c r="M320" s="107"/>
      <c r="P320" s="108"/>
    </row>
    <row r="321" spans="1:16" s="106" customFormat="1" x14ac:dyDescent="0.15">
      <c r="A321" s="104"/>
      <c r="B321" s="105"/>
      <c r="F321" s="110"/>
      <c r="G321" s="110"/>
      <c r="M321" s="107"/>
      <c r="P321" s="108"/>
    </row>
    <row r="322" spans="1:16" s="106" customFormat="1" x14ac:dyDescent="0.15">
      <c r="A322" s="104"/>
      <c r="B322" s="105"/>
      <c r="F322" s="110"/>
      <c r="G322" s="110"/>
      <c r="M322" s="107"/>
      <c r="P322" s="108"/>
    </row>
    <row r="323" spans="1:16" s="106" customFormat="1" x14ac:dyDescent="0.15">
      <c r="A323" s="104"/>
      <c r="B323" s="105"/>
      <c r="F323" s="110"/>
      <c r="G323" s="110"/>
      <c r="M323" s="107"/>
      <c r="P323" s="108"/>
    </row>
    <row r="324" spans="1:16" s="106" customFormat="1" x14ac:dyDescent="0.15">
      <c r="A324" s="104"/>
      <c r="B324" s="105"/>
      <c r="F324" s="110"/>
      <c r="G324" s="110"/>
      <c r="M324" s="107"/>
      <c r="P324" s="108"/>
    </row>
    <row r="325" spans="1:16" s="106" customFormat="1" x14ac:dyDescent="0.15">
      <c r="A325" s="104"/>
      <c r="B325" s="105"/>
      <c r="F325" s="110"/>
      <c r="G325" s="110"/>
      <c r="M325" s="107"/>
      <c r="P325" s="108"/>
    </row>
    <row r="326" spans="1:16" s="106" customFormat="1" x14ac:dyDescent="0.15">
      <c r="A326" s="104"/>
      <c r="B326" s="105"/>
      <c r="F326" s="110"/>
      <c r="G326" s="110"/>
      <c r="M326" s="107"/>
      <c r="P326" s="108"/>
    </row>
    <row r="327" spans="1:16" s="106" customFormat="1" x14ac:dyDescent="0.15">
      <c r="A327" s="104"/>
      <c r="B327" s="105"/>
      <c r="F327" s="110"/>
      <c r="G327" s="110"/>
      <c r="M327" s="107"/>
      <c r="P327" s="108"/>
    </row>
    <row r="328" spans="1:16" s="106" customFormat="1" x14ac:dyDescent="0.15">
      <c r="A328" s="104"/>
      <c r="B328" s="105"/>
      <c r="F328" s="110"/>
      <c r="G328" s="110"/>
      <c r="M328" s="107"/>
      <c r="P328" s="108"/>
    </row>
    <row r="329" spans="1:16" s="106" customFormat="1" x14ac:dyDescent="0.15">
      <c r="A329" s="104"/>
      <c r="B329" s="105"/>
      <c r="F329" s="110"/>
      <c r="G329" s="110"/>
      <c r="M329" s="107"/>
      <c r="P329" s="108"/>
    </row>
    <row r="330" spans="1:16" s="106" customFormat="1" x14ac:dyDescent="0.15">
      <c r="A330" s="104"/>
      <c r="B330" s="105"/>
      <c r="F330" s="110"/>
      <c r="G330" s="110"/>
      <c r="M330" s="107"/>
      <c r="P330" s="108"/>
    </row>
    <row r="331" spans="1:16" s="106" customFormat="1" x14ac:dyDescent="0.15">
      <c r="A331" s="104"/>
      <c r="B331" s="105"/>
      <c r="F331" s="110"/>
      <c r="G331" s="110"/>
      <c r="M331" s="107"/>
      <c r="P331" s="108"/>
    </row>
    <row r="332" spans="1:16" s="106" customFormat="1" x14ac:dyDescent="0.15">
      <c r="A332" s="104"/>
      <c r="B332" s="105"/>
      <c r="F332" s="110"/>
      <c r="G332" s="110"/>
      <c r="M332" s="107"/>
      <c r="P332" s="108"/>
    </row>
    <row r="333" spans="1:16" s="106" customFormat="1" x14ac:dyDescent="0.15">
      <c r="A333" s="104"/>
      <c r="B333" s="105"/>
      <c r="F333" s="110"/>
      <c r="G333" s="110"/>
      <c r="M333" s="107"/>
      <c r="P333" s="108"/>
    </row>
    <row r="334" spans="1:16" s="106" customFormat="1" x14ac:dyDescent="0.15">
      <c r="A334" s="104"/>
      <c r="B334" s="105"/>
      <c r="F334" s="110"/>
      <c r="G334" s="110"/>
      <c r="M334" s="107"/>
      <c r="P334" s="108"/>
    </row>
    <row r="335" spans="1:16" s="106" customFormat="1" x14ac:dyDescent="0.15">
      <c r="A335" s="104"/>
      <c r="B335" s="105"/>
      <c r="F335" s="110"/>
      <c r="G335" s="110"/>
      <c r="M335" s="107"/>
      <c r="P335" s="108"/>
    </row>
    <row r="336" spans="1:16" s="106" customFormat="1" x14ac:dyDescent="0.15">
      <c r="A336" s="104"/>
      <c r="B336" s="105"/>
      <c r="F336" s="110"/>
      <c r="G336" s="110"/>
      <c r="M336" s="107"/>
      <c r="P336" s="108"/>
    </row>
    <row r="337" spans="1:16" s="106" customFormat="1" x14ac:dyDescent="0.15">
      <c r="A337" s="104"/>
      <c r="B337" s="105"/>
      <c r="F337" s="110"/>
      <c r="G337" s="110"/>
      <c r="M337" s="107"/>
      <c r="P337" s="108"/>
    </row>
    <row r="338" spans="1:16" s="106" customFormat="1" x14ac:dyDescent="0.15">
      <c r="A338" s="104"/>
      <c r="B338" s="105"/>
      <c r="F338" s="110"/>
      <c r="G338" s="110"/>
      <c r="M338" s="107"/>
      <c r="P338" s="108"/>
    </row>
    <row r="339" spans="1:16" s="106" customFormat="1" x14ac:dyDescent="0.15">
      <c r="A339" s="104"/>
      <c r="B339" s="105"/>
      <c r="F339" s="110"/>
      <c r="G339" s="110"/>
      <c r="M339" s="107"/>
      <c r="P339" s="108"/>
    </row>
    <row r="340" spans="1:16" s="106" customFormat="1" x14ac:dyDescent="0.15">
      <c r="A340" s="104"/>
      <c r="B340" s="105"/>
      <c r="F340" s="110"/>
      <c r="G340" s="110"/>
      <c r="M340" s="107"/>
      <c r="P340" s="108"/>
    </row>
    <row r="341" spans="1:16" s="106" customFormat="1" x14ac:dyDescent="0.15">
      <c r="A341" s="104"/>
      <c r="B341" s="105"/>
      <c r="F341" s="110"/>
      <c r="G341" s="110"/>
      <c r="M341" s="107"/>
      <c r="P341" s="108"/>
    </row>
    <row r="342" spans="1:16" s="106" customFormat="1" x14ac:dyDescent="0.15">
      <c r="A342" s="104"/>
      <c r="B342" s="105"/>
      <c r="F342" s="110"/>
      <c r="G342" s="110"/>
      <c r="M342" s="107"/>
      <c r="P342" s="108"/>
    </row>
    <row r="343" spans="1:16" s="106" customFormat="1" x14ac:dyDescent="0.15">
      <c r="A343" s="104"/>
      <c r="B343" s="105"/>
      <c r="F343" s="110"/>
      <c r="G343" s="110"/>
      <c r="M343" s="107"/>
      <c r="P343" s="108"/>
    </row>
    <row r="344" spans="1:16" s="106" customFormat="1" x14ac:dyDescent="0.15">
      <c r="A344" s="104"/>
      <c r="B344" s="105"/>
      <c r="F344" s="110"/>
      <c r="G344" s="110"/>
      <c r="M344" s="107"/>
      <c r="P344" s="108"/>
    </row>
    <row r="345" spans="1:16" s="106" customFormat="1" x14ac:dyDescent="0.15">
      <c r="A345" s="104"/>
      <c r="B345" s="105"/>
      <c r="F345" s="110"/>
      <c r="G345" s="110"/>
      <c r="M345" s="107"/>
      <c r="P345" s="108"/>
    </row>
    <row r="346" spans="1:16" s="106" customFormat="1" x14ac:dyDescent="0.15">
      <c r="A346" s="104"/>
      <c r="B346" s="105"/>
      <c r="F346" s="110"/>
      <c r="G346" s="110"/>
      <c r="M346" s="107"/>
      <c r="P346" s="108"/>
    </row>
    <row r="347" spans="1:16" s="106" customFormat="1" x14ac:dyDescent="0.15">
      <c r="A347" s="104"/>
      <c r="B347" s="105"/>
      <c r="F347" s="110"/>
      <c r="G347" s="110"/>
      <c r="M347" s="107"/>
      <c r="P347" s="108"/>
    </row>
    <row r="348" spans="1:16" s="106" customFormat="1" x14ac:dyDescent="0.15">
      <c r="A348" s="104"/>
      <c r="B348" s="105"/>
      <c r="F348" s="110"/>
      <c r="G348" s="110"/>
      <c r="M348" s="107"/>
      <c r="P348" s="108"/>
    </row>
    <row r="349" spans="1:16" s="106" customFormat="1" x14ac:dyDescent="0.15">
      <c r="A349" s="104"/>
      <c r="B349" s="105"/>
      <c r="F349" s="110"/>
      <c r="G349" s="110"/>
      <c r="M349" s="107"/>
      <c r="P349" s="108"/>
    </row>
    <row r="350" spans="1:16" s="106" customFormat="1" x14ac:dyDescent="0.15">
      <c r="A350" s="104"/>
      <c r="B350" s="105"/>
      <c r="F350" s="110"/>
      <c r="G350" s="110"/>
      <c r="M350" s="107"/>
      <c r="P350" s="108"/>
    </row>
    <row r="351" spans="1:16" s="106" customFormat="1" x14ac:dyDescent="0.15">
      <c r="A351" s="104"/>
      <c r="B351" s="105"/>
      <c r="F351" s="110"/>
      <c r="G351" s="110"/>
      <c r="M351" s="107"/>
      <c r="P351" s="108"/>
    </row>
    <row r="352" spans="1:16" s="106" customFormat="1" x14ac:dyDescent="0.15">
      <c r="A352" s="104"/>
      <c r="B352" s="105"/>
      <c r="F352" s="110"/>
      <c r="G352" s="110"/>
      <c r="M352" s="107"/>
      <c r="P352" s="108"/>
    </row>
    <row r="353" spans="1:16" s="106" customFormat="1" x14ac:dyDescent="0.15">
      <c r="A353" s="104"/>
      <c r="B353" s="105"/>
      <c r="F353" s="110"/>
      <c r="G353" s="110"/>
      <c r="M353" s="107"/>
      <c r="P353" s="108"/>
    </row>
    <row r="354" spans="1:16" s="106" customFormat="1" x14ac:dyDescent="0.15">
      <c r="A354" s="104"/>
      <c r="B354" s="105"/>
      <c r="F354" s="110"/>
      <c r="G354" s="110"/>
      <c r="M354" s="107"/>
      <c r="P354" s="108"/>
    </row>
    <row r="355" spans="1:16" s="106" customFormat="1" x14ac:dyDescent="0.15">
      <c r="A355" s="104"/>
      <c r="B355" s="105"/>
      <c r="F355" s="110"/>
      <c r="G355" s="110"/>
      <c r="M355" s="107"/>
      <c r="P355" s="108"/>
    </row>
    <row r="356" spans="1:16" s="106" customFormat="1" x14ac:dyDescent="0.15">
      <c r="A356" s="104"/>
      <c r="B356" s="105"/>
      <c r="F356" s="110"/>
      <c r="G356" s="110"/>
      <c r="M356" s="107"/>
      <c r="P356" s="108"/>
    </row>
    <row r="357" spans="1:16" s="106" customFormat="1" x14ac:dyDescent="0.15">
      <c r="A357" s="104"/>
      <c r="B357" s="105"/>
      <c r="F357" s="110"/>
      <c r="G357" s="110"/>
      <c r="M357" s="107"/>
      <c r="P357" s="108"/>
    </row>
    <row r="358" spans="1:16" s="106" customFormat="1" x14ac:dyDescent="0.15">
      <c r="A358" s="104"/>
      <c r="B358" s="105"/>
      <c r="F358" s="110"/>
      <c r="G358" s="110"/>
      <c r="M358" s="107"/>
      <c r="P358" s="108"/>
    </row>
    <row r="359" spans="1:16" s="106" customFormat="1" x14ac:dyDescent="0.15">
      <c r="A359" s="104"/>
      <c r="B359" s="105"/>
      <c r="F359" s="110"/>
      <c r="G359" s="110"/>
      <c r="M359" s="107"/>
      <c r="P359" s="108"/>
    </row>
    <row r="360" spans="1:16" s="106" customFormat="1" x14ac:dyDescent="0.15">
      <c r="A360" s="104"/>
      <c r="B360" s="105"/>
      <c r="F360" s="110"/>
      <c r="G360" s="110"/>
      <c r="M360" s="107"/>
      <c r="P360" s="108"/>
    </row>
    <row r="361" spans="1:16" s="106" customFormat="1" x14ac:dyDescent="0.15">
      <c r="A361" s="104"/>
      <c r="B361" s="105"/>
      <c r="F361" s="110"/>
      <c r="G361" s="110"/>
      <c r="M361" s="107"/>
      <c r="P361" s="108"/>
    </row>
    <row r="362" spans="1:16" s="106" customFormat="1" x14ac:dyDescent="0.15">
      <c r="A362" s="104"/>
      <c r="B362" s="105"/>
      <c r="F362" s="110"/>
      <c r="G362" s="110"/>
      <c r="M362" s="107"/>
      <c r="P362" s="108"/>
    </row>
    <row r="363" spans="1:16" s="106" customFormat="1" x14ac:dyDescent="0.15">
      <c r="A363" s="104"/>
      <c r="B363" s="105"/>
      <c r="F363" s="110"/>
      <c r="G363" s="110"/>
      <c r="M363" s="107"/>
      <c r="P363" s="108"/>
    </row>
    <row r="364" spans="1:16" s="106" customFormat="1" x14ac:dyDescent="0.15">
      <c r="A364" s="104"/>
      <c r="B364" s="105"/>
      <c r="F364" s="110"/>
      <c r="G364" s="110"/>
      <c r="M364" s="107"/>
      <c r="P364" s="108"/>
    </row>
    <row r="365" spans="1:16" s="106" customFormat="1" x14ac:dyDescent="0.15">
      <c r="A365" s="104"/>
      <c r="B365" s="105"/>
      <c r="F365" s="110"/>
      <c r="G365" s="110"/>
      <c r="M365" s="107"/>
      <c r="P365" s="108"/>
    </row>
    <row r="366" spans="1:16" s="106" customFormat="1" x14ac:dyDescent="0.15">
      <c r="A366" s="104"/>
      <c r="B366" s="105"/>
      <c r="F366" s="110"/>
      <c r="G366" s="110"/>
      <c r="M366" s="107"/>
      <c r="P366" s="108"/>
    </row>
    <row r="367" spans="1:16" s="106" customFormat="1" x14ac:dyDescent="0.15">
      <c r="A367" s="104"/>
      <c r="B367" s="105"/>
      <c r="F367" s="110"/>
      <c r="G367" s="110"/>
      <c r="M367" s="107"/>
      <c r="P367" s="108"/>
    </row>
    <row r="368" spans="1:16" s="106" customFormat="1" x14ac:dyDescent="0.15">
      <c r="A368" s="104"/>
      <c r="B368" s="105"/>
      <c r="F368" s="110"/>
      <c r="G368" s="110"/>
      <c r="M368" s="107"/>
      <c r="P368" s="108"/>
    </row>
    <row r="369" spans="1:16" s="106" customFormat="1" x14ac:dyDescent="0.15">
      <c r="A369" s="104"/>
      <c r="B369" s="105"/>
      <c r="F369" s="110"/>
      <c r="G369" s="110"/>
      <c r="M369" s="107"/>
      <c r="P369" s="108"/>
    </row>
    <row r="370" spans="1:16" s="106" customFormat="1" x14ac:dyDescent="0.15">
      <c r="A370" s="104"/>
      <c r="B370" s="105"/>
      <c r="F370" s="110"/>
      <c r="G370" s="110"/>
      <c r="M370" s="107"/>
      <c r="P370" s="108"/>
    </row>
    <row r="371" spans="1:16" s="106" customFormat="1" x14ac:dyDescent="0.15">
      <c r="A371" s="104"/>
      <c r="B371" s="105"/>
      <c r="F371" s="110"/>
      <c r="G371" s="110"/>
      <c r="M371" s="107"/>
      <c r="P371" s="108"/>
    </row>
    <row r="372" spans="1:16" s="106" customFormat="1" x14ac:dyDescent="0.15">
      <c r="A372" s="104"/>
      <c r="B372" s="105"/>
      <c r="F372" s="110"/>
      <c r="G372" s="110"/>
      <c r="M372" s="107"/>
      <c r="P372" s="108"/>
    </row>
    <row r="373" spans="1:16" s="106" customFormat="1" x14ac:dyDescent="0.15">
      <c r="A373" s="104"/>
      <c r="B373" s="105"/>
      <c r="F373" s="110"/>
      <c r="G373" s="110"/>
      <c r="M373" s="107"/>
      <c r="P373" s="108"/>
    </row>
    <row r="374" spans="1:16" s="106" customFormat="1" x14ac:dyDescent="0.15">
      <c r="A374" s="104"/>
      <c r="B374" s="105"/>
      <c r="F374" s="110"/>
      <c r="G374" s="110"/>
      <c r="M374" s="107"/>
      <c r="P374" s="108"/>
    </row>
    <row r="375" spans="1:16" s="106" customFormat="1" x14ac:dyDescent="0.15">
      <c r="A375" s="104"/>
      <c r="B375" s="105"/>
      <c r="F375" s="110"/>
      <c r="G375" s="110"/>
      <c r="M375" s="107"/>
      <c r="P375" s="108"/>
    </row>
    <row r="376" spans="1:16" s="106" customFormat="1" x14ac:dyDescent="0.15">
      <c r="A376" s="104"/>
      <c r="B376" s="105"/>
      <c r="F376" s="110"/>
      <c r="G376" s="110"/>
      <c r="M376" s="107"/>
      <c r="P376" s="108"/>
    </row>
    <row r="377" spans="1:16" s="106" customFormat="1" x14ac:dyDescent="0.15">
      <c r="A377" s="104"/>
      <c r="B377" s="105"/>
      <c r="F377" s="110"/>
      <c r="G377" s="110"/>
      <c r="M377" s="107"/>
      <c r="P377" s="108"/>
    </row>
    <row r="378" spans="1:16" s="106" customFormat="1" x14ac:dyDescent="0.15">
      <c r="A378" s="104"/>
      <c r="B378" s="105"/>
      <c r="F378" s="110"/>
      <c r="G378" s="110"/>
      <c r="M378" s="107"/>
      <c r="P378" s="108"/>
    </row>
    <row r="379" spans="1:16" s="106" customFormat="1" x14ac:dyDescent="0.15">
      <c r="A379" s="104"/>
      <c r="B379" s="105"/>
      <c r="F379" s="110"/>
      <c r="G379" s="110"/>
      <c r="M379" s="107"/>
      <c r="P379" s="108"/>
    </row>
    <row r="380" spans="1:16" s="106" customFormat="1" x14ac:dyDescent="0.15">
      <c r="A380" s="104"/>
      <c r="B380" s="105"/>
      <c r="F380" s="110"/>
      <c r="G380" s="110"/>
      <c r="M380" s="107"/>
      <c r="P380" s="108"/>
    </row>
    <row r="381" spans="1:16" s="106" customFormat="1" x14ac:dyDescent="0.15">
      <c r="A381" s="104"/>
      <c r="B381" s="105"/>
      <c r="F381" s="110"/>
      <c r="G381" s="110"/>
      <c r="M381" s="107"/>
      <c r="P381" s="108"/>
    </row>
    <row r="382" spans="1:16" s="106" customFormat="1" x14ac:dyDescent="0.15">
      <c r="A382" s="104"/>
      <c r="B382" s="105"/>
      <c r="F382" s="110"/>
      <c r="G382" s="110"/>
      <c r="M382" s="107"/>
      <c r="P382" s="108"/>
    </row>
    <row r="383" spans="1:16" s="106" customFormat="1" x14ac:dyDescent="0.15">
      <c r="A383" s="104"/>
      <c r="B383" s="105"/>
      <c r="F383" s="110"/>
      <c r="G383" s="110"/>
      <c r="M383" s="107"/>
      <c r="P383" s="108"/>
    </row>
    <row r="384" spans="1:16" s="106" customFormat="1" x14ac:dyDescent="0.15">
      <c r="A384" s="104"/>
      <c r="B384" s="105"/>
      <c r="F384" s="110"/>
      <c r="G384" s="110"/>
      <c r="M384" s="107"/>
      <c r="P384" s="108"/>
    </row>
    <row r="385" spans="1:16" s="106" customFormat="1" x14ac:dyDescent="0.15">
      <c r="A385" s="104"/>
      <c r="B385" s="105"/>
      <c r="F385" s="110"/>
      <c r="G385" s="110"/>
      <c r="M385" s="107"/>
      <c r="P385" s="108"/>
    </row>
    <row r="386" spans="1:16" s="106" customFormat="1" x14ac:dyDescent="0.15">
      <c r="A386" s="104"/>
      <c r="B386" s="105"/>
      <c r="F386" s="110"/>
      <c r="G386" s="110"/>
      <c r="M386" s="107"/>
      <c r="P386" s="108"/>
    </row>
    <row r="387" spans="1:16" s="106" customFormat="1" x14ac:dyDescent="0.15">
      <c r="A387" s="104"/>
      <c r="B387" s="105"/>
      <c r="F387" s="110"/>
      <c r="G387" s="110"/>
      <c r="M387" s="107"/>
      <c r="P387" s="108"/>
    </row>
    <row r="388" spans="1:16" s="106" customFormat="1" x14ac:dyDescent="0.15">
      <c r="A388" s="104"/>
      <c r="B388" s="105"/>
      <c r="F388" s="110"/>
      <c r="G388" s="110"/>
      <c r="M388" s="107"/>
      <c r="P388" s="108"/>
    </row>
    <row r="389" spans="1:16" s="106" customFormat="1" x14ac:dyDescent="0.15">
      <c r="A389" s="104"/>
      <c r="B389" s="105"/>
      <c r="F389" s="110"/>
      <c r="G389" s="110"/>
      <c r="M389" s="107"/>
      <c r="P389" s="108"/>
    </row>
    <row r="390" spans="1:16" s="106" customFormat="1" x14ac:dyDescent="0.15">
      <c r="A390" s="104"/>
      <c r="B390" s="105"/>
      <c r="F390" s="110"/>
      <c r="G390" s="110"/>
      <c r="M390" s="107"/>
      <c r="P390" s="108"/>
    </row>
    <row r="391" spans="1:16" s="106" customFormat="1" x14ac:dyDescent="0.15">
      <c r="A391" s="104"/>
      <c r="B391" s="105"/>
      <c r="F391" s="110"/>
      <c r="G391" s="110"/>
      <c r="M391" s="107"/>
      <c r="P391" s="108"/>
    </row>
    <row r="392" spans="1:16" s="106" customFormat="1" x14ac:dyDescent="0.15">
      <c r="A392" s="104"/>
      <c r="B392" s="105"/>
      <c r="F392" s="110"/>
      <c r="G392" s="110"/>
      <c r="M392" s="107"/>
      <c r="P392" s="108"/>
    </row>
    <row r="393" spans="1:16" s="106" customFormat="1" x14ac:dyDescent="0.15">
      <c r="A393" s="104"/>
      <c r="B393" s="105"/>
      <c r="F393" s="110"/>
      <c r="G393" s="110"/>
      <c r="M393" s="107"/>
      <c r="P393" s="108"/>
    </row>
    <row r="394" spans="1:16" s="106" customFormat="1" x14ac:dyDescent="0.15">
      <c r="A394" s="104"/>
      <c r="B394" s="105"/>
      <c r="F394" s="110"/>
      <c r="G394" s="110"/>
      <c r="M394" s="107"/>
      <c r="P394" s="108"/>
    </row>
    <row r="395" spans="1:16" s="106" customFormat="1" x14ac:dyDescent="0.15">
      <c r="A395" s="104"/>
      <c r="B395" s="105"/>
      <c r="F395" s="110"/>
      <c r="G395" s="110"/>
      <c r="M395" s="107"/>
      <c r="P395" s="108"/>
    </row>
    <row r="396" spans="1:16" s="106" customFormat="1" x14ac:dyDescent="0.15">
      <c r="A396" s="104"/>
      <c r="B396" s="105"/>
      <c r="F396" s="110"/>
      <c r="G396" s="110"/>
      <c r="M396" s="107"/>
      <c r="P396" s="108"/>
    </row>
    <row r="397" spans="1:16" s="106" customFormat="1" x14ac:dyDescent="0.15">
      <c r="A397" s="104"/>
      <c r="B397" s="105"/>
      <c r="F397" s="110"/>
      <c r="G397" s="110"/>
      <c r="M397" s="107"/>
      <c r="P397" s="108"/>
    </row>
    <row r="398" spans="1:16" s="106" customFormat="1" x14ac:dyDescent="0.15">
      <c r="A398" s="104"/>
      <c r="B398" s="105"/>
      <c r="F398" s="110"/>
      <c r="G398" s="110"/>
      <c r="M398" s="107"/>
      <c r="P398" s="108"/>
    </row>
    <row r="399" spans="1:16" s="106" customFormat="1" x14ac:dyDescent="0.15">
      <c r="A399" s="104"/>
      <c r="B399" s="105"/>
      <c r="F399" s="110"/>
      <c r="G399" s="110"/>
      <c r="M399" s="107"/>
      <c r="P399" s="108"/>
    </row>
    <row r="400" spans="1:16" s="106" customFormat="1" x14ac:dyDescent="0.15">
      <c r="A400" s="104"/>
      <c r="B400" s="105"/>
      <c r="F400" s="110"/>
      <c r="G400" s="110"/>
      <c r="M400" s="107"/>
      <c r="P400" s="108"/>
    </row>
    <row r="401" spans="1:16" s="106" customFormat="1" x14ac:dyDescent="0.15">
      <c r="A401" s="104"/>
      <c r="B401" s="105"/>
      <c r="F401" s="110"/>
      <c r="G401" s="110"/>
      <c r="M401" s="107"/>
      <c r="P401" s="108"/>
    </row>
    <row r="402" spans="1:16" s="106" customFormat="1" x14ac:dyDescent="0.15">
      <c r="A402" s="104"/>
      <c r="B402" s="105"/>
      <c r="F402" s="110"/>
      <c r="G402" s="110"/>
      <c r="M402" s="107"/>
      <c r="P402" s="108"/>
    </row>
    <row r="403" spans="1:16" s="106" customFormat="1" x14ac:dyDescent="0.15">
      <c r="A403" s="104"/>
      <c r="B403" s="105"/>
      <c r="F403" s="110"/>
      <c r="G403" s="110"/>
      <c r="M403" s="107"/>
      <c r="P403" s="108"/>
    </row>
    <row r="404" spans="1:16" s="106" customFormat="1" x14ac:dyDescent="0.15">
      <c r="A404" s="104"/>
      <c r="B404" s="105"/>
      <c r="F404" s="110"/>
      <c r="G404" s="110"/>
      <c r="M404" s="107"/>
      <c r="P404" s="108"/>
    </row>
    <row r="405" spans="1:16" s="106" customFormat="1" x14ac:dyDescent="0.15">
      <c r="A405" s="104"/>
      <c r="B405" s="105"/>
      <c r="F405" s="110"/>
      <c r="G405" s="110"/>
      <c r="M405" s="107"/>
      <c r="P405" s="108"/>
    </row>
    <row r="406" spans="1:16" s="106" customFormat="1" x14ac:dyDescent="0.15">
      <c r="A406" s="104"/>
      <c r="B406" s="105"/>
      <c r="F406" s="110"/>
      <c r="G406" s="110"/>
      <c r="M406" s="107"/>
      <c r="P406" s="108"/>
    </row>
    <row r="407" spans="1:16" s="106" customFormat="1" x14ac:dyDescent="0.15">
      <c r="A407" s="104"/>
      <c r="B407" s="105"/>
      <c r="F407" s="110"/>
      <c r="G407" s="110"/>
      <c r="M407" s="107"/>
      <c r="P407" s="108"/>
    </row>
    <row r="408" spans="1:16" s="106" customFormat="1" x14ac:dyDescent="0.15">
      <c r="A408" s="104"/>
      <c r="B408" s="105"/>
      <c r="F408" s="110"/>
      <c r="G408" s="110"/>
      <c r="M408" s="107"/>
      <c r="P408" s="108"/>
    </row>
    <row r="409" spans="1:16" s="106" customFormat="1" x14ac:dyDescent="0.15">
      <c r="A409" s="104"/>
      <c r="B409" s="105"/>
      <c r="F409" s="110"/>
      <c r="G409" s="110"/>
      <c r="M409" s="107"/>
      <c r="P409" s="108"/>
    </row>
    <row r="410" spans="1:16" s="106" customFormat="1" x14ac:dyDescent="0.15">
      <c r="A410" s="104"/>
      <c r="B410" s="105"/>
      <c r="F410" s="110"/>
      <c r="G410" s="110"/>
      <c r="M410" s="107"/>
      <c r="P410" s="108"/>
    </row>
    <row r="411" spans="1:16" s="106" customFormat="1" x14ac:dyDescent="0.15">
      <c r="A411" s="104"/>
      <c r="B411" s="105"/>
      <c r="F411" s="110"/>
      <c r="G411" s="110"/>
      <c r="M411" s="107"/>
      <c r="P411" s="108"/>
    </row>
    <row r="412" spans="1:16" s="106" customFormat="1" x14ac:dyDescent="0.15">
      <c r="A412" s="104"/>
      <c r="B412" s="105"/>
      <c r="F412" s="110"/>
      <c r="G412" s="110"/>
      <c r="M412" s="107"/>
      <c r="P412" s="108"/>
    </row>
    <row r="413" spans="1:16" s="106" customFormat="1" x14ac:dyDescent="0.15">
      <c r="A413" s="104"/>
      <c r="B413" s="105"/>
      <c r="F413" s="110"/>
      <c r="G413" s="110"/>
      <c r="M413" s="107"/>
      <c r="P413" s="108"/>
    </row>
    <row r="414" spans="1:16" s="106" customFormat="1" x14ac:dyDescent="0.15">
      <c r="A414" s="104"/>
      <c r="B414" s="105"/>
      <c r="F414" s="110"/>
      <c r="G414" s="110"/>
      <c r="M414" s="107"/>
      <c r="P414" s="108"/>
    </row>
    <row r="415" spans="1:16" s="106" customFormat="1" x14ac:dyDescent="0.15">
      <c r="A415" s="104"/>
      <c r="B415" s="105"/>
      <c r="F415" s="110"/>
      <c r="G415" s="110"/>
      <c r="M415" s="107"/>
      <c r="P415" s="108"/>
    </row>
    <row r="416" spans="1:16" s="106" customFormat="1" x14ac:dyDescent="0.15">
      <c r="A416" s="104"/>
      <c r="B416" s="105"/>
      <c r="F416" s="110"/>
      <c r="G416" s="110"/>
      <c r="M416" s="107"/>
      <c r="P416" s="108"/>
    </row>
    <row r="417" spans="1:16" s="106" customFormat="1" x14ac:dyDescent="0.15">
      <c r="A417" s="104"/>
      <c r="B417" s="105"/>
      <c r="F417" s="110"/>
      <c r="G417" s="110"/>
      <c r="M417" s="107"/>
      <c r="P417" s="108"/>
    </row>
    <row r="418" spans="1:16" s="106" customFormat="1" x14ac:dyDescent="0.15">
      <c r="A418" s="104"/>
      <c r="B418" s="105"/>
      <c r="F418" s="110"/>
      <c r="G418" s="110"/>
      <c r="M418" s="107"/>
      <c r="P418" s="108"/>
    </row>
    <row r="419" spans="1:16" s="106" customFormat="1" x14ac:dyDescent="0.15">
      <c r="A419" s="104"/>
      <c r="B419" s="105"/>
      <c r="F419" s="110"/>
      <c r="G419" s="110"/>
      <c r="M419" s="107"/>
      <c r="P419" s="108"/>
    </row>
    <row r="420" spans="1:16" s="106" customFormat="1" x14ac:dyDescent="0.15">
      <c r="A420" s="104"/>
      <c r="B420" s="105"/>
      <c r="F420" s="110"/>
      <c r="G420" s="110"/>
      <c r="M420" s="107"/>
      <c r="P420" s="108"/>
    </row>
    <row r="421" spans="1:16" s="106" customFormat="1" x14ac:dyDescent="0.15">
      <c r="A421" s="104"/>
      <c r="B421" s="105"/>
      <c r="F421" s="110"/>
      <c r="G421" s="110"/>
      <c r="M421" s="107"/>
      <c r="P421" s="108"/>
    </row>
    <row r="422" spans="1:16" s="106" customFormat="1" x14ac:dyDescent="0.15">
      <c r="A422" s="104"/>
      <c r="B422" s="105"/>
      <c r="F422" s="110"/>
      <c r="G422" s="110"/>
      <c r="M422" s="107"/>
      <c r="P422" s="108"/>
    </row>
    <row r="423" spans="1:16" s="106" customFormat="1" x14ac:dyDescent="0.15">
      <c r="A423" s="104"/>
      <c r="B423" s="105"/>
      <c r="F423" s="110"/>
      <c r="G423" s="110"/>
      <c r="M423" s="107"/>
      <c r="P423" s="108"/>
    </row>
    <row r="424" spans="1:16" s="106" customFormat="1" x14ac:dyDescent="0.15">
      <c r="A424" s="104"/>
      <c r="B424" s="105"/>
      <c r="F424" s="110"/>
      <c r="G424" s="110"/>
      <c r="M424" s="107"/>
      <c r="P424" s="108"/>
    </row>
    <row r="425" spans="1:16" s="106" customFormat="1" x14ac:dyDescent="0.15">
      <c r="A425" s="104"/>
      <c r="B425" s="105"/>
      <c r="F425" s="110"/>
      <c r="G425" s="110"/>
      <c r="M425" s="107"/>
      <c r="P425" s="108"/>
    </row>
    <row r="426" spans="1:16" s="106" customFormat="1" x14ac:dyDescent="0.15">
      <c r="A426" s="104"/>
      <c r="B426" s="105"/>
      <c r="F426" s="110"/>
      <c r="G426" s="110"/>
      <c r="M426" s="107"/>
      <c r="P426" s="108"/>
    </row>
    <row r="427" spans="1:16" s="106" customFormat="1" x14ac:dyDescent="0.15">
      <c r="A427" s="104"/>
      <c r="B427" s="105"/>
      <c r="F427" s="110"/>
      <c r="G427" s="110"/>
      <c r="M427" s="107"/>
      <c r="P427" s="108"/>
    </row>
    <row r="428" spans="1:16" s="106" customFormat="1" x14ac:dyDescent="0.15">
      <c r="A428" s="104"/>
      <c r="B428" s="105"/>
      <c r="F428" s="110"/>
      <c r="G428" s="110"/>
      <c r="M428" s="107"/>
      <c r="P428" s="108"/>
    </row>
    <row r="429" spans="1:16" s="106" customFormat="1" x14ac:dyDescent="0.15">
      <c r="A429" s="104"/>
      <c r="B429" s="105"/>
      <c r="F429" s="110"/>
      <c r="G429" s="110"/>
      <c r="M429" s="107"/>
      <c r="P429" s="108"/>
    </row>
    <row r="430" spans="1:16" s="106" customFormat="1" x14ac:dyDescent="0.15">
      <c r="A430" s="104"/>
      <c r="B430" s="105"/>
      <c r="F430" s="110"/>
      <c r="G430" s="110"/>
      <c r="M430" s="107"/>
      <c r="P430" s="108"/>
    </row>
    <row r="431" spans="1:16" s="106" customFormat="1" x14ac:dyDescent="0.15">
      <c r="A431" s="104"/>
      <c r="B431" s="105"/>
      <c r="F431" s="110"/>
      <c r="G431" s="110"/>
      <c r="M431" s="107"/>
      <c r="P431" s="108"/>
    </row>
    <row r="432" spans="1:16" s="106" customFormat="1" x14ac:dyDescent="0.15">
      <c r="A432" s="104"/>
      <c r="B432" s="105"/>
      <c r="F432" s="110"/>
      <c r="G432" s="110"/>
      <c r="M432" s="107"/>
      <c r="P432" s="108"/>
    </row>
    <row r="433" spans="1:16" s="106" customFormat="1" x14ac:dyDescent="0.15">
      <c r="A433" s="104"/>
      <c r="B433" s="105"/>
      <c r="F433" s="110"/>
      <c r="G433" s="110"/>
      <c r="M433" s="107"/>
      <c r="P433" s="108"/>
    </row>
    <row r="434" spans="1:16" s="106" customFormat="1" x14ac:dyDescent="0.15">
      <c r="A434" s="104"/>
      <c r="B434" s="105"/>
      <c r="F434" s="110"/>
      <c r="G434" s="110"/>
      <c r="M434" s="107"/>
      <c r="P434" s="108"/>
    </row>
    <row r="435" spans="1:16" s="106" customFormat="1" x14ac:dyDescent="0.15">
      <c r="A435" s="104"/>
      <c r="B435" s="105"/>
      <c r="F435" s="110"/>
      <c r="G435" s="110"/>
      <c r="M435" s="107"/>
      <c r="P435" s="108"/>
    </row>
    <row r="436" spans="1:16" s="106" customFormat="1" x14ac:dyDescent="0.15">
      <c r="A436" s="104"/>
      <c r="B436" s="105"/>
      <c r="F436" s="110"/>
      <c r="G436" s="110"/>
      <c r="M436" s="107"/>
      <c r="P436" s="108"/>
    </row>
    <row r="437" spans="1:16" s="106" customFormat="1" x14ac:dyDescent="0.15">
      <c r="A437" s="104"/>
      <c r="B437" s="105"/>
      <c r="F437" s="110"/>
      <c r="G437" s="110"/>
      <c r="M437" s="107"/>
      <c r="P437" s="108"/>
    </row>
    <row r="438" spans="1:16" s="106" customFormat="1" x14ac:dyDescent="0.15">
      <c r="A438" s="104"/>
      <c r="B438" s="105"/>
      <c r="F438" s="110"/>
      <c r="G438" s="110"/>
      <c r="M438" s="107"/>
      <c r="P438" s="108"/>
    </row>
    <row r="439" spans="1:16" s="106" customFormat="1" x14ac:dyDescent="0.15">
      <c r="A439" s="104"/>
      <c r="B439" s="105"/>
      <c r="F439" s="110"/>
      <c r="G439" s="110"/>
      <c r="M439" s="107"/>
      <c r="P439" s="108"/>
    </row>
    <row r="440" spans="1:16" s="106" customFormat="1" x14ac:dyDescent="0.15">
      <c r="A440" s="104"/>
      <c r="B440" s="105"/>
      <c r="F440" s="110"/>
      <c r="G440" s="110"/>
      <c r="M440" s="107"/>
      <c r="P440" s="108"/>
    </row>
    <row r="441" spans="1:16" s="106" customFormat="1" x14ac:dyDescent="0.15">
      <c r="A441" s="104"/>
      <c r="B441" s="105"/>
      <c r="F441" s="110"/>
      <c r="G441" s="110"/>
      <c r="M441" s="107"/>
      <c r="P441" s="108"/>
    </row>
    <row r="442" spans="1:16" s="106" customFormat="1" x14ac:dyDescent="0.15">
      <c r="A442" s="104"/>
      <c r="B442" s="105"/>
      <c r="F442" s="110"/>
      <c r="G442" s="110"/>
      <c r="M442" s="107"/>
      <c r="P442" s="108"/>
    </row>
    <row r="443" spans="1:16" s="106" customFormat="1" x14ac:dyDescent="0.15">
      <c r="A443" s="104"/>
      <c r="B443" s="105"/>
      <c r="F443" s="110"/>
      <c r="G443" s="110"/>
      <c r="M443" s="107"/>
      <c r="P443" s="108"/>
    </row>
    <row r="444" spans="1:16" s="106" customFormat="1" x14ac:dyDescent="0.15">
      <c r="A444" s="104"/>
      <c r="B444" s="105"/>
      <c r="F444" s="110"/>
      <c r="G444" s="110"/>
      <c r="M444" s="107"/>
      <c r="P444" s="108"/>
    </row>
    <row r="445" spans="1:16" s="106" customFormat="1" x14ac:dyDescent="0.15">
      <c r="A445" s="104"/>
      <c r="B445" s="105"/>
      <c r="F445" s="110"/>
      <c r="G445" s="110"/>
      <c r="M445" s="107"/>
      <c r="P445" s="108"/>
    </row>
    <row r="446" spans="1:16" s="106" customFormat="1" x14ac:dyDescent="0.15">
      <c r="A446" s="104"/>
      <c r="B446" s="105"/>
      <c r="F446" s="110"/>
      <c r="G446" s="110"/>
      <c r="M446" s="107"/>
      <c r="P446" s="108"/>
    </row>
    <row r="447" spans="1:16" s="106" customFormat="1" x14ac:dyDescent="0.15">
      <c r="A447" s="104"/>
      <c r="B447" s="105"/>
      <c r="F447" s="110"/>
      <c r="G447" s="110"/>
      <c r="M447" s="107"/>
      <c r="P447" s="108"/>
    </row>
    <row r="448" spans="1:16" s="106" customFormat="1" x14ac:dyDescent="0.15">
      <c r="A448" s="104"/>
      <c r="B448" s="105"/>
      <c r="F448" s="110"/>
      <c r="G448" s="110"/>
      <c r="M448" s="107"/>
      <c r="P448" s="108"/>
    </row>
    <row r="449" spans="1:16" s="106" customFormat="1" x14ac:dyDescent="0.15">
      <c r="A449" s="104"/>
      <c r="B449" s="105"/>
      <c r="F449" s="110"/>
      <c r="G449" s="110"/>
      <c r="M449" s="107"/>
      <c r="P449" s="108"/>
    </row>
    <row r="450" spans="1:16" s="106" customFormat="1" x14ac:dyDescent="0.15">
      <c r="A450" s="104"/>
      <c r="B450" s="105"/>
      <c r="F450" s="110"/>
      <c r="G450" s="110"/>
      <c r="M450" s="107"/>
      <c r="P450" s="108"/>
    </row>
    <row r="451" spans="1:16" s="106" customFormat="1" x14ac:dyDescent="0.15">
      <c r="A451" s="104"/>
      <c r="B451" s="105"/>
      <c r="F451" s="110"/>
      <c r="G451" s="110"/>
      <c r="M451" s="107"/>
      <c r="P451" s="108"/>
    </row>
    <row r="452" spans="1:16" s="106" customFormat="1" x14ac:dyDescent="0.15">
      <c r="A452" s="104"/>
      <c r="B452" s="105"/>
      <c r="F452" s="110"/>
      <c r="G452" s="110"/>
      <c r="M452" s="107"/>
      <c r="P452" s="108"/>
    </row>
    <row r="453" spans="1:16" s="106" customFormat="1" x14ac:dyDescent="0.15">
      <c r="A453" s="104"/>
      <c r="B453" s="105"/>
      <c r="F453" s="110"/>
      <c r="G453" s="110"/>
      <c r="M453" s="107"/>
      <c r="P453" s="108"/>
    </row>
    <row r="454" spans="1:16" s="106" customFormat="1" x14ac:dyDescent="0.15">
      <c r="A454" s="104"/>
      <c r="B454" s="105"/>
      <c r="F454" s="110"/>
      <c r="G454" s="110"/>
      <c r="M454" s="107"/>
      <c r="P454" s="108"/>
    </row>
    <row r="455" spans="1:16" s="106" customFormat="1" x14ac:dyDescent="0.15">
      <c r="A455" s="104"/>
      <c r="B455" s="105"/>
      <c r="F455" s="110"/>
      <c r="G455" s="110"/>
      <c r="M455" s="107"/>
      <c r="P455" s="108"/>
    </row>
    <row r="456" spans="1:16" s="106" customFormat="1" x14ac:dyDescent="0.15">
      <c r="A456" s="104"/>
      <c r="B456" s="105"/>
      <c r="F456" s="110"/>
      <c r="G456" s="110"/>
      <c r="M456" s="107"/>
      <c r="P456" s="108"/>
    </row>
    <row r="457" spans="1:16" s="106" customFormat="1" x14ac:dyDescent="0.15">
      <c r="A457" s="104"/>
      <c r="B457" s="105"/>
      <c r="F457" s="110"/>
      <c r="G457" s="110"/>
      <c r="M457" s="107"/>
      <c r="P457" s="108"/>
    </row>
    <row r="458" spans="1:16" s="106" customFormat="1" x14ac:dyDescent="0.15">
      <c r="A458" s="104"/>
      <c r="B458" s="105"/>
      <c r="F458" s="110"/>
      <c r="G458" s="110"/>
      <c r="M458" s="107"/>
      <c r="P458" s="108"/>
    </row>
    <row r="459" spans="1:16" s="106" customFormat="1" x14ac:dyDescent="0.15">
      <c r="A459" s="104"/>
      <c r="B459" s="105"/>
      <c r="F459" s="110"/>
      <c r="G459" s="110"/>
      <c r="M459" s="107"/>
      <c r="P459" s="108"/>
    </row>
    <row r="460" spans="1:16" s="106" customFormat="1" x14ac:dyDescent="0.15">
      <c r="A460" s="104"/>
      <c r="B460" s="105"/>
      <c r="F460" s="110"/>
      <c r="G460" s="110"/>
      <c r="M460" s="107"/>
      <c r="P460" s="108"/>
    </row>
    <row r="461" spans="1:16" s="106" customFormat="1" x14ac:dyDescent="0.15">
      <c r="A461" s="104"/>
      <c r="B461" s="105"/>
      <c r="F461" s="110"/>
      <c r="G461" s="110"/>
      <c r="M461" s="107"/>
      <c r="P461" s="108"/>
    </row>
    <row r="462" spans="1:16" s="106" customFormat="1" x14ac:dyDescent="0.15">
      <c r="A462" s="104"/>
      <c r="B462" s="105"/>
      <c r="F462" s="110"/>
      <c r="G462" s="110"/>
      <c r="M462" s="107"/>
      <c r="P462" s="108"/>
    </row>
    <row r="463" spans="1:16" s="106" customFormat="1" x14ac:dyDescent="0.15">
      <c r="A463" s="104"/>
      <c r="B463" s="105"/>
      <c r="F463" s="110"/>
      <c r="G463" s="110"/>
      <c r="M463" s="107"/>
      <c r="P463" s="108"/>
    </row>
    <row r="464" spans="1:16" s="106" customFormat="1" x14ac:dyDescent="0.15">
      <c r="A464" s="104"/>
      <c r="B464" s="105"/>
      <c r="F464" s="110"/>
      <c r="G464" s="110"/>
      <c r="M464" s="107"/>
      <c r="P464" s="108"/>
    </row>
    <row r="465" spans="1:16" s="106" customFormat="1" x14ac:dyDescent="0.15">
      <c r="A465" s="104"/>
      <c r="B465" s="105"/>
      <c r="F465" s="110"/>
      <c r="G465" s="110"/>
      <c r="M465" s="107"/>
      <c r="P465" s="108"/>
    </row>
    <row r="466" spans="1:16" s="106" customFormat="1" x14ac:dyDescent="0.15">
      <c r="A466" s="104"/>
      <c r="B466" s="105"/>
      <c r="F466" s="110"/>
      <c r="G466" s="110"/>
      <c r="M466" s="107"/>
      <c r="P466" s="108"/>
    </row>
    <row r="467" spans="1:16" s="106" customFormat="1" x14ac:dyDescent="0.15">
      <c r="A467" s="104"/>
      <c r="B467" s="105"/>
      <c r="F467" s="110"/>
      <c r="G467" s="110"/>
      <c r="M467" s="107"/>
      <c r="P467" s="108"/>
    </row>
    <row r="468" spans="1:16" s="106" customFormat="1" x14ac:dyDescent="0.15">
      <c r="A468" s="104"/>
      <c r="B468" s="105"/>
      <c r="F468" s="110"/>
      <c r="G468" s="110"/>
      <c r="M468" s="107"/>
      <c r="P468" s="108"/>
    </row>
    <row r="469" spans="1:16" x14ac:dyDescent="0.15">
      <c r="F469" s="111"/>
      <c r="G469" s="111"/>
    </row>
    <row r="470" spans="1:16" x14ac:dyDescent="0.15">
      <c r="F470" s="111"/>
      <c r="G470" s="111"/>
    </row>
    <row r="471" spans="1:16" x14ac:dyDescent="0.15">
      <c r="F471" s="111"/>
      <c r="G471" s="111"/>
    </row>
    <row r="472" spans="1:16" x14ac:dyDescent="0.15">
      <c r="F472" s="111"/>
      <c r="G472" s="111"/>
    </row>
    <row r="473" spans="1:16" x14ac:dyDescent="0.15">
      <c r="F473" s="111"/>
      <c r="G473" s="111"/>
    </row>
    <row r="474" spans="1:16" x14ac:dyDescent="0.15">
      <c r="F474" s="111"/>
      <c r="G474" s="111"/>
    </row>
    <row r="475" spans="1:16" x14ac:dyDescent="0.15">
      <c r="F475" s="111"/>
      <c r="G475" s="111"/>
    </row>
    <row r="476" spans="1:16" x14ac:dyDescent="0.15">
      <c r="F476" s="111"/>
      <c r="G476" s="111"/>
    </row>
    <row r="477" spans="1:16" x14ac:dyDescent="0.15">
      <c r="F477" s="111"/>
      <c r="G477" s="111"/>
    </row>
    <row r="478" spans="1:16" x14ac:dyDescent="0.15">
      <c r="F478" s="111"/>
      <c r="G478" s="111"/>
    </row>
    <row r="479" spans="1:16" x14ac:dyDescent="0.15">
      <c r="F479" s="111"/>
      <c r="G479" s="111"/>
    </row>
    <row r="480" spans="1:16" x14ac:dyDescent="0.15">
      <c r="F480" s="111"/>
      <c r="G480" s="111"/>
    </row>
    <row r="481" spans="6:7" x14ac:dyDescent="0.15">
      <c r="F481" s="111"/>
      <c r="G481" s="111"/>
    </row>
    <row r="482" spans="6:7" x14ac:dyDescent="0.15">
      <c r="F482" s="111"/>
      <c r="G482" s="111"/>
    </row>
    <row r="483" spans="6:7" x14ac:dyDescent="0.15">
      <c r="F483" s="111"/>
      <c r="G483" s="111"/>
    </row>
    <row r="484" spans="6:7" x14ac:dyDescent="0.15">
      <c r="F484" s="111"/>
      <c r="G484" s="111"/>
    </row>
    <row r="485" spans="6:7" x14ac:dyDescent="0.15">
      <c r="F485" s="111"/>
      <c r="G485" s="111"/>
    </row>
    <row r="486" spans="6:7" x14ac:dyDescent="0.15">
      <c r="F486" s="111"/>
      <c r="G486" s="111"/>
    </row>
    <row r="487" spans="6:7" x14ac:dyDescent="0.15">
      <c r="F487" s="111"/>
      <c r="G487" s="111"/>
    </row>
    <row r="488" spans="6:7" x14ac:dyDescent="0.15">
      <c r="F488" s="111"/>
      <c r="G488" s="111"/>
    </row>
    <row r="489" spans="6:7" x14ac:dyDescent="0.15">
      <c r="F489" s="111"/>
      <c r="G489" s="111"/>
    </row>
    <row r="490" spans="6:7" x14ac:dyDescent="0.15">
      <c r="F490" s="111"/>
      <c r="G490" s="111"/>
    </row>
    <row r="491" spans="6:7" x14ac:dyDescent="0.15">
      <c r="F491" s="111"/>
      <c r="G491" s="111"/>
    </row>
    <row r="492" spans="6:7" x14ac:dyDescent="0.15">
      <c r="F492" s="111"/>
      <c r="G492" s="111"/>
    </row>
    <row r="493" spans="6:7" x14ac:dyDescent="0.15">
      <c r="F493" s="111"/>
      <c r="G493" s="111"/>
    </row>
    <row r="494" spans="6:7" x14ac:dyDescent="0.15">
      <c r="F494" s="111"/>
      <c r="G494" s="111"/>
    </row>
    <row r="495" spans="6:7" x14ac:dyDescent="0.15">
      <c r="F495" s="111"/>
      <c r="G495" s="111"/>
    </row>
    <row r="496" spans="6:7" x14ac:dyDescent="0.15">
      <c r="F496" s="111"/>
      <c r="G496" s="111"/>
    </row>
    <row r="497" spans="6:7" x14ac:dyDescent="0.15">
      <c r="F497" s="111"/>
      <c r="G497" s="111"/>
    </row>
    <row r="498" spans="6:7" x14ac:dyDescent="0.15">
      <c r="F498" s="111"/>
      <c r="G498" s="111"/>
    </row>
    <row r="499" spans="6:7" x14ac:dyDescent="0.15">
      <c r="F499" s="111"/>
      <c r="G499" s="111"/>
    </row>
    <row r="500" spans="6:7" x14ac:dyDescent="0.15">
      <c r="F500" s="111"/>
      <c r="G500" s="111"/>
    </row>
    <row r="501" spans="6:7" x14ac:dyDescent="0.15">
      <c r="F501" s="111"/>
      <c r="G501" s="111"/>
    </row>
    <row r="502" spans="6:7" x14ac:dyDescent="0.15">
      <c r="F502" s="111"/>
      <c r="G502" s="111"/>
    </row>
    <row r="503" spans="6:7" x14ac:dyDescent="0.15">
      <c r="F503" s="111"/>
      <c r="G503" s="111"/>
    </row>
    <row r="504" spans="6:7" x14ac:dyDescent="0.15">
      <c r="F504" s="111"/>
      <c r="G504" s="111"/>
    </row>
    <row r="505" spans="6:7" x14ac:dyDescent="0.15">
      <c r="F505" s="111"/>
      <c r="G505" s="111"/>
    </row>
    <row r="506" spans="6:7" x14ac:dyDescent="0.15">
      <c r="F506" s="111"/>
      <c r="G506" s="111"/>
    </row>
    <row r="507" spans="6:7" x14ac:dyDescent="0.15">
      <c r="F507" s="111"/>
      <c r="G507" s="111"/>
    </row>
    <row r="508" spans="6:7" x14ac:dyDescent="0.15">
      <c r="F508" s="111"/>
      <c r="G508" s="111"/>
    </row>
    <row r="509" spans="6:7" x14ac:dyDescent="0.15">
      <c r="F509" s="111"/>
      <c r="G509" s="111"/>
    </row>
    <row r="510" spans="6:7" x14ac:dyDescent="0.15">
      <c r="F510" s="111"/>
      <c r="G510" s="111"/>
    </row>
    <row r="511" spans="6:7" x14ac:dyDescent="0.15">
      <c r="F511" s="111"/>
      <c r="G511" s="111"/>
    </row>
    <row r="512" spans="6:7" x14ac:dyDescent="0.15">
      <c r="F512" s="111"/>
      <c r="G512" s="111"/>
    </row>
    <row r="513" spans="6:7" x14ac:dyDescent="0.15">
      <c r="F513" s="111"/>
      <c r="G513" s="111"/>
    </row>
    <row r="514" spans="6:7" x14ac:dyDescent="0.15">
      <c r="F514" s="111"/>
      <c r="G514" s="111"/>
    </row>
    <row r="515" spans="6:7" x14ac:dyDescent="0.15">
      <c r="F515" s="111"/>
      <c r="G515" s="111"/>
    </row>
    <row r="516" spans="6:7" x14ac:dyDescent="0.15">
      <c r="F516" s="111"/>
      <c r="G516" s="111"/>
    </row>
    <row r="517" spans="6:7" x14ac:dyDescent="0.15">
      <c r="F517" s="111"/>
      <c r="G517" s="111"/>
    </row>
    <row r="518" spans="6:7" x14ac:dyDescent="0.15">
      <c r="F518" s="111"/>
      <c r="G518" s="111"/>
    </row>
    <row r="519" spans="6:7" x14ac:dyDescent="0.15">
      <c r="F519" s="111"/>
      <c r="G519" s="111"/>
    </row>
    <row r="520" spans="6:7" x14ac:dyDescent="0.15">
      <c r="F520" s="111"/>
      <c r="G520" s="111"/>
    </row>
    <row r="521" spans="6:7" x14ac:dyDescent="0.15">
      <c r="F521" s="111"/>
      <c r="G521" s="111"/>
    </row>
    <row r="522" spans="6:7" x14ac:dyDescent="0.15">
      <c r="F522" s="111"/>
      <c r="G522" s="111"/>
    </row>
    <row r="523" spans="6:7" x14ac:dyDescent="0.15">
      <c r="F523" s="111"/>
      <c r="G523" s="111"/>
    </row>
    <row r="524" spans="6:7" x14ac:dyDescent="0.15">
      <c r="F524" s="111"/>
      <c r="G524" s="111"/>
    </row>
    <row r="525" spans="6:7" x14ac:dyDescent="0.15">
      <c r="F525" s="111"/>
      <c r="G525" s="111"/>
    </row>
    <row r="526" spans="6:7" x14ac:dyDescent="0.15">
      <c r="F526" s="111"/>
      <c r="G526" s="111"/>
    </row>
    <row r="527" spans="6:7" x14ac:dyDescent="0.15">
      <c r="F527" s="111"/>
      <c r="G527" s="111"/>
    </row>
    <row r="528" spans="6:7" x14ac:dyDescent="0.15">
      <c r="F528" s="111"/>
      <c r="G528" s="111"/>
    </row>
    <row r="529" spans="6:7" x14ac:dyDescent="0.15">
      <c r="F529" s="111"/>
      <c r="G529" s="111"/>
    </row>
    <row r="530" spans="6:7" x14ac:dyDescent="0.15">
      <c r="F530" s="111"/>
      <c r="G530" s="111"/>
    </row>
    <row r="531" spans="6:7" x14ac:dyDescent="0.15">
      <c r="F531" s="111"/>
      <c r="G531" s="111"/>
    </row>
    <row r="532" spans="6:7" x14ac:dyDescent="0.15">
      <c r="F532" s="111"/>
      <c r="G532" s="111"/>
    </row>
    <row r="533" spans="6:7" x14ac:dyDescent="0.15">
      <c r="F533" s="111"/>
      <c r="G533" s="111"/>
    </row>
    <row r="534" spans="6:7" x14ac:dyDescent="0.15">
      <c r="F534" s="111"/>
      <c r="G534" s="111"/>
    </row>
    <row r="535" spans="6:7" x14ac:dyDescent="0.15">
      <c r="F535" s="111"/>
      <c r="G535" s="111"/>
    </row>
    <row r="536" spans="6:7" x14ac:dyDescent="0.15">
      <c r="F536" s="111"/>
      <c r="G536" s="111"/>
    </row>
    <row r="537" spans="6:7" x14ac:dyDescent="0.15">
      <c r="F537" s="111"/>
      <c r="G537" s="111"/>
    </row>
    <row r="538" spans="6:7" x14ac:dyDescent="0.15">
      <c r="F538" s="111"/>
      <c r="G538" s="111"/>
    </row>
    <row r="539" spans="6:7" x14ac:dyDescent="0.15">
      <c r="F539" s="111"/>
      <c r="G539" s="111"/>
    </row>
    <row r="540" spans="6:7" x14ac:dyDescent="0.15">
      <c r="F540" s="111"/>
      <c r="G540" s="111"/>
    </row>
    <row r="541" spans="6:7" x14ac:dyDescent="0.15">
      <c r="F541" s="111"/>
      <c r="G541" s="111"/>
    </row>
    <row r="542" spans="6:7" x14ac:dyDescent="0.15">
      <c r="F542" s="111"/>
      <c r="G542" s="111"/>
    </row>
    <row r="543" spans="6:7" x14ac:dyDescent="0.15">
      <c r="F543" s="111"/>
      <c r="G543" s="111"/>
    </row>
    <row r="544" spans="6:7" x14ac:dyDescent="0.15">
      <c r="F544" s="111"/>
      <c r="G544" s="111"/>
    </row>
    <row r="545" spans="6:7" x14ac:dyDescent="0.15">
      <c r="F545" s="111"/>
      <c r="G545" s="111"/>
    </row>
    <row r="546" spans="6:7" x14ac:dyDescent="0.15">
      <c r="F546" s="111"/>
      <c r="G546" s="111"/>
    </row>
    <row r="547" spans="6:7" x14ac:dyDescent="0.15">
      <c r="F547" s="111"/>
      <c r="G547" s="111"/>
    </row>
    <row r="548" spans="6:7" x14ac:dyDescent="0.15">
      <c r="F548" s="111"/>
      <c r="G548" s="111"/>
    </row>
    <row r="549" spans="6:7" x14ac:dyDescent="0.15">
      <c r="F549" s="111"/>
      <c r="G549" s="111"/>
    </row>
    <row r="550" spans="6:7" x14ac:dyDescent="0.15">
      <c r="F550" s="111"/>
      <c r="G550" s="111"/>
    </row>
    <row r="551" spans="6:7" x14ac:dyDescent="0.15">
      <c r="F551" s="111"/>
      <c r="G551" s="111"/>
    </row>
    <row r="552" spans="6:7" x14ac:dyDescent="0.15">
      <c r="F552" s="111"/>
      <c r="G552" s="111"/>
    </row>
    <row r="553" spans="6:7" x14ac:dyDescent="0.15">
      <c r="F553" s="111"/>
      <c r="G553" s="111"/>
    </row>
    <row r="554" spans="6:7" x14ac:dyDescent="0.15">
      <c r="F554" s="111"/>
      <c r="G554" s="111"/>
    </row>
    <row r="555" spans="6:7" x14ac:dyDescent="0.15">
      <c r="F555" s="111"/>
      <c r="G555" s="111"/>
    </row>
    <row r="556" spans="6:7" x14ac:dyDescent="0.15">
      <c r="F556" s="111"/>
      <c r="G556" s="111"/>
    </row>
    <row r="557" spans="6:7" x14ac:dyDescent="0.15">
      <c r="F557" s="111"/>
      <c r="G557" s="111"/>
    </row>
    <row r="558" spans="6:7" x14ac:dyDescent="0.15">
      <c r="F558" s="111"/>
      <c r="G558" s="111"/>
    </row>
    <row r="559" spans="6:7" x14ac:dyDescent="0.15">
      <c r="F559" s="111"/>
      <c r="G559" s="111"/>
    </row>
    <row r="560" spans="6:7" x14ac:dyDescent="0.15">
      <c r="F560" s="111"/>
      <c r="G560" s="111"/>
    </row>
    <row r="561" spans="6:7" x14ac:dyDescent="0.15">
      <c r="F561" s="111"/>
      <c r="G561" s="111"/>
    </row>
    <row r="562" spans="6:7" x14ac:dyDescent="0.15">
      <c r="F562" s="111"/>
      <c r="G562" s="111"/>
    </row>
    <row r="563" spans="6:7" x14ac:dyDescent="0.15">
      <c r="F563" s="111"/>
      <c r="G563" s="111"/>
    </row>
    <row r="564" spans="6:7" x14ac:dyDescent="0.15">
      <c r="F564" s="111"/>
      <c r="G564" s="111"/>
    </row>
    <row r="565" spans="6:7" x14ac:dyDescent="0.15">
      <c r="F565" s="111"/>
      <c r="G565" s="111"/>
    </row>
    <row r="566" spans="6:7" x14ac:dyDescent="0.15">
      <c r="F566" s="111"/>
      <c r="G566" s="111"/>
    </row>
    <row r="567" spans="6:7" x14ac:dyDescent="0.15">
      <c r="F567" s="111"/>
      <c r="G567" s="111"/>
    </row>
    <row r="568" spans="6:7" x14ac:dyDescent="0.15">
      <c r="F568" s="111"/>
      <c r="G568" s="111"/>
    </row>
    <row r="569" spans="6:7" x14ac:dyDescent="0.15">
      <c r="F569" s="111"/>
      <c r="G569" s="111"/>
    </row>
    <row r="570" spans="6:7" x14ac:dyDescent="0.15">
      <c r="F570" s="111"/>
      <c r="G570" s="111"/>
    </row>
    <row r="571" spans="6:7" x14ac:dyDescent="0.15">
      <c r="F571" s="111"/>
      <c r="G571" s="111"/>
    </row>
    <row r="572" spans="6:7" x14ac:dyDescent="0.15">
      <c r="F572" s="111"/>
      <c r="G572" s="111"/>
    </row>
    <row r="573" spans="6:7" x14ac:dyDescent="0.15">
      <c r="F573" s="111"/>
      <c r="G573" s="111"/>
    </row>
    <row r="574" spans="6:7" x14ac:dyDescent="0.15">
      <c r="F574" s="111"/>
      <c r="G574" s="111"/>
    </row>
    <row r="575" spans="6:7" x14ac:dyDescent="0.15">
      <c r="F575" s="111"/>
      <c r="G575" s="111"/>
    </row>
    <row r="576" spans="6:7" x14ac:dyDescent="0.15">
      <c r="F576" s="111"/>
      <c r="G576" s="111"/>
    </row>
    <row r="577" spans="6:7" x14ac:dyDescent="0.15">
      <c r="F577" s="111"/>
      <c r="G577" s="111"/>
    </row>
    <row r="578" spans="6:7" x14ac:dyDescent="0.15">
      <c r="F578" s="111"/>
      <c r="G578" s="111"/>
    </row>
    <row r="579" spans="6:7" x14ac:dyDescent="0.15">
      <c r="F579" s="111"/>
      <c r="G579" s="111"/>
    </row>
    <row r="580" spans="6:7" x14ac:dyDescent="0.15">
      <c r="F580" s="111"/>
      <c r="G580" s="111"/>
    </row>
    <row r="581" spans="6:7" x14ac:dyDescent="0.15">
      <c r="F581" s="111"/>
      <c r="G581" s="111"/>
    </row>
    <row r="582" spans="6:7" x14ac:dyDescent="0.15">
      <c r="F582" s="111"/>
      <c r="G582" s="111"/>
    </row>
    <row r="583" spans="6:7" x14ac:dyDescent="0.15">
      <c r="F583" s="111"/>
      <c r="G583" s="111"/>
    </row>
    <row r="584" spans="6:7" x14ac:dyDescent="0.15">
      <c r="F584" s="111"/>
      <c r="G584" s="111"/>
    </row>
    <row r="585" spans="6:7" x14ac:dyDescent="0.15">
      <c r="F585" s="111"/>
      <c r="G585" s="111"/>
    </row>
    <row r="586" spans="6:7" x14ac:dyDescent="0.15">
      <c r="F586" s="111"/>
      <c r="G586" s="111"/>
    </row>
    <row r="587" spans="6:7" x14ac:dyDescent="0.15">
      <c r="F587" s="111"/>
      <c r="G587" s="111"/>
    </row>
    <row r="588" spans="6:7" x14ac:dyDescent="0.15">
      <c r="F588" s="111"/>
      <c r="G588" s="111"/>
    </row>
    <row r="589" spans="6:7" x14ac:dyDescent="0.15">
      <c r="F589" s="111"/>
      <c r="G589" s="111"/>
    </row>
    <row r="590" spans="6:7" x14ac:dyDescent="0.15">
      <c r="F590" s="111"/>
      <c r="G590" s="111"/>
    </row>
    <row r="591" spans="6:7" x14ac:dyDescent="0.15">
      <c r="F591" s="111"/>
      <c r="G591" s="111"/>
    </row>
    <row r="592" spans="6:7" x14ac:dyDescent="0.15">
      <c r="F592" s="111"/>
      <c r="G592" s="111"/>
    </row>
    <row r="593" spans="6:7" x14ac:dyDescent="0.15">
      <c r="F593" s="111"/>
      <c r="G593" s="111"/>
    </row>
    <row r="594" spans="6:7" x14ac:dyDescent="0.15">
      <c r="F594" s="111"/>
      <c r="G594" s="111"/>
    </row>
    <row r="595" spans="6:7" x14ac:dyDescent="0.15">
      <c r="F595" s="111"/>
      <c r="G595" s="111"/>
    </row>
    <row r="596" spans="6:7" x14ac:dyDescent="0.15">
      <c r="F596" s="111"/>
      <c r="G596" s="111"/>
    </row>
    <row r="597" spans="6:7" x14ac:dyDescent="0.15">
      <c r="F597" s="111"/>
      <c r="G597" s="111"/>
    </row>
    <row r="598" spans="6:7" x14ac:dyDescent="0.15">
      <c r="F598" s="111"/>
      <c r="G598" s="111"/>
    </row>
    <row r="599" spans="6:7" x14ac:dyDescent="0.15">
      <c r="F599" s="111"/>
      <c r="G599" s="111"/>
    </row>
    <row r="600" spans="6:7" x14ac:dyDescent="0.15">
      <c r="F600" s="111"/>
      <c r="G600" s="111"/>
    </row>
    <row r="601" spans="6:7" x14ac:dyDescent="0.15">
      <c r="F601" s="111"/>
      <c r="G601" s="111"/>
    </row>
    <row r="602" spans="6:7" x14ac:dyDescent="0.15">
      <c r="F602" s="111"/>
      <c r="G602" s="111"/>
    </row>
    <row r="603" spans="6:7" x14ac:dyDescent="0.15">
      <c r="F603" s="111"/>
      <c r="G603" s="111"/>
    </row>
    <row r="604" spans="6:7" x14ac:dyDescent="0.15">
      <c r="F604" s="111"/>
      <c r="G604" s="111"/>
    </row>
    <row r="605" spans="6:7" x14ac:dyDescent="0.15">
      <c r="F605" s="111"/>
      <c r="G605" s="111"/>
    </row>
    <row r="606" spans="6:7" x14ac:dyDescent="0.15">
      <c r="F606" s="111"/>
      <c r="G606" s="111"/>
    </row>
    <row r="607" spans="6:7" x14ac:dyDescent="0.15">
      <c r="F607" s="111"/>
      <c r="G607" s="111"/>
    </row>
    <row r="608" spans="6:7" x14ac:dyDescent="0.15">
      <c r="F608" s="111"/>
      <c r="G608" s="111"/>
    </row>
    <row r="609" spans="6:7" x14ac:dyDescent="0.15">
      <c r="F609" s="111"/>
      <c r="G609" s="111"/>
    </row>
    <row r="610" spans="6:7" x14ac:dyDescent="0.15">
      <c r="F610" s="111"/>
      <c r="G610" s="111"/>
    </row>
    <row r="611" spans="6:7" x14ac:dyDescent="0.15">
      <c r="F611" s="111"/>
      <c r="G611" s="111"/>
    </row>
    <row r="612" spans="6:7" x14ac:dyDescent="0.15">
      <c r="F612" s="111"/>
      <c r="G612" s="111"/>
    </row>
    <row r="613" spans="6:7" x14ac:dyDescent="0.15">
      <c r="F613" s="111"/>
      <c r="G613" s="111"/>
    </row>
    <row r="614" spans="6:7" x14ac:dyDescent="0.15">
      <c r="F614" s="111"/>
      <c r="G614" s="111"/>
    </row>
    <row r="615" spans="6:7" x14ac:dyDescent="0.15">
      <c r="F615" s="111"/>
      <c r="G615" s="111"/>
    </row>
    <row r="616" spans="6:7" x14ac:dyDescent="0.15">
      <c r="F616" s="111"/>
      <c r="G616" s="111"/>
    </row>
    <row r="617" spans="6:7" x14ac:dyDescent="0.15">
      <c r="F617" s="111"/>
      <c r="G617" s="111"/>
    </row>
    <row r="618" spans="6:7" x14ac:dyDescent="0.15">
      <c r="F618" s="111"/>
      <c r="G618" s="111"/>
    </row>
    <row r="619" spans="6:7" x14ac:dyDescent="0.15">
      <c r="F619" s="111"/>
      <c r="G619" s="111"/>
    </row>
    <row r="620" spans="6:7" x14ac:dyDescent="0.15">
      <c r="F620" s="111"/>
      <c r="G620" s="111"/>
    </row>
    <row r="621" spans="6:7" x14ac:dyDescent="0.15">
      <c r="F621" s="111"/>
      <c r="G621" s="111"/>
    </row>
    <row r="622" spans="6:7" x14ac:dyDescent="0.15">
      <c r="F622" s="111"/>
      <c r="G622" s="111"/>
    </row>
    <row r="623" spans="6:7" x14ac:dyDescent="0.15">
      <c r="F623" s="111"/>
      <c r="G623" s="111"/>
    </row>
    <row r="624" spans="6:7" x14ac:dyDescent="0.15">
      <c r="F624" s="111"/>
      <c r="G624" s="111"/>
    </row>
    <row r="625" spans="6:7" x14ac:dyDescent="0.15">
      <c r="F625" s="111"/>
      <c r="G625" s="111"/>
    </row>
    <row r="626" spans="6:7" x14ac:dyDescent="0.15">
      <c r="F626" s="111"/>
      <c r="G626" s="111"/>
    </row>
    <row r="627" spans="6:7" x14ac:dyDescent="0.15">
      <c r="F627" s="111"/>
      <c r="G627" s="111"/>
    </row>
    <row r="628" spans="6:7" x14ac:dyDescent="0.15">
      <c r="F628" s="111"/>
      <c r="G628" s="111"/>
    </row>
    <row r="629" spans="6:7" x14ac:dyDescent="0.15">
      <c r="F629" s="111"/>
      <c r="G629" s="111"/>
    </row>
    <row r="630" spans="6:7" x14ac:dyDescent="0.15">
      <c r="F630" s="111"/>
      <c r="G630" s="111"/>
    </row>
    <row r="631" spans="6:7" x14ac:dyDescent="0.15">
      <c r="F631" s="111"/>
      <c r="G631" s="111"/>
    </row>
    <row r="632" spans="6:7" x14ac:dyDescent="0.15">
      <c r="F632" s="111"/>
      <c r="G632" s="111"/>
    </row>
    <row r="633" spans="6:7" x14ac:dyDescent="0.15">
      <c r="F633" s="111"/>
      <c r="G633" s="111"/>
    </row>
    <row r="634" spans="6:7" x14ac:dyDescent="0.15">
      <c r="F634" s="111"/>
      <c r="G634" s="111"/>
    </row>
    <row r="635" spans="6:7" x14ac:dyDescent="0.15">
      <c r="F635" s="111"/>
      <c r="G635" s="111"/>
    </row>
    <row r="636" spans="6:7" x14ac:dyDescent="0.15">
      <c r="F636" s="111"/>
      <c r="G636" s="111"/>
    </row>
    <row r="637" spans="6:7" x14ac:dyDescent="0.15">
      <c r="F637" s="111"/>
      <c r="G637" s="111"/>
    </row>
    <row r="638" spans="6:7" x14ac:dyDescent="0.15">
      <c r="F638" s="111"/>
      <c r="G638" s="111"/>
    </row>
    <row r="639" spans="6:7" x14ac:dyDescent="0.15">
      <c r="F639" s="111"/>
      <c r="G639" s="111"/>
    </row>
    <row r="640" spans="6:7" x14ac:dyDescent="0.15">
      <c r="F640" s="111"/>
      <c r="G640" s="111"/>
    </row>
    <row r="641" spans="6:7" x14ac:dyDescent="0.15">
      <c r="F641" s="111"/>
      <c r="G641" s="111"/>
    </row>
    <row r="642" spans="6:7" x14ac:dyDescent="0.15">
      <c r="F642" s="111"/>
      <c r="G642" s="111"/>
    </row>
    <row r="643" spans="6:7" x14ac:dyDescent="0.15">
      <c r="F643" s="111"/>
      <c r="G643" s="111"/>
    </row>
    <row r="644" spans="6:7" x14ac:dyDescent="0.15">
      <c r="F644" s="111"/>
      <c r="G644" s="111"/>
    </row>
    <row r="645" spans="6:7" x14ac:dyDescent="0.15">
      <c r="F645" s="111"/>
      <c r="G645" s="111"/>
    </row>
    <row r="646" spans="6:7" x14ac:dyDescent="0.15">
      <c r="F646" s="111"/>
      <c r="G646" s="111"/>
    </row>
    <row r="647" spans="6:7" x14ac:dyDescent="0.15">
      <c r="F647" s="111"/>
      <c r="G647" s="111"/>
    </row>
    <row r="648" spans="6:7" x14ac:dyDescent="0.15">
      <c r="F648" s="111"/>
      <c r="G648" s="111"/>
    </row>
    <row r="649" spans="6:7" x14ac:dyDescent="0.15">
      <c r="F649" s="111"/>
      <c r="G649" s="111"/>
    </row>
    <row r="650" spans="6:7" x14ac:dyDescent="0.15">
      <c r="F650" s="111"/>
      <c r="G650" s="111"/>
    </row>
    <row r="651" spans="6:7" x14ac:dyDescent="0.15">
      <c r="F651" s="111"/>
      <c r="G651" s="111"/>
    </row>
    <row r="652" spans="6:7" x14ac:dyDescent="0.15">
      <c r="F652" s="111"/>
      <c r="G652" s="111"/>
    </row>
    <row r="653" spans="6:7" x14ac:dyDescent="0.15">
      <c r="F653" s="111"/>
      <c r="G653" s="111"/>
    </row>
    <row r="654" spans="6:7" x14ac:dyDescent="0.15">
      <c r="F654" s="111"/>
      <c r="G654" s="111"/>
    </row>
    <row r="655" spans="6:7" x14ac:dyDescent="0.15">
      <c r="F655" s="111"/>
      <c r="G655" s="111"/>
    </row>
    <row r="656" spans="6:7" x14ac:dyDescent="0.15">
      <c r="F656" s="111"/>
      <c r="G656" s="111"/>
    </row>
    <row r="657" spans="6:7" x14ac:dyDescent="0.15">
      <c r="F657" s="111"/>
      <c r="G657" s="111"/>
    </row>
    <row r="658" spans="6:7" x14ac:dyDescent="0.15">
      <c r="F658" s="111"/>
      <c r="G658" s="111"/>
    </row>
    <row r="659" spans="6:7" x14ac:dyDescent="0.15">
      <c r="F659" s="111"/>
      <c r="G659" s="111"/>
    </row>
    <row r="660" spans="6:7" x14ac:dyDescent="0.15">
      <c r="F660" s="111"/>
      <c r="G660" s="111"/>
    </row>
    <row r="661" spans="6:7" x14ac:dyDescent="0.15">
      <c r="F661" s="111"/>
      <c r="G661" s="111"/>
    </row>
    <row r="662" spans="6:7" x14ac:dyDescent="0.15">
      <c r="F662" s="111"/>
      <c r="G662" s="111"/>
    </row>
    <row r="663" spans="6:7" x14ac:dyDescent="0.15">
      <c r="F663" s="111"/>
      <c r="G663" s="111"/>
    </row>
    <row r="664" spans="6:7" x14ac:dyDescent="0.15">
      <c r="F664" s="111"/>
      <c r="G664" s="111"/>
    </row>
    <row r="665" spans="6:7" x14ac:dyDescent="0.15">
      <c r="F665" s="111"/>
      <c r="G665" s="111"/>
    </row>
    <row r="666" spans="6:7" x14ac:dyDescent="0.15">
      <c r="F666" s="111"/>
      <c r="G666" s="111"/>
    </row>
    <row r="667" spans="6:7" x14ac:dyDescent="0.15">
      <c r="F667" s="111"/>
      <c r="G667" s="111"/>
    </row>
    <row r="668" spans="6:7" x14ac:dyDescent="0.15">
      <c r="F668" s="111"/>
      <c r="G668" s="111"/>
    </row>
    <row r="669" spans="6:7" x14ac:dyDescent="0.15">
      <c r="F669" s="111"/>
      <c r="G669" s="111"/>
    </row>
    <row r="670" spans="6:7" x14ac:dyDescent="0.15">
      <c r="F670" s="111"/>
      <c r="G670" s="111"/>
    </row>
    <row r="671" spans="6:7" x14ac:dyDescent="0.15">
      <c r="F671" s="111"/>
      <c r="G671" s="111"/>
    </row>
    <row r="672" spans="6:7" x14ac:dyDescent="0.15">
      <c r="F672" s="111"/>
      <c r="G672" s="111"/>
    </row>
    <row r="673" spans="6:7" x14ac:dyDescent="0.15">
      <c r="F673" s="111"/>
      <c r="G673" s="111"/>
    </row>
    <row r="674" spans="6:7" x14ac:dyDescent="0.15">
      <c r="F674" s="111"/>
      <c r="G674" s="111"/>
    </row>
    <row r="675" spans="6:7" x14ac:dyDescent="0.15">
      <c r="F675" s="111"/>
      <c r="G675" s="111"/>
    </row>
    <row r="676" spans="6:7" x14ac:dyDescent="0.15">
      <c r="F676" s="111"/>
      <c r="G676" s="111"/>
    </row>
    <row r="677" spans="6:7" x14ac:dyDescent="0.15">
      <c r="F677" s="111"/>
      <c r="G677" s="111"/>
    </row>
    <row r="678" spans="6:7" x14ac:dyDescent="0.15">
      <c r="F678" s="111"/>
      <c r="G678" s="111"/>
    </row>
    <row r="679" spans="6:7" x14ac:dyDescent="0.15">
      <c r="F679" s="111"/>
      <c r="G679" s="111"/>
    </row>
    <row r="680" spans="6:7" x14ac:dyDescent="0.15">
      <c r="F680" s="111"/>
      <c r="G680" s="111"/>
    </row>
    <row r="681" spans="6:7" x14ac:dyDescent="0.15">
      <c r="F681" s="111"/>
      <c r="G681" s="111"/>
    </row>
    <row r="682" spans="6:7" x14ac:dyDescent="0.15">
      <c r="F682" s="111"/>
      <c r="G682" s="111"/>
    </row>
    <row r="683" spans="6:7" x14ac:dyDescent="0.15">
      <c r="F683" s="111"/>
      <c r="G683" s="111"/>
    </row>
    <row r="684" spans="6:7" x14ac:dyDescent="0.15">
      <c r="F684" s="111"/>
      <c r="G684" s="111"/>
    </row>
    <row r="685" spans="6:7" x14ac:dyDescent="0.15">
      <c r="F685" s="111"/>
      <c r="G685" s="111"/>
    </row>
    <row r="686" spans="6:7" x14ac:dyDescent="0.15">
      <c r="F686" s="111"/>
      <c r="G686" s="111"/>
    </row>
    <row r="687" spans="6:7" x14ac:dyDescent="0.15">
      <c r="F687" s="111"/>
      <c r="G687" s="111"/>
    </row>
    <row r="688" spans="6:7" x14ac:dyDescent="0.15">
      <c r="F688" s="111"/>
      <c r="G688" s="111"/>
    </row>
    <row r="689" spans="6:7" x14ac:dyDescent="0.15">
      <c r="F689" s="111"/>
      <c r="G689" s="111"/>
    </row>
    <row r="690" spans="6:7" x14ac:dyDescent="0.15">
      <c r="F690" s="111"/>
      <c r="G690" s="111"/>
    </row>
    <row r="691" spans="6:7" x14ac:dyDescent="0.15">
      <c r="F691" s="111"/>
      <c r="G691" s="111"/>
    </row>
    <row r="692" spans="6:7" x14ac:dyDescent="0.15">
      <c r="F692" s="111"/>
      <c r="G692" s="111"/>
    </row>
    <row r="693" spans="6:7" x14ac:dyDescent="0.15">
      <c r="F693" s="111"/>
      <c r="G693" s="111"/>
    </row>
    <row r="694" spans="6:7" x14ac:dyDescent="0.15">
      <c r="F694" s="111"/>
      <c r="G694" s="111"/>
    </row>
    <row r="695" spans="6:7" x14ac:dyDescent="0.15">
      <c r="F695" s="111"/>
      <c r="G695" s="111"/>
    </row>
    <row r="696" spans="6:7" x14ac:dyDescent="0.15">
      <c r="F696" s="111"/>
      <c r="G696" s="111"/>
    </row>
    <row r="697" spans="6:7" x14ac:dyDescent="0.15">
      <c r="F697" s="111"/>
      <c r="G697" s="111"/>
    </row>
    <row r="698" spans="6:7" x14ac:dyDescent="0.15">
      <c r="F698" s="111"/>
      <c r="G698" s="111"/>
    </row>
    <row r="699" spans="6:7" x14ac:dyDescent="0.15">
      <c r="F699" s="111"/>
      <c r="G699" s="111"/>
    </row>
    <row r="700" spans="6:7" x14ac:dyDescent="0.15">
      <c r="F700" s="111"/>
      <c r="G700" s="111"/>
    </row>
    <row r="701" spans="6:7" x14ac:dyDescent="0.15">
      <c r="F701" s="111"/>
      <c r="G701" s="111"/>
    </row>
    <row r="702" spans="6:7" x14ac:dyDescent="0.15">
      <c r="F702" s="111"/>
      <c r="G702" s="111"/>
    </row>
    <row r="703" spans="6:7" x14ac:dyDescent="0.15">
      <c r="F703" s="111"/>
      <c r="G703" s="111"/>
    </row>
    <row r="704" spans="6:7" x14ac:dyDescent="0.15">
      <c r="F704" s="111"/>
      <c r="G704" s="111"/>
    </row>
    <row r="705" spans="6:7" x14ac:dyDescent="0.15">
      <c r="F705" s="111"/>
      <c r="G705" s="111"/>
    </row>
    <row r="706" spans="6:7" x14ac:dyDescent="0.15">
      <c r="F706" s="111"/>
      <c r="G706" s="111"/>
    </row>
    <row r="707" spans="6:7" x14ac:dyDescent="0.15">
      <c r="F707" s="111"/>
      <c r="G707" s="111"/>
    </row>
    <row r="708" spans="6:7" x14ac:dyDescent="0.15">
      <c r="F708" s="111"/>
      <c r="G708" s="111"/>
    </row>
    <row r="709" spans="6:7" x14ac:dyDescent="0.15">
      <c r="F709" s="111"/>
      <c r="G709" s="111"/>
    </row>
    <row r="710" spans="6:7" x14ac:dyDescent="0.15">
      <c r="F710" s="111"/>
      <c r="G710" s="111"/>
    </row>
    <row r="711" spans="6:7" x14ac:dyDescent="0.15">
      <c r="F711" s="111"/>
      <c r="G711" s="111"/>
    </row>
    <row r="712" spans="6:7" x14ac:dyDescent="0.15">
      <c r="F712" s="111"/>
      <c r="G712" s="111"/>
    </row>
    <row r="713" spans="6:7" x14ac:dyDescent="0.15">
      <c r="F713" s="111"/>
      <c r="G713" s="111"/>
    </row>
    <row r="714" spans="6:7" x14ac:dyDescent="0.15">
      <c r="F714" s="111"/>
      <c r="G714" s="111"/>
    </row>
    <row r="715" spans="6:7" x14ac:dyDescent="0.15">
      <c r="F715" s="111"/>
      <c r="G715" s="111"/>
    </row>
    <row r="716" spans="6:7" x14ac:dyDescent="0.15">
      <c r="F716" s="111"/>
      <c r="G716" s="111"/>
    </row>
    <row r="717" spans="6:7" x14ac:dyDescent="0.15">
      <c r="F717" s="111"/>
      <c r="G717" s="111"/>
    </row>
    <row r="718" spans="6:7" x14ac:dyDescent="0.15">
      <c r="F718" s="111"/>
      <c r="G718" s="111"/>
    </row>
    <row r="719" spans="6:7" x14ac:dyDescent="0.15">
      <c r="F719" s="111"/>
      <c r="G719" s="111"/>
    </row>
    <row r="720" spans="6:7" x14ac:dyDescent="0.15">
      <c r="F720" s="111"/>
      <c r="G720" s="111"/>
    </row>
    <row r="721" spans="6:7" x14ac:dyDescent="0.15">
      <c r="F721" s="111"/>
      <c r="G721" s="111"/>
    </row>
    <row r="722" spans="6:7" x14ac:dyDescent="0.15">
      <c r="F722" s="111"/>
      <c r="G722" s="111"/>
    </row>
    <row r="723" spans="6:7" x14ac:dyDescent="0.15">
      <c r="F723" s="111"/>
      <c r="G723" s="111"/>
    </row>
    <row r="724" spans="6:7" x14ac:dyDescent="0.15">
      <c r="F724" s="111"/>
      <c r="G724" s="111"/>
    </row>
    <row r="725" spans="6:7" x14ac:dyDescent="0.15">
      <c r="F725" s="111"/>
      <c r="G725" s="111"/>
    </row>
    <row r="726" spans="6:7" x14ac:dyDescent="0.15">
      <c r="F726" s="111"/>
      <c r="G726" s="111"/>
    </row>
    <row r="727" spans="6:7" x14ac:dyDescent="0.15">
      <c r="F727" s="111"/>
      <c r="G727" s="111"/>
    </row>
    <row r="728" spans="6:7" x14ac:dyDescent="0.15">
      <c r="F728" s="111"/>
      <c r="G728" s="111"/>
    </row>
    <row r="729" spans="6:7" x14ac:dyDescent="0.15">
      <c r="F729" s="111"/>
      <c r="G729" s="111"/>
    </row>
    <row r="730" spans="6:7" x14ac:dyDescent="0.15">
      <c r="F730" s="111"/>
      <c r="G730" s="111"/>
    </row>
    <row r="731" spans="6:7" x14ac:dyDescent="0.15">
      <c r="F731" s="111"/>
      <c r="G731" s="111"/>
    </row>
    <row r="732" spans="6:7" x14ac:dyDescent="0.15">
      <c r="F732" s="111"/>
      <c r="G732" s="111"/>
    </row>
    <row r="733" spans="6:7" x14ac:dyDescent="0.15">
      <c r="F733" s="111"/>
      <c r="G733" s="111"/>
    </row>
    <row r="734" spans="6:7" x14ac:dyDescent="0.15">
      <c r="F734" s="111"/>
      <c r="G734" s="111"/>
    </row>
    <row r="735" spans="6:7" x14ac:dyDescent="0.15">
      <c r="F735" s="111"/>
      <c r="G735" s="111"/>
    </row>
    <row r="736" spans="6:7" x14ac:dyDescent="0.15">
      <c r="F736" s="111"/>
      <c r="G736" s="111"/>
    </row>
    <row r="737" spans="6:7" x14ac:dyDescent="0.15">
      <c r="F737" s="111"/>
      <c r="G737" s="111"/>
    </row>
    <row r="738" spans="6:7" x14ac:dyDescent="0.15">
      <c r="F738" s="111"/>
      <c r="G738" s="111"/>
    </row>
    <row r="739" spans="6:7" x14ac:dyDescent="0.15">
      <c r="F739" s="111"/>
      <c r="G739" s="111"/>
    </row>
    <row r="740" spans="6:7" x14ac:dyDescent="0.15">
      <c r="F740" s="111"/>
      <c r="G740" s="111"/>
    </row>
    <row r="741" spans="6:7" x14ac:dyDescent="0.15">
      <c r="F741" s="111"/>
      <c r="G741" s="111"/>
    </row>
    <row r="742" spans="6:7" x14ac:dyDescent="0.15">
      <c r="F742" s="111"/>
      <c r="G742" s="111"/>
    </row>
    <row r="743" spans="6:7" x14ac:dyDescent="0.15">
      <c r="F743" s="111"/>
      <c r="G743" s="111"/>
    </row>
    <row r="744" spans="6:7" x14ac:dyDescent="0.15">
      <c r="F744" s="111"/>
      <c r="G744" s="111"/>
    </row>
    <row r="745" spans="6:7" x14ac:dyDescent="0.15">
      <c r="F745" s="111"/>
      <c r="G745" s="111"/>
    </row>
    <row r="746" spans="6:7" x14ac:dyDescent="0.15">
      <c r="F746" s="111"/>
      <c r="G746" s="111"/>
    </row>
    <row r="747" spans="6:7" x14ac:dyDescent="0.15">
      <c r="F747" s="111"/>
      <c r="G747" s="111"/>
    </row>
    <row r="748" spans="6:7" x14ac:dyDescent="0.15">
      <c r="F748" s="111"/>
      <c r="G748" s="111"/>
    </row>
    <row r="749" spans="6:7" x14ac:dyDescent="0.15">
      <c r="F749" s="111"/>
      <c r="G749" s="111"/>
    </row>
    <row r="750" spans="6:7" x14ac:dyDescent="0.15">
      <c r="F750" s="111"/>
      <c r="G750" s="111"/>
    </row>
    <row r="751" spans="6:7" x14ac:dyDescent="0.15">
      <c r="F751" s="111"/>
      <c r="G751" s="111"/>
    </row>
    <row r="752" spans="6:7" x14ac:dyDescent="0.15">
      <c r="F752" s="111"/>
      <c r="G752" s="111"/>
    </row>
    <row r="753" spans="6:7" x14ac:dyDescent="0.15">
      <c r="F753" s="111"/>
      <c r="G753" s="111"/>
    </row>
    <row r="754" spans="6:7" x14ac:dyDescent="0.15">
      <c r="F754" s="111"/>
      <c r="G754" s="111"/>
    </row>
    <row r="755" spans="6:7" x14ac:dyDescent="0.15">
      <c r="F755" s="111"/>
      <c r="G755" s="111"/>
    </row>
    <row r="756" spans="6:7" x14ac:dyDescent="0.15">
      <c r="F756" s="111"/>
      <c r="G756" s="111"/>
    </row>
    <row r="757" spans="6:7" x14ac:dyDescent="0.15">
      <c r="F757" s="111"/>
      <c r="G757" s="111"/>
    </row>
    <row r="758" spans="6:7" x14ac:dyDescent="0.15">
      <c r="F758" s="111"/>
      <c r="G758" s="111"/>
    </row>
    <row r="759" spans="6:7" x14ac:dyDescent="0.15">
      <c r="F759" s="111"/>
      <c r="G759" s="111"/>
    </row>
    <row r="760" spans="6:7" x14ac:dyDescent="0.15">
      <c r="F760" s="111"/>
      <c r="G760" s="111"/>
    </row>
    <row r="761" spans="6:7" x14ac:dyDescent="0.15">
      <c r="F761" s="111"/>
      <c r="G761" s="111"/>
    </row>
    <row r="762" spans="6:7" x14ac:dyDescent="0.15">
      <c r="F762" s="111"/>
      <c r="G762" s="111"/>
    </row>
    <row r="763" spans="6:7" x14ac:dyDescent="0.15">
      <c r="F763" s="111"/>
      <c r="G763" s="111"/>
    </row>
    <row r="764" spans="6:7" x14ac:dyDescent="0.15">
      <c r="F764" s="111"/>
      <c r="G764" s="111"/>
    </row>
    <row r="765" spans="6:7" x14ac:dyDescent="0.15">
      <c r="F765" s="111"/>
      <c r="G765" s="111"/>
    </row>
    <row r="766" spans="6:7" x14ac:dyDescent="0.15">
      <c r="F766" s="111"/>
      <c r="G766" s="111"/>
    </row>
    <row r="767" spans="6:7" x14ac:dyDescent="0.15">
      <c r="F767" s="111"/>
      <c r="G767" s="111"/>
    </row>
    <row r="768" spans="6:7" x14ac:dyDescent="0.15">
      <c r="F768" s="111"/>
      <c r="G768" s="111"/>
    </row>
    <row r="769" spans="6:7" x14ac:dyDescent="0.15">
      <c r="F769" s="111"/>
      <c r="G769" s="111"/>
    </row>
    <row r="770" spans="6:7" x14ac:dyDescent="0.15">
      <c r="F770" s="111"/>
      <c r="G770" s="111"/>
    </row>
    <row r="771" spans="6:7" x14ac:dyDescent="0.15">
      <c r="F771" s="111"/>
      <c r="G771" s="111"/>
    </row>
    <row r="772" spans="6:7" x14ac:dyDescent="0.15">
      <c r="F772" s="111"/>
      <c r="G772" s="111"/>
    </row>
    <row r="773" spans="6:7" x14ac:dyDescent="0.15">
      <c r="F773" s="111"/>
      <c r="G773" s="111"/>
    </row>
    <row r="774" spans="6:7" x14ac:dyDescent="0.15">
      <c r="F774" s="111"/>
      <c r="G774" s="111"/>
    </row>
    <row r="775" spans="6:7" x14ac:dyDescent="0.15">
      <c r="F775" s="111"/>
      <c r="G775" s="111"/>
    </row>
    <row r="776" spans="6:7" x14ac:dyDescent="0.15">
      <c r="F776" s="111"/>
      <c r="G776" s="111"/>
    </row>
    <row r="777" spans="6:7" x14ac:dyDescent="0.15">
      <c r="F777" s="111"/>
      <c r="G777" s="111"/>
    </row>
    <row r="778" spans="6:7" x14ac:dyDescent="0.15">
      <c r="F778" s="111"/>
      <c r="G778" s="111"/>
    </row>
    <row r="779" spans="6:7" x14ac:dyDescent="0.15">
      <c r="F779" s="111"/>
      <c r="G779" s="111"/>
    </row>
    <row r="780" spans="6:7" x14ac:dyDescent="0.15">
      <c r="F780" s="111"/>
      <c r="G780" s="111"/>
    </row>
    <row r="781" spans="6:7" x14ac:dyDescent="0.15">
      <c r="F781" s="111"/>
      <c r="G781" s="111"/>
    </row>
    <row r="782" spans="6:7" x14ac:dyDescent="0.15">
      <c r="F782" s="111"/>
      <c r="G782" s="111"/>
    </row>
    <row r="783" spans="6:7" x14ac:dyDescent="0.15">
      <c r="F783" s="111"/>
      <c r="G783" s="111"/>
    </row>
    <row r="784" spans="6:7" x14ac:dyDescent="0.15">
      <c r="F784" s="111"/>
      <c r="G784" s="111"/>
    </row>
    <row r="785" spans="6:7" x14ac:dyDescent="0.15">
      <c r="F785" s="111"/>
      <c r="G785" s="111"/>
    </row>
    <row r="786" spans="6:7" x14ac:dyDescent="0.15">
      <c r="F786" s="111"/>
      <c r="G786" s="111"/>
    </row>
    <row r="787" spans="6:7" x14ac:dyDescent="0.15">
      <c r="F787" s="111"/>
      <c r="G787" s="111"/>
    </row>
    <row r="788" spans="6:7" x14ac:dyDescent="0.15">
      <c r="F788" s="111"/>
      <c r="G788" s="111"/>
    </row>
    <row r="789" spans="6:7" x14ac:dyDescent="0.15">
      <c r="F789" s="111"/>
      <c r="G789" s="111"/>
    </row>
    <row r="790" spans="6:7" x14ac:dyDescent="0.15">
      <c r="F790" s="111"/>
      <c r="G790" s="111"/>
    </row>
    <row r="791" spans="6:7" x14ac:dyDescent="0.15">
      <c r="F791" s="111"/>
      <c r="G791" s="111"/>
    </row>
    <row r="792" spans="6:7" x14ac:dyDescent="0.15">
      <c r="F792" s="111"/>
      <c r="G792" s="111"/>
    </row>
    <row r="793" spans="6:7" x14ac:dyDescent="0.15">
      <c r="F793" s="111"/>
      <c r="G793" s="111"/>
    </row>
    <row r="794" spans="6:7" x14ac:dyDescent="0.15">
      <c r="F794" s="111"/>
      <c r="G794" s="111"/>
    </row>
    <row r="795" spans="6:7" x14ac:dyDescent="0.15">
      <c r="F795" s="111"/>
      <c r="G795" s="111"/>
    </row>
    <row r="796" spans="6:7" x14ac:dyDescent="0.15">
      <c r="F796" s="111"/>
      <c r="G796" s="111"/>
    </row>
    <row r="797" spans="6:7" x14ac:dyDescent="0.15">
      <c r="F797" s="111"/>
      <c r="G797" s="111"/>
    </row>
    <row r="798" spans="6:7" x14ac:dyDescent="0.15">
      <c r="F798" s="111"/>
      <c r="G798" s="111"/>
    </row>
    <row r="799" spans="6:7" x14ac:dyDescent="0.15">
      <c r="F799" s="111"/>
      <c r="G799" s="111"/>
    </row>
    <row r="800" spans="6:7" x14ac:dyDescent="0.15">
      <c r="F800" s="111"/>
      <c r="G800" s="111"/>
    </row>
    <row r="801" spans="6:7" x14ac:dyDescent="0.15">
      <c r="F801" s="111"/>
      <c r="G801" s="111"/>
    </row>
    <row r="802" spans="6:7" x14ac:dyDescent="0.15">
      <c r="F802" s="111"/>
      <c r="G802" s="111"/>
    </row>
    <row r="803" spans="6:7" x14ac:dyDescent="0.15">
      <c r="F803" s="111"/>
      <c r="G803" s="111"/>
    </row>
    <row r="804" spans="6:7" x14ac:dyDescent="0.15">
      <c r="F804" s="111"/>
      <c r="G804" s="111"/>
    </row>
    <row r="805" spans="6:7" x14ac:dyDescent="0.15">
      <c r="F805" s="111"/>
      <c r="G805" s="111"/>
    </row>
    <row r="806" spans="6:7" x14ac:dyDescent="0.15">
      <c r="F806" s="111"/>
      <c r="G806" s="111"/>
    </row>
    <row r="807" spans="6:7" x14ac:dyDescent="0.15">
      <c r="F807" s="111"/>
      <c r="G807" s="111"/>
    </row>
    <row r="808" spans="6:7" x14ac:dyDescent="0.15">
      <c r="F808" s="111"/>
      <c r="G808" s="111"/>
    </row>
    <row r="809" spans="6:7" x14ac:dyDescent="0.15">
      <c r="F809" s="111"/>
      <c r="G809" s="111"/>
    </row>
    <row r="810" spans="6:7" x14ac:dyDescent="0.15">
      <c r="F810" s="111"/>
      <c r="G810" s="111"/>
    </row>
    <row r="811" spans="6:7" x14ac:dyDescent="0.15">
      <c r="F811" s="111"/>
      <c r="G811" s="111"/>
    </row>
    <row r="812" spans="6:7" x14ac:dyDescent="0.15">
      <c r="F812" s="111"/>
      <c r="G812" s="111"/>
    </row>
    <row r="813" spans="6:7" x14ac:dyDescent="0.15">
      <c r="F813" s="111"/>
      <c r="G813" s="111"/>
    </row>
    <row r="814" spans="6:7" x14ac:dyDescent="0.15">
      <c r="F814" s="111"/>
      <c r="G814" s="111"/>
    </row>
    <row r="815" spans="6:7" x14ac:dyDescent="0.15">
      <c r="F815" s="111"/>
      <c r="G815" s="111"/>
    </row>
    <row r="816" spans="6:7" x14ac:dyDescent="0.15">
      <c r="F816" s="111"/>
      <c r="G816" s="111"/>
    </row>
    <row r="817" spans="6:7" x14ac:dyDescent="0.15">
      <c r="F817" s="111"/>
      <c r="G817" s="111"/>
    </row>
    <row r="818" spans="6:7" x14ac:dyDescent="0.15">
      <c r="F818" s="111"/>
      <c r="G818" s="111"/>
    </row>
    <row r="819" spans="6:7" x14ac:dyDescent="0.15">
      <c r="F819" s="111"/>
      <c r="G819" s="111"/>
    </row>
    <row r="820" spans="6:7" x14ac:dyDescent="0.15">
      <c r="F820" s="111"/>
      <c r="G820" s="111"/>
    </row>
    <row r="821" spans="6:7" x14ac:dyDescent="0.15">
      <c r="F821" s="111"/>
      <c r="G821" s="111"/>
    </row>
    <row r="822" spans="6:7" x14ac:dyDescent="0.15">
      <c r="F822" s="111"/>
      <c r="G822" s="111"/>
    </row>
    <row r="823" spans="6:7" x14ac:dyDescent="0.15">
      <c r="F823" s="111"/>
      <c r="G823" s="111"/>
    </row>
    <row r="824" spans="6:7" x14ac:dyDescent="0.15">
      <c r="F824" s="111"/>
      <c r="G824" s="111"/>
    </row>
    <row r="825" spans="6:7" x14ac:dyDescent="0.15">
      <c r="F825" s="111"/>
      <c r="G825" s="111"/>
    </row>
    <row r="826" spans="6:7" x14ac:dyDescent="0.15">
      <c r="F826" s="111"/>
      <c r="G826" s="111"/>
    </row>
    <row r="827" spans="6:7" x14ac:dyDescent="0.15">
      <c r="F827" s="111"/>
      <c r="G827" s="111"/>
    </row>
    <row r="828" spans="6:7" x14ac:dyDescent="0.15">
      <c r="F828" s="111"/>
      <c r="G828" s="111"/>
    </row>
    <row r="829" spans="6:7" x14ac:dyDescent="0.15">
      <c r="F829" s="111"/>
      <c r="G829" s="111"/>
    </row>
    <row r="830" spans="6:7" x14ac:dyDescent="0.15">
      <c r="F830" s="111"/>
      <c r="G830" s="111"/>
    </row>
    <row r="831" spans="6:7" x14ac:dyDescent="0.15">
      <c r="F831" s="111"/>
      <c r="G831" s="111"/>
    </row>
    <row r="832" spans="6:7" x14ac:dyDescent="0.15">
      <c r="F832" s="111"/>
      <c r="G832" s="111"/>
    </row>
    <row r="833" spans="6:7" x14ac:dyDescent="0.15">
      <c r="F833" s="111"/>
      <c r="G833" s="111"/>
    </row>
    <row r="834" spans="6:7" x14ac:dyDescent="0.15">
      <c r="F834" s="111"/>
      <c r="G834" s="111"/>
    </row>
    <row r="835" spans="6:7" x14ac:dyDescent="0.15">
      <c r="F835" s="111"/>
      <c r="G835" s="111"/>
    </row>
    <row r="836" spans="6:7" x14ac:dyDescent="0.15">
      <c r="F836" s="111"/>
      <c r="G836" s="111"/>
    </row>
    <row r="837" spans="6:7" x14ac:dyDescent="0.15">
      <c r="F837" s="111"/>
      <c r="G837" s="111"/>
    </row>
    <row r="838" spans="6:7" x14ac:dyDescent="0.15">
      <c r="F838" s="111"/>
      <c r="G838" s="111"/>
    </row>
    <row r="839" spans="6:7" x14ac:dyDescent="0.15">
      <c r="F839" s="111"/>
      <c r="G839" s="111"/>
    </row>
    <row r="840" spans="6:7" x14ac:dyDescent="0.15">
      <c r="F840" s="111"/>
      <c r="G840" s="111"/>
    </row>
    <row r="841" spans="6:7" x14ac:dyDescent="0.15">
      <c r="F841" s="111"/>
      <c r="G841" s="111"/>
    </row>
    <row r="842" spans="6:7" x14ac:dyDescent="0.15">
      <c r="F842" s="111"/>
      <c r="G842" s="111"/>
    </row>
    <row r="843" spans="6:7" x14ac:dyDescent="0.15">
      <c r="F843" s="111"/>
      <c r="G843" s="111"/>
    </row>
    <row r="844" spans="6:7" x14ac:dyDescent="0.15">
      <c r="F844" s="111"/>
      <c r="G844" s="111"/>
    </row>
    <row r="845" spans="6:7" x14ac:dyDescent="0.15">
      <c r="F845" s="111"/>
      <c r="G845" s="111"/>
    </row>
    <row r="846" spans="6:7" x14ac:dyDescent="0.15">
      <c r="F846" s="111"/>
      <c r="G846" s="111"/>
    </row>
    <row r="847" spans="6:7" x14ac:dyDescent="0.15">
      <c r="F847" s="111"/>
      <c r="G847" s="111"/>
    </row>
    <row r="848" spans="6:7" x14ac:dyDescent="0.15">
      <c r="F848" s="111"/>
      <c r="G848" s="111"/>
    </row>
    <row r="849" spans="6:7" x14ac:dyDescent="0.15">
      <c r="F849" s="111"/>
      <c r="G849" s="111"/>
    </row>
    <row r="850" spans="6:7" x14ac:dyDescent="0.15">
      <c r="F850" s="111"/>
      <c r="G850" s="111"/>
    </row>
    <row r="851" spans="6:7" x14ac:dyDescent="0.15">
      <c r="F851" s="111"/>
      <c r="G851" s="111"/>
    </row>
    <row r="852" spans="6:7" x14ac:dyDescent="0.15">
      <c r="F852" s="111"/>
      <c r="G852" s="111"/>
    </row>
    <row r="853" spans="6:7" x14ac:dyDescent="0.15">
      <c r="F853" s="111"/>
      <c r="G853" s="111"/>
    </row>
    <row r="854" spans="6:7" x14ac:dyDescent="0.15">
      <c r="F854" s="111"/>
      <c r="G854" s="111"/>
    </row>
    <row r="855" spans="6:7" x14ac:dyDescent="0.15">
      <c r="F855" s="111"/>
      <c r="G855" s="111"/>
    </row>
    <row r="856" spans="6:7" x14ac:dyDescent="0.15">
      <c r="F856" s="111"/>
      <c r="G856" s="111"/>
    </row>
    <row r="857" spans="6:7" x14ac:dyDescent="0.15">
      <c r="F857" s="111"/>
      <c r="G857" s="111"/>
    </row>
    <row r="858" spans="6:7" x14ac:dyDescent="0.15">
      <c r="F858" s="111"/>
      <c r="G858" s="111"/>
    </row>
    <row r="859" spans="6:7" x14ac:dyDescent="0.15">
      <c r="F859" s="111"/>
      <c r="G859" s="111"/>
    </row>
    <row r="860" spans="6:7" x14ac:dyDescent="0.15">
      <c r="F860" s="111"/>
      <c r="G860" s="111"/>
    </row>
    <row r="861" spans="6:7" x14ac:dyDescent="0.15">
      <c r="F861" s="111"/>
      <c r="G861" s="111"/>
    </row>
    <row r="862" spans="6:7" x14ac:dyDescent="0.15">
      <c r="F862" s="111"/>
      <c r="G862" s="111"/>
    </row>
    <row r="863" spans="6:7" x14ac:dyDescent="0.15">
      <c r="F863" s="111"/>
      <c r="G863" s="111"/>
    </row>
    <row r="864" spans="6:7" x14ac:dyDescent="0.15">
      <c r="F864" s="111"/>
      <c r="G864" s="111"/>
    </row>
    <row r="865" spans="6:7" x14ac:dyDescent="0.15">
      <c r="F865" s="111"/>
      <c r="G865" s="111"/>
    </row>
    <row r="866" spans="6:7" x14ac:dyDescent="0.15">
      <c r="F866" s="111"/>
      <c r="G866" s="111"/>
    </row>
    <row r="867" spans="6:7" x14ac:dyDescent="0.15">
      <c r="F867" s="111"/>
      <c r="G867" s="111"/>
    </row>
    <row r="868" spans="6:7" x14ac:dyDescent="0.15">
      <c r="F868" s="111"/>
      <c r="G868" s="111"/>
    </row>
    <row r="869" spans="6:7" x14ac:dyDescent="0.15">
      <c r="F869" s="111"/>
      <c r="G869" s="111"/>
    </row>
    <row r="870" spans="6:7" x14ac:dyDescent="0.15">
      <c r="F870" s="111"/>
      <c r="G870" s="111"/>
    </row>
    <row r="871" spans="6:7" x14ac:dyDescent="0.15">
      <c r="F871" s="111"/>
      <c r="G871" s="111"/>
    </row>
    <row r="872" spans="6:7" x14ac:dyDescent="0.15">
      <c r="F872" s="111"/>
      <c r="G872" s="111"/>
    </row>
    <row r="873" spans="6:7" x14ac:dyDescent="0.15">
      <c r="F873" s="111"/>
      <c r="G873" s="111"/>
    </row>
    <row r="874" spans="6:7" x14ac:dyDescent="0.15">
      <c r="F874" s="111"/>
      <c r="G874" s="111"/>
    </row>
    <row r="875" spans="6:7" x14ac:dyDescent="0.15">
      <c r="F875" s="111"/>
      <c r="G875" s="111"/>
    </row>
    <row r="876" spans="6:7" x14ac:dyDescent="0.15">
      <c r="F876" s="111"/>
      <c r="G876" s="111"/>
    </row>
    <row r="877" spans="6:7" x14ac:dyDescent="0.15">
      <c r="F877" s="111"/>
      <c r="G877" s="111"/>
    </row>
    <row r="878" spans="6:7" x14ac:dyDescent="0.15">
      <c r="F878" s="111"/>
      <c r="G878" s="111"/>
    </row>
    <row r="879" spans="6:7" x14ac:dyDescent="0.15">
      <c r="F879" s="111"/>
      <c r="G879" s="111"/>
    </row>
    <row r="880" spans="6:7" x14ac:dyDescent="0.15">
      <c r="F880" s="111"/>
      <c r="G880" s="111"/>
    </row>
    <row r="881" spans="6:7" x14ac:dyDescent="0.15">
      <c r="F881" s="111"/>
      <c r="G881" s="111"/>
    </row>
    <row r="882" spans="6:7" x14ac:dyDescent="0.15">
      <c r="F882" s="111"/>
      <c r="G882" s="111"/>
    </row>
    <row r="883" spans="6:7" x14ac:dyDescent="0.15">
      <c r="F883" s="111"/>
      <c r="G883" s="111"/>
    </row>
    <row r="884" spans="6:7" x14ac:dyDescent="0.15">
      <c r="F884" s="111"/>
      <c r="G884" s="111"/>
    </row>
    <row r="885" spans="6:7" x14ac:dyDescent="0.15">
      <c r="F885" s="111"/>
      <c r="G885" s="111"/>
    </row>
    <row r="886" spans="6:7" x14ac:dyDescent="0.15">
      <c r="F886" s="111"/>
      <c r="G886" s="111"/>
    </row>
    <row r="887" spans="6:7" x14ac:dyDescent="0.15">
      <c r="F887" s="111"/>
      <c r="G887" s="111"/>
    </row>
    <row r="888" spans="6:7" x14ac:dyDescent="0.15">
      <c r="F888" s="111"/>
      <c r="G888" s="111"/>
    </row>
    <row r="889" spans="6:7" x14ac:dyDescent="0.15">
      <c r="F889" s="111"/>
      <c r="G889" s="111"/>
    </row>
    <row r="890" spans="6:7" x14ac:dyDescent="0.15">
      <c r="F890" s="111"/>
      <c r="G890" s="111"/>
    </row>
    <row r="891" spans="6:7" x14ac:dyDescent="0.15">
      <c r="F891" s="111"/>
      <c r="G891" s="111"/>
    </row>
    <row r="892" spans="6:7" x14ac:dyDescent="0.15">
      <c r="F892" s="111"/>
      <c r="G892" s="111"/>
    </row>
    <row r="893" spans="6:7" x14ac:dyDescent="0.15">
      <c r="F893" s="111"/>
      <c r="G893" s="111"/>
    </row>
    <row r="894" spans="6:7" x14ac:dyDescent="0.15">
      <c r="F894" s="111"/>
      <c r="G894" s="111"/>
    </row>
    <row r="895" spans="6:7" x14ac:dyDescent="0.15">
      <c r="F895" s="111"/>
      <c r="G895" s="111"/>
    </row>
    <row r="896" spans="6:7" x14ac:dyDescent="0.15">
      <c r="F896" s="111"/>
      <c r="G896" s="111"/>
    </row>
    <row r="897" spans="6:7" x14ac:dyDescent="0.15">
      <c r="F897" s="111"/>
      <c r="G897" s="111"/>
    </row>
    <row r="898" spans="6:7" x14ac:dyDescent="0.15">
      <c r="F898" s="111"/>
      <c r="G898" s="111"/>
    </row>
    <row r="899" spans="6:7" x14ac:dyDescent="0.15">
      <c r="F899" s="111"/>
      <c r="G899" s="111"/>
    </row>
    <row r="900" spans="6:7" x14ac:dyDescent="0.15">
      <c r="F900" s="111"/>
      <c r="G900" s="111"/>
    </row>
    <row r="901" spans="6:7" x14ac:dyDescent="0.15">
      <c r="F901" s="111"/>
      <c r="G901" s="111"/>
    </row>
    <row r="902" spans="6:7" x14ac:dyDescent="0.15">
      <c r="F902" s="111"/>
      <c r="G902" s="111"/>
    </row>
    <row r="903" spans="6:7" x14ac:dyDescent="0.15">
      <c r="F903" s="111"/>
      <c r="G903" s="111"/>
    </row>
    <row r="904" spans="6:7" x14ac:dyDescent="0.15">
      <c r="F904" s="111"/>
      <c r="G904" s="111"/>
    </row>
    <row r="905" spans="6:7" x14ac:dyDescent="0.15">
      <c r="F905" s="111"/>
      <c r="G905" s="111"/>
    </row>
    <row r="906" spans="6:7" x14ac:dyDescent="0.15">
      <c r="F906" s="111"/>
      <c r="G906" s="111"/>
    </row>
    <row r="907" spans="6:7" x14ac:dyDescent="0.15">
      <c r="F907" s="111"/>
      <c r="G907" s="111"/>
    </row>
    <row r="908" spans="6:7" x14ac:dyDescent="0.15">
      <c r="F908" s="111"/>
      <c r="G908" s="111"/>
    </row>
    <row r="909" spans="6:7" x14ac:dyDescent="0.15">
      <c r="F909" s="111"/>
      <c r="G909" s="111"/>
    </row>
    <row r="910" spans="6:7" x14ac:dyDescent="0.15">
      <c r="F910" s="111"/>
      <c r="G910" s="111"/>
    </row>
    <row r="911" spans="6:7" x14ac:dyDescent="0.15">
      <c r="F911" s="111"/>
      <c r="G911" s="111"/>
    </row>
    <row r="912" spans="6:7" x14ac:dyDescent="0.15">
      <c r="F912" s="111"/>
      <c r="G912" s="111"/>
    </row>
    <row r="913" spans="6:7" x14ac:dyDescent="0.15">
      <c r="F913" s="111"/>
      <c r="G913" s="111"/>
    </row>
    <row r="914" spans="6:7" x14ac:dyDescent="0.15">
      <c r="F914" s="111"/>
      <c r="G914" s="111"/>
    </row>
    <row r="915" spans="6:7" x14ac:dyDescent="0.15">
      <c r="F915" s="111"/>
      <c r="G915" s="111"/>
    </row>
    <row r="916" spans="6:7" x14ac:dyDescent="0.15">
      <c r="F916" s="111"/>
      <c r="G916" s="111"/>
    </row>
    <row r="917" spans="6:7" x14ac:dyDescent="0.15">
      <c r="F917" s="111"/>
      <c r="G917" s="111"/>
    </row>
    <row r="918" spans="6:7" x14ac:dyDescent="0.15">
      <c r="F918" s="111"/>
      <c r="G918" s="111"/>
    </row>
    <row r="919" spans="6:7" x14ac:dyDescent="0.15">
      <c r="F919" s="111"/>
      <c r="G919" s="111"/>
    </row>
    <row r="920" spans="6:7" x14ac:dyDescent="0.15">
      <c r="F920" s="111"/>
      <c r="G920" s="111"/>
    </row>
    <row r="921" spans="6:7" x14ac:dyDescent="0.15">
      <c r="F921" s="111"/>
      <c r="G921" s="111"/>
    </row>
    <row r="922" spans="6:7" x14ac:dyDescent="0.15">
      <c r="F922" s="111"/>
      <c r="G922" s="111"/>
    </row>
    <row r="923" spans="6:7" x14ac:dyDescent="0.15">
      <c r="F923" s="111"/>
      <c r="G923" s="111"/>
    </row>
    <row r="924" spans="6:7" x14ac:dyDescent="0.15">
      <c r="F924" s="111"/>
      <c r="G924" s="111"/>
    </row>
    <row r="925" spans="6:7" x14ac:dyDescent="0.15">
      <c r="F925" s="111"/>
      <c r="G925" s="111"/>
    </row>
    <row r="926" spans="6:7" x14ac:dyDescent="0.15">
      <c r="F926" s="111"/>
      <c r="G926" s="111"/>
    </row>
    <row r="927" spans="6:7" x14ac:dyDescent="0.15">
      <c r="F927" s="111"/>
      <c r="G927" s="111"/>
    </row>
    <row r="928" spans="6:7" x14ac:dyDescent="0.15">
      <c r="F928" s="111"/>
      <c r="G928" s="111"/>
    </row>
    <row r="929" spans="6:7" x14ac:dyDescent="0.15">
      <c r="F929" s="111"/>
      <c r="G929" s="111"/>
    </row>
    <row r="930" spans="6:7" x14ac:dyDescent="0.15">
      <c r="F930" s="111"/>
      <c r="G930" s="111"/>
    </row>
    <row r="931" spans="6:7" x14ac:dyDescent="0.15">
      <c r="F931" s="111"/>
      <c r="G931" s="111"/>
    </row>
    <row r="932" spans="6:7" x14ac:dyDescent="0.15">
      <c r="F932" s="111"/>
      <c r="G932" s="111"/>
    </row>
    <row r="933" spans="6:7" x14ac:dyDescent="0.15">
      <c r="F933" s="111"/>
      <c r="G933" s="111"/>
    </row>
    <row r="934" spans="6:7" x14ac:dyDescent="0.15">
      <c r="F934" s="111"/>
      <c r="G934" s="111"/>
    </row>
    <row r="935" spans="6:7" x14ac:dyDescent="0.15">
      <c r="F935" s="111"/>
      <c r="G935" s="111"/>
    </row>
    <row r="936" spans="6:7" x14ac:dyDescent="0.15">
      <c r="F936" s="111"/>
      <c r="G936" s="111"/>
    </row>
    <row r="937" spans="6:7" x14ac:dyDescent="0.15">
      <c r="F937" s="111"/>
      <c r="G937" s="111"/>
    </row>
    <row r="938" spans="6:7" x14ac:dyDescent="0.15">
      <c r="F938" s="111"/>
      <c r="G938" s="111"/>
    </row>
    <row r="939" spans="6:7" x14ac:dyDescent="0.15">
      <c r="F939" s="111"/>
      <c r="G939" s="111"/>
    </row>
    <row r="940" spans="6:7" x14ac:dyDescent="0.15">
      <c r="F940" s="111"/>
      <c r="G940" s="111"/>
    </row>
    <row r="941" spans="6:7" x14ac:dyDescent="0.15">
      <c r="F941" s="111"/>
      <c r="G941" s="111"/>
    </row>
    <row r="942" spans="6:7" x14ac:dyDescent="0.15">
      <c r="F942" s="111"/>
      <c r="G942" s="111"/>
    </row>
    <row r="943" spans="6:7" x14ac:dyDescent="0.15">
      <c r="F943" s="111"/>
      <c r="G943" s="111"/>
    </row>
    <row r="944" spans="6:7" x14ac:dyDescent="0.15">
      <c r="F944" s="111"/>
      <c r="G944" s="111"/>
    </row>
    <row r="945" spans="6:7" x14ac:dyDescent="0.15">
      <c r="F945" s="111"/>
      <c r="G945" s="111"/>
    </row>
    <row r="946" spans="6:7" x14ac:dyDescent="0.15">
      <c r="F946" s="111"/>
      <c r="G946" s="111"/>
    </row>
    <row r="947" spans="6:7" x14ac:dyDescent="0.15">
      <c r="F947" s="111"/>
      <c r="G947" s="111"/>
    </row>
    <row r="948" spans="6:7" x14ac:dyDescent="0.15">
      <c r="F948" s="111"/>
      <c r="G948" s="111"/>
    </row>
    <row r="949" spans="6:7" x14ac:dyDescent="0.15">
      <c r="F949" s="111"/>
      <c r="G949" s="111"/>
    </row>
    <row r="950" spans="6:7" x14ac:dyDescent="0.15">
      <c r="F950" s="111"/>
      <c r="G950" s="111"/>
    </row>
    <row r="951" spans="6:7" x14ac:dyDescent="0.15">
      <c r="F951" s="111"/>
      <c r="G951" s="111"/>
    </row>
    <row r="952" spans="6:7" x14ac:dyDescent="0.15">
      <c r="F952" s="111"/>
      <c r="G952" s="111"/>
    </row>
    <row r="953" spans="6:7" x14ac:dyDescent="0.15">
      <c r="F953" s="111"/>
      <c r="G953" s="111"/>
    </row>
    <row r="954" spans="6:7" x14ac:dyDescent="0.15">
      <c r="F954" s="111"/>
      <c r="G954" s="111"/>
    </row>
    <row r="955" spans="6:7" x14ac:dyDescent="0.15">
      <c r="F955" s="111"/>
      <c r="G955" s="111"/>
    </row>
    <row r="956" spans="6:7" x14ac:dyDescent="0.15">
      <c r="F956" s="111"/>
      <c r="G956" s="111"/>
    </row>
    <row r="957" spans="6:7" x14ac:dyDescent="0.15">
      <c r="F957" s="111"/>
      <c r="G957" s="111"/>
    </row>
    <row r="958" spans="6:7" x14ac:dyDescent="0.15">
      <c r="F958" s="111"/>
      <c r="G958" s="111"/>
    </row>
    <row r="959" spans="6:7" x14ac:dyDescent="0.15">
      <c r="F959" s="111"/>
      <c r="G959" s="111"/>
    </row>
    <row r="960" spans="6:7" x14ac:dyDescent="0.15">
      <c r="F960" s="111"/>
      <c r="G960" s="111"/>
    </row>
    <row r="961" spans="6:7" x14ac:dyDescent="0.15">
      <c r="F961" s="111"/>
      <c r="G961" s="111"/>
    </row>
    <row r="962" spans="6:7" x14ac:dyDescent="0.15">
      <c r="F962" s="111"/>
      <c r="G962" s="111"/>
    </row>
    <row r="963" spans="6:7" x14ac:dyDescent="0.15">
      <c r="F963" s="111"/>
      <c r="G963" s="111"/>
    </row>
    <row r="964" spans="6:7" x14ac:dyDescent="0.15">
      <c r="F964" s="111"/>
      <c r="G964" s="111"/>
    </row>
    <row r="965" spans="6:7" x14ac:dyDescent="0.15">
      <c r="F965" s="111"/>
      <c r="G965" s="111"/>
    </row>
    <row r="966" spans="6:7" x14ac:dyDescent="0.15">
      <c r="F966" s="111"/>
      <c r="G966" s="111"/>
    </row>
    <row r="967" spans="6:7" x14ac:dyDescent="0.15">
      <c r="F967" s="111"/>
      <c r="G967" s="111"/>
    </row>
    <row r="968" spans="6:7" x14ac:dyDescent="0.15">
      <c r="F968" s="111"/>
      <c r="G968" s="111"/>
    </row>
    <row r="969" spans="6:7" x14ac:dyDescent="0.15">
      <c r="F969" s="111"/>
      <c r="G969" s="111"/>
    </row>
    <row r="970" spans="6:7" x14ac:dyDescent="0.15">
      <c r="F970" s="111"/>
      <c r="G970" s="111"/>
    </row>
    <row r="971" spans="6:7" x14ac:dyDescent="0.15">
      <c r="F971" s="111"/>
      <c r="G971" s="111"/>
    </row>
    <row r="972" spans="6:7" x14ac:dyDescent="0.15">
      <c r="F972" s="111"/>
      <c r="G972" s="111"/>
    </row>
    <row r="973" spans="6:7" x14ac:dyDescent="0.15">
      <c r="F973" s="111"/>
      <c r="G973" s="111"/>
    </row>
    <row r="974" spans="6:7" x14ac:dyDescent="0.15">
      <c r="F974" s="111"/>
      <c r="G974" s="111"/>
    </row>
    <row r="975" spans="6:7" x14ac:dyDescent="0.15">
      <c r="F975" s="111"/>
      <c r="G975" s="111"/>
    </row>
    <row r="976" spans="6:7" x14ac:dyDescent="0.15">
      <c r="F976" s="111"/>
      <c r="G976" s="111"/>
    </row>
    <row r="977" spans="6:7" x14ac:dyDescent="0.15">
      <c r="F977" s="111"/>
      <c r="G977" s="111"/>
    </row>
    <row r="978" spans="6:7" x14ac:dyDescent="0.15">
      <c r="F978" s="111"/>
      <c r="G978" s="111"/>
    </row>
    <row r="979" spans="6:7" x14ac:dyDescent="0.15">
      <c r="F979" s="111"/>
      <c r="G979" s="111"/>
    </row>
    <row r="980" spans="6:7" x14ac:dyDescent="0.15">
      <c r="F980" s="111"/>
      <c r="G980" s="111"/>
    </row>
    <row r="981" spans="6:7" x14ac:dyDescent="0.15">
      <c r="F981" s="111"/>
      <c r="G981" s="111"/>
    </row>
    <row r="982" spans="6:7" x14ac:dyDescent="0.15">
      <c r="F982" s="111"/>
      <c r="G982" s="111"/>
    </row>
    <row r="983" spans="6:7" x14ac:dyDescent="0.15">
      <c r="F983" s="111"/>
      <c r="G983" s="111"/>
    </row>
    <row r="984" spans="6:7" x14ac:dyDescent="0.15">
      <c r="F984" s="111"/>
      <c r="G984" s="111"/>
    </row>
    <row r="985" spans="6:7" x14ac:dyDescent="0.15">
      <c r="F985" s="111"/>
      <c r="G985" s="111"/>
    </row>
    <row r="986" spans="6:7" x14ac:dyDescent="0.15">
      <c r="F986" s="111"/>
      <c r="G986" s="111"/>
    </row>
    <row r="987" spans="6:7" x14ac:dyDescent="0.15">
      <c r="F987" s="111"/>
      <c r="G987" s="111"/>
    </row>
    <row r="988" spans="6:7" x14ac:dyDescent="0.15">
      <c r="F988" s="111"/>
      <c r="G988" s="111"/>
    </row>
    <row r="989" spans="6:7" x14ac:dyDescent="0.15">
      <c r="F989" s="111"/>
      <c r="G989" s="111"/>
    </row>
    <row r="990" spans="6:7" x14ac:dyDescent="0.15">
      <c r="F990" s="111"/>
      <c r="G990" s="111"/>
    </row>
    <row r="991" spans="6:7" x14ac:dyDescent="0.15">
      <c r="F991" s="111"/>
      <c r="G991" s="111"/>
    </row>
    <row r="992" spans="6:7" x14ac:dyDescent="0.15">
      <c r="F992" s="111"/>
      <c r="G992" s="111"/>
    </row>
    <row r="993" spans="6:7" x14ac:dyDescent="0.15">
      <c r="F993" s="111"/>
      <c r="G993" s="111"/>
    </row>
    <row r="994" spans="6:7" x14ac:dyDescent="0.15">
      <c r="F994" s="111"/>
      <c r="G994" s="111"/>
    </row>
    <row r="995" spans="6:7" x14ac:dyDescent="0.15">
      <c r="F995" s="111"/>
      <c r="G995" s="111"/>
    </row>
    <row r="996" spans="6:7" x14ac:dyDescent="0.15">
      <c r="F996" s="111"/>
      <c r="G996" s="111"/>
    </row>
    <row r="997" spans="6:7" x14ac:dyDescent="0.15">
      <c r="F997" s="111"/>
      <c r="G997" s="111"/>
    </row>
    <row r="998" spans="6:7" x14ac:dyDescent="0.15">
      <c r="F998" s="111"/>
      <c r="G998" s="111"/>
    </row>
    <row r="999" spans="6:7" x14ac:dyDescent="0.15">
      <c r="F999" s="111"/>
      <c r="G999" s="111"/>
    </row>
    <row r="1000" spans="6:7" x14ac:dyDescent="0.15">
      <c r="F1000" s="111"/>
      <c r="G1000" s="111"/>
    </row>
    <row r="1001" spans="6:7" x14ac:dyDescent="0.15">
      <c r="F1001" s="111"/>
      <c r="G1001" s="111"/>
    </row>
    <row r="1002" spans="6:7" x14ac:dyDescent="0.15">
      <c r="F1002" s="111"/>
      <c r="G1002" s="111"/>
    </row>
    <row r="1003" spans="6:7" x14ac:dyDescent="0.15">
      <c r="F1003" s="111"/>
      <c r="G1003" s="111"/>
    </row>
    <row r="1004" spans="6:7" x14ac:dyDescent="0.15">
      <c r="F1004" s="111"/>
      <c r="G1004" s="111"/>
    </row>
    <row r="1005" spans="6:7" x14ac:dyDescent="0.15">
      <c r="F1005" s="111"/>
      <c r="G1005" s="111"/>
    </row>
    <row r="1006" spans="6:7" x14ac:dyDescent="0.15">
      <c r="F1006" s="111"/>
      <c r="G1006" s="111"/>
    </row>
    <row r="1007" spans="6:7" x14ac:dyDescent="0.15">
      <c r="F1007" s="111"/>
      <c r="G1007" s="111"/>
    </row>
    <row r="1008" spans="6:7" x14ac:dyDescent="0.15">
      <c r="F1008" s="111"/>
      <c r="G1008" s="111"/>
    </row>
    <row r="1009" spans="6:7" x14ac:dyDescent="0.15">
      <c r="F1009" s="111"/>
      <c r="G1009" s="111"/>
    </row>
    <row r="1010" spans="6:7" x14ac:dyDescent="0.15">
      <c r="F1010" s="111"/>
      <c r="G1010" s="111"/>
    </row>
    <row r="1011" spans="6:7" x14ac:dyDescent="0.15">
      <c r="F1011" s="111"/>
      <c r="G1011" s="111"/>
    </row>
    <row r="1012" spans="6:7" x14ac:dyDescent="0.15">
      <c r="F1012" s="111"/>
      <c r="G1012" s="111"/>
    </row>
    <row r="1013" spans="6:7" x14ac:dyDescent="0.15">
      <c r="F1013" s="111"/>
      <c r="G1013" s="111"/>
    </row>
    <row r="1014" spans="6:7" x14ac:dyDescent="0.15">
      <c r="F1014" s="111"/>
      <c r="G1014" s="111"/>
    </row>
    <row r="1015" spans="6:7" x14ac:dyDescent="0.15">
      <c r="F1015" s="111"/>
      <c r="G1015" s="111"/>
    </row>
    <row r="1016" spans="6:7" x14ac:dyDescent="0.15">
      <c r="F1016" s="111"/>
      <c r="G1016" s="111"/>
    </row>
    <row r="1017" spans="6:7" x14ac:dyDescent="0.15">
      <c r="F1017" s="111"/>
      <c r="G1017" s="111"/>
    </row>
    <row r="1018" spans="6:7" x14ac:dyDescent="0.15">
      <c r="F1018" s="111"/>
      <c r="G1018" s="111"/>
    </row>
    <row r="1019" spans="6:7" x14ac:dyDescent="0.15">
      <c r="F1019" s="111"/>
      <c r="G1019" s="111"/>
    </row>
    <row r="1020" spans="6:7" x14ac:dyDescent="0.15">
      <c r="F1020" s="111"/>
      <c r="G1020" s="111"/>
    </row>
    <row r="1021" spans="6:7" x14ac:dyDescent="0.15">
      <c r="F1021" s="111"/>
      <c r="G1021" s="111"/>
    </row>
    <row r="1022" spans="6:7" x14ac:dyDescent="0.15">
      <c r="F1022" s="111"/>
      <c r="G1022" s="111"/>
    </row>
    <row r="1023" spans="6:7" x14ac:dyDescent="0.15">
      <c r="F1023" s="111"/>
      <c r="G1023" s="111"/>
    </row>
    <row r="1024" spans="6:7" x14ac:dyDescent="0.15">
      <c r="F1024" s="111"/>
      <c r="G1024" s="111"/>
    </row>
    <row r="1025" spans="6:7" x14ac:dyDescent="0.15">
      <c r="F1025" s="111"/>
      <c r="G1025" s="111"/>
    </row>
    <row r="1026" spans="6:7" x14ac:dyDescent="0.15">
      <c r="F1026" s="111"/>
      <c r="G1026" s="111"/>
    </row>
    <row r="1027" spans="6:7" x14ac:dyDescent="0.15">
      <c r="F1027" s="111"/>
      <c r="G1027" s="111"/>
    </row>
    <row r="1028" spans="6:7" x14ac:dyDescent="0.15">
      <c r="F1028" s="111"/>
      <c r="G1028" s="111"/>
    </row>
    <row r="1029" spans="6:7" x14ac:dyDescent="0.15">
      <c r="F1029" s="111"/>
      <c r="G1029" s="111"/>
    </row>
    <row r="1030" spans="6:7" x14ac:dyDescent="0.15">
      <c r="F1030" s="111"/>
      <c r="G1030" s="111"/>
    </row>
    <row r="1031" spans="6:7" x14ac:dyDescent="0.15">
      <c r="F1031" s="111"/>
      <c r="G1031" s="111"/>
    </row>
    <row r="1032" spans="6:7" x14ac:dyDescent="0.15">
      <c r="F1032" s="111"/>
      <c r="G1032" s="111"/>
    </row>
    <row r="1033" spans="6:7" x14ac:dyDescent="0.15">
      <c r="F1033" s="111"/>
      <c r="G1033" s="111"/>
    </row>
    <row r="1034" spans="6:7" x14ac:dyDescent="0.15">
      <c r="F1034" s="111"/>
      <c r="G1034" s="111"/>
    </row>
    <row r="1035" spans="6:7" x14ac:dyDescent="0.15">
      <c r="F1035" s="111"/>
      <c r="G1035" s="111"/>
    </row>
    <row r="1036" spans="6:7" x14ac:dyDescent="0.15">
      <c r="F1036" s="111"/>
      <c r="G1036" s="111"/>
    </row>
    <row r="1037" spans="6:7" x14ac:dyDescent="0.15">
      <c r="F1037" s="111"/>
      <c r="G1037" s="111"/>
    </row>
    <row r="1038" spans="6:7" x14ac:dyDescent="0.15">
      <c r="F1038" s="111"/>
      <c r="G1038" s="111"/>
    </row>
    <row r="1039" spans="6:7" x14ac:dyDescent="0.15">
      <c r="F1039" s="111"/>
      <c r="G1039" s="111"/>
    </row>
    <row r="1040" spans="6:7" x14ac:dyDescent="0.15">
      <c r="F1040" s="111"/>
      <c r="G1040" s="111"/>
    </row>
    <row r="1041" spans="6:7" x14ac:dyDescent="0.15">
      <c r="F1041" s="111"/>
      <c r="G1041" s="111"/>
    </row>
    <row r="1042" spans="6:7" x14ac:dyDescent="0.15">
      <c r="F1042" s="111"/>
      <c r="G1042" s="111"/>
    </row>
    <row r="1043" spans="6:7" x14ac:dyDescent="0.15">
      <c r="F1043" s="111"/>
      <c r="G1043" s="111"/>
    </row>
    <row r="1044" spans="6:7" x14ac:dyDescent="0.15">
      <c r="F1044" s="111"/>
      <c r="G1044" s="111"/>
    </row>
    <row r="1045" spans="6:7" x14ac:dyDescent="0.15">
      <c r="F1045" s="111"/>
      <c r="G1045" s="111"/>
    </row>
    <row r="1046" spans="6:7" x14ac:dyDescent="0.15">
      <c r="F1046" s="111"/>
      <c r="G1046" s="111"/>
    </row>
    <row r="1047" spans="6:7" x14ac:dyDescent="0.15">
      <c r="F1047" s="111"/>
      <c r="G1047" s="111"/>
    </row>
    <row r="1048" spans="6:7" x14ac:dyDescent="0.15">
      <c r="F1048" s="111"/>
      <c r="G1048" s="111"/>
    </row>
    <row r="1049" spans="6:7" x14ac:dyDescent="0.15">
      <c r="F1049" s="111"/>
      <c r="G1049" s="111"/>
    </row>
    <row r="1050" spans="6:7" x14ac:dyDescent="0.15">
      <c r="F1050" s="111"/>
      <c r="G1050" s="111"/>
    </row>
    <row r="1051" spans="6:7" x14ac:dyDescent="0.15">
      <c r="F1051" s="111"/>
      <c r="G1051" s="111"/>
    </row>
    <row r="1052" spans="6:7" x14ac:dyDescent="0.15">
      <c r="F1052" s="111"/>
      <c r="G1052" s="111"/>
    </row>
    <row r="1053" spans="6:7" x14ac:dyDescent="0.15">
      <c r="F1053" s="111"/>
      <c r="G1053" s="111"/>
    </row>
    <row r="1054" spans="6:7" x14ac:dyDescent="0.15">
      <c r="F1054" s="111"/>
      <c r="G1054" s="111"/>
    </row>
    <row r="1055" spans="6:7" x14ac:dyDescent="0.15">
      <c r="F1055" s="111"/>
      <c r="G1055" s="111"/>
    </row>
    <row r="1056" spans="6:7" x14ac:dyDescent="0.15">
      <c r="F1056" s="111"/>
      <c r="G1056" s="111"/>
    </row>
    <row r="1057" spans="6:7" x14ac:dyDescent="0.15">
      <c r="F1057" s="111"/>
      <c r="G1057" s="111"/>
    </row>
    <row r="1058" spans="6:7" x14ac:dyDescent="0.15">
      <c r="F1058" s="111"/>
      <c r="G1058" s="111"/>
    </row>
    <row r="1059" spans="6:7" x14ac:dyDescent="0.15">
      <c r="F1059" s="111"/>
      <c r="G1059" s="111"/>
    </row>
    <row r="1060" spans="6:7" x14ac:dyDescent="0.15">
      <c r="F1060" s="111"/>
      <c r="G1060" s="111"/>
    </row>
    <row r="1061" spans="6:7" x14ac:dyDescent="0.15">
      <c r="F1061" s="111"/>
      <c r="G1061" s="111"/>
    </row>
    <row r="1062" spans="6:7" x14ac:dyDescent="0.15">
      <c r="F1062" s="111"/>
      <c r="G1062" s="111"/>
    </row>
    <row r="1063" spans="6:7" x14ac:dyDescent="0.15">
      <c r="F1063" s="111"/>
      <c r="G1063" s="111"/>
    </row>
    <row r="1064" spans="6:7" x14ac:dyDescent="0.15">
      <c r="F1064" s="111"/>
      <c r="G1064" s="111"/>
    </row>
    <row r="1065" spans="6:7" x14ac:dyDescent="0.15">
      <c r="F1065" s="111"/>
      <c r="G1065" s="111"/>
    </row>
    <row r="1066" spans="6:7" x14ac:dyDescent="0.15">
      <c r="F1066" s="111"/>
      <c r="G1066" s="111"/>
    </row>
    <row r="1067" spans="6:7" x14ac:dyDescent="0.15">
      <c r="F1067" s="111"/>
      <c r="G1067" s="111"/>
    </row>
    <row r="1068" spans="6:7" x14ac:dyDescent="0.15">
      <c r="F1068" s="111"/>
      <c r="G1068" s="111"/>
    </row>
    <row r="1069" spans="6:7" x14ac:dyDescent="0.15">
      <c r="F1069" s="111"/>
      <c r="G1069" s="111"/>
    </row>
    <row r="1070" spans="6:7" x14ac:dyDescent="0.15">
      <c r="F1070" s="111"/>
      <c r="G1070" s="111"/>
    </row>
    <row r="1071" spans="6:7" x14ac:dyDescent="0.15">
      <c r="F1071" s="111"/>
      <c r="G1071" s="111"/>
    </row>
    <row r="1072" spans="6:7" x14ac:dyDescent="0.15">
      <c r="F1072" s="111"/>
      <c r="G1072" s="111"/>
    </row>
    <row r="1073" spans="6:7" x14ac:dyDescent="0.15">
      <c r="F1073" s="111"/>
      <c r="G1073" s="111"/>
    </row>
    <row r="1074" spans="6:7" x14ac:dyDescent="0.15">
      <c r="F1074" s="111"/>
      <c r="G1074" s="111"/>
    </row>
    <row r="1075" spans="6:7" x14ac:dyDescent="0.15">
      <c r="F1075" s="111"/>
      <c r="G1075" s="111"/>
    </row>
    <row r="1076" spans="6:7" x14ac:dyDescent="0.15">
      <c r="F1076" s="111"/>
      <c r="G1076" s="111"/>
    </row>
    <row r="1077" spans="6:7" x14ac:dyDescent="0.15">
      <c r="F1077" s="111"/>
      <c r="G1077" s="111"/>
    </row>
    <row r="1078" spans="6:7" x14ac:dyDescent="0.15">
      <c r="F1078" s="111"/>
      <c r="G1078" s="111"/>
    </row>
    <row r="1079" spans="6:7" x14ac:dyDescent="0.15">
      <c r="F1079" s="111"/>
      <c r="G1079" s="111"/>
    </row>
    <row r="1080" spans="6:7" x14ac:dyDescent="0.15">
      <c r="F1080" s="111"/>
      <c r="G1080" s="111"/>
    </row>
    <row r="1081" spans="6:7" x14ac:dyDescent="0.15">
      <c r="F1081" s="111"/>
      <c r="G1081" s="111"/>
    </row>
    <row r="1082" spans="6:7" x14ac:dyDescent="0.15">
      <c r="F1082" s="111"/>
      <c r="G1082" s="111"/>
    </row>
    <row r="1083" spans="6:7" x14ac:dyDescent="0.15">
      <c r="F1083" s="111"/>
      <c r="G1083" s="111"/>
    </row>
    <row r="1084" spans="6:7" x14ac:dyDescent="0.15">
      <c r="F1084" s="111"/>
      <c r="G1084" s="111"/>
    </row>
    <row r="1085" spans="6:7" x14ac:dyDescent="0.15">
      <c r="F1085" s="111"/>
      <c r="G1085" s="111"/>
    </row>
    <row r="1086" spans="6:7" x14ac:dyDescent="0.15">
      <c r="F1086" s="111"/>
      <c r="G1086" s="111"/>
    </row>
    <row r="1087" spans="6:7" x14ac:dyDescent="0.15">
      <c r="F1087" s="111"/>
      <c r="G1087" s="111"/>
    </row>
    <row r="1088" spans="6:7" x14ac:dyDescent="0.15">
      <c r="F1088" s="111"/>
      <c r="G1088" s="111"/>
    </row>
    <row r="1089" spans="6:7" x14ac:dyDescent="0.15">
      <c r="F1089" s="111"/>
      <c r="G1089" s="111"/>
    </row>
    <row r="1090" spans="6:7" x14ac:dyDescent="0.15">
      <c r="F1090" s="111"/>
      <c r="G1090" s="111"/>
    </row>
    <row r="1091" spans="6:7" x14ac:dyDescent="0.15">
      <c r="F1091" s="111"/>
      <c r="G1091" s="111"/>
    </row>
    <row r="1092" spans="6:7" x14ac:dyDescent="0.15">
      <c r="F1092" s="111"/>
      <c r="G1092" s="111"/>
    </row>
    <row r="1093" spans="6:7" x14ac:dyDescent="0.15">
      <c r="F1093" s="111"/>
      <c r="G1093" s="111"/>
    </row>
    <row r="1094" spans="6:7" x14ac:dyDescent="0.15">
      <c r="F1094" s="111"/>
      <c r="G1094" s="111"/>
    </row>
    <row r="1095" spans="6:7" x14ac:dyDescent="0.15">
      <c r="F1095" s="111"/>
      <c r="G1095" s="111"/>
    </row>
    <row r="1096" spans="6:7" x14ac:dyDescent="0.15">
      <c r="F1096" s="111"/>
      <c r="G1096" s="111"/>
    </row>
    <row r="1097" spans="6:7" x14ac:dyDescent="0.15">
      <c r="F1097" s="111"/>
      <c r="G1097" s="111"/>
    </row>
    <row r="1098" spans="6:7" x14ac:dyDescent="0.15">
      <c r="F1098" s="111"/>
      <c r="G1098" s="111"/>
    </row>
    <row r="1099" spans="6:7" x14ac:dyDescent="0.15">
      <c r="F1099" s="111"/>
      <c r="G1099" s="111"/>
    </row>
    <row r="1100" spans="6:7" x14ac:dyDescent="0.15">
      <c r="F1100" s="111"/>
      <c r="G1100" s="111"/>
    </row>
    <row r="1101" spans="6:7" x14ac:dyDescent="0.15">
      <c r="F1101" s="111"/>
      <c r="G1101" s="111"/>
    </row>
    <row r="1102" spans="6:7" x14ac:dyDescent="0.15">
      <c r="F1102" s="111"/>
      <c r="G1102" s="111"/>
    </row>
    <row r="1103" spans="6:7" x14ac:dyDescent="0.15">
      <c r="F1103" s="111"/>
      <c r="G1103" s="111"/>
    </row>
    <row r="1104" spans="6:7" x14ac:dyDescent="0.15">
      <c r="F1104" s="111"/>
      <c r="G1104" s="111"/>
    </row>
    <row r="1105" spans="6:7" x14ac:dyDescent="0.15">
      <c r="F1105" s="111"/>
      <c r="G1105" s="111"/>
    </row>
    <row r="1106" spans="6:7" x14ac:dyDescent="0.15">
      <c r="F1106" s="111"/>
      <c r="G1106" s="111"/>
    </row>
    <row r="1107" spans="6:7" x14ac:dyDescent="0.15">
      <c r="F1107" s="111"/>
      <c r="G1107" s="111"/>
    </row>
    <row r="1108" spans="6:7" x14ac:dyDescent="0.15">
      <c r="F1108" s="111"/>
      <c r="G1108" s="111"/>
    </row>
    <row r="1109" spans="6:7" x14ac:dyDescent="0.15">
      <c r="F1109" s="111"/>
      <c r="G1109" s="111"/>
    </row>
    <row r="1110" spans="6:7" x14ac:dyDescent="0.15">
      <c r="F1110" s="111"/>
      <c r="G1110" s="111"/>
    </row>
    <row r="1111" spans="6:7" x14ac:dyDescent="0.15">
      <c r="F1111" s="111"/>
      <c r="G1111" s="111"/>
    </row>
    <row r="1112" spans="6:7" x14ac:dyDescent="0.15">
      <c r="F1112" s="111"/>
      <c r="G1112" s="111"/>
    </row>
    <row r="1113" spans="6:7" x14ac:dyDescent="0.15">
      <c r="F1113" s="111"/>
      <c r="G1113" s="111"/>
    </row>
    <row r="1114" spans="6:7" x14ac:dyDescent="0.15">
      <c r="F1114" s="111"/>
      <c r="G1114" s="111"/>
    </row>
    <row r="1115" spans="6:7" x14ac:dyDescent="0.15">
      <c r="F1115" s="111"/>
      <c r="G1115" s="111"/>
    </row>
    <row r="1116" spans="6:7" x14ac:dyDescent="0.15">
      <c r="F1116" s="111"/>
      <c r="G1116" s="111"/>
    </row>
    <row r="1117" spans="6:7" x14ac:dyDescent="0.15">
      <c r="F1117" s="111"/>
      <c r="G1117" s="111"/>
    </row>
    <row r="1118" spans="6:7" x14ac:dyDescent="0.15">
      <c r="F1118" s="111"/>
      <c r="G1118" s="111"/>
    </row>
    <row r="1119" spans="6:7" x14ac:dyDescent="0.15">
      <c r="F1119" s="111"/>
      <c r="G1119" s="111"/>
    </row>
    <row r="1120" spans="6:7" x14ac:dyDescent="0.15">
      <c r="F1120" s="111"/>
      <c r="G1120" s="111"/>
    </row>
    <row r="1121" spans="6:7" x14ac:dyDescent="0.15">
      <c r="F1121" s="111"/>
      <c r="G1121" s="111"/>
    </row>
    <row r="1122" spans="6:7" x14ac:dyDescent="0.15">
      <c r="F1122" s="111"/>
      <c r="G1122" s="111"/>
    </row>
    <row r="1123" spans="6:7" x14ac:dyDescent="0.15">
      <c r="F1123" s="111"/>
      <c r="G1123" s="111"/>
    </row>
    <row r="1124" spans="6:7" x14ac:dyDescent="0.15">
      <c r="F1124" s="111"/>
      <c r="G1124" s="111"/>
    </row>
    <row r="1125" spans="6:7" x14ac:dyDescent="0.15">
      <c r="F1125" s="111"/>
      <c r="G1125" s="111"/>
    </row>
    <row r="1126" spans="6:7" x14ac:dyDescent="0.15">
      <c r="F1126" s="111"/>
      <c r="G1126" s="111"/>
    </row>
    <row r="1127" spans="6:7" x14ac:dyDescent="0.15">
      <c r="F1127" s="111"/>
      <c r="G1127" s="111"/>
    </row>
    <row r="1128" spans="6:7" x14ac:dyDescent="0.15">
      <c r="F1128" s="111"/>
      <c r="G1128" s="111"/>
    </row>
    <row r="1129" spans="6:7" x14ac:dyDescent="0.15">
      <c r="F1129" s="111"/>
      <c r="G1129" s="111"/>
    </row>
    <row r="1130" spans="6:7" x14ac:dyDescent="0.15">
      <c r="F1130" s="111"/>
      <c r="G1130" s="111"/>
    </row>
    <row r="1131" spans="6:7" x14ac:dyDescent="0.15">
      <c r="F1131" s="111"/>
      <c r="G1131" s="111"/>
    </row>
    <row r="1132" spans="6:7" x14ac:dyDescent="0.15">
      <c r="F1132" s="111"/>
      <c r="G1132" s="111"/>
    </row>
    <row r="1133" spans="6:7" x14ac:dyDescent="0.15">
      <c r="F1133" s="111"/>
      <c r="G1133" s="111"/>
    </row>
    <row r="1134" spans="6:7" x14ac:dyDescent="0.15">
      <c r="F1134" s="111"/>
      <c r="G1134" s="111"/>
    </row>
    <row r="1135" spans="6:7" x14ac:dyDescent="0.15">
      <c r="F1135" s="111"/>
      <c r="G1135" s="111"/>
    </row>
    <row r="1136" spans="6:7" x14ac:dyDescent="0.15">
      <c r="F1136" s="111"/>
      <c r="G1136" s="111"/>
    </row>
    <row r="1137" spans="6:7" x14ac:dyDescent="0.15">
      <c r="F1137" s="111"/>
      <c r="G1137" s="111"/>
    </row>
    <row r="1138" spans="6:7" x14ac:dyDescent="0.15">
      <c r="F1138" s="111"/>
      <c r="G1138" s="111"/>
    </row>
    <row r="1139" spans="6:7" x14ac:dyDescent="0.15">
      <c r="F1139" s="111"/>
      <c r="G1139" s="111"/>
    </row>
    <row r="1140" spans="6:7" x14ac:dyDescent="0.15">
      <c r="F1140" s="111"/>
      <c r="G1140" s="111"/>
    </row>
    <row r="1141" spans="6:7" x14ac:dyDescent="0.15">
      <c r="F1141" s="111"/>
      <c r="G1141" s="111"/>
    </row>
    <row r="1142" spans="6:7" x14ac:dyDescent="0.15">
      <c r="F1142" s="111"/>
      <c r="G1142" s="111"/>
    </row>
    <row r="1143" spans="6:7" x14ac:dyDescent="0.15">
      <c r="F1143" s="111"/>
      <c r="G1143" s="111"/>
    </row>
    <row r="1144" spans="6:7" x14ac:dyDescent="0.15">
      <c r="F1144" s="111"/>
      <c r="G1144" s="111"/>
    </row>
    <row r="1145" spans="6:7" x14ac:dyDescent="0.15">
      <c r="F1145" s="111"/>
      <c r="G1145" s="111"/>
    </row>
    <row r="1146" spans="6:7" x14ac:dyDescent="0.15">
      <c r="F1146" s="111"/>
      <c r="G1146" s="111"/>
    </row>
    <row r="1147" spans="6:7" x14ac:dyDescent="0.15">
      <c r="F1147" s="111"/>
      <c r="G1147" s="111"/>
    </row>
    <row r="1148" spans="6:7" x14ac:dyDescent="0.15">
      <c r="F1148" s="111"/>
      <c r="G1148" s="111"/>
    </row>
    <row r="1149" spans="6:7" x14ac:dyDescent="0.15">
      <c r="F1149" s="111"/>
      <c r="G1149" s="111"/>
    </row>
    <row r="1150" spans="6:7" x14ac:dyDescent="0.15">
      <c r="F1150" s="111"/>
      <c r="G1150" s="111"/>
    </row>
    <row r="1151" spans="6:7" x14ac:dyDescent="0.15">
      <c r="F1151" s="111"/>
      <c r="G1151" s="111"/>
    </row>
    <row r="1152" spans="6:7" x14ac:dyDescent="0.15">
      <c r="F1152" s="111"/>
      <c r="G1152" s="111"/>
    </row>
    <row r="1153" spans="6:7" x14ac:dyDescent="0.15">
      <c r="F1153" s="111"/>
      <c r="G1153" s="111"/>
    </row>
    <row r="1154" spans="6:7" x14ac:dyDescent="0.15">
      <c r="F1154" s="111"/>
      <c r="G1154" s="111"/>
    </row>
    <row r="1155" spans="6:7" x14ac:dyDescent="0.15">
      <c r="F1155" s="111"/>
      <c r="G1155" s="111"/>
    </row>
    <row r="1156" spans="6:7" x14ac:dyDescent="0.15">
      <c r="F1156" s="111"/>
      <c r="G1156" s="111"/>
    </row>
    <row r="1157" spans="6:7" x14ac:dyDescent="0.15">
      <c r="F1157" s="111"/>
      <c r="G1157" s="111"/>
    </row>
    <row r="1158" spans="6:7" x14ac:dyDescent="0.15">
      <c r="F1158" s="111"/>
      <c r="G1158" s="111"/>
    </row>
    <row r="1159" spans="6:7" x14ac:dyDescent="0.15">
      <c r="F1159" s="111"/>
      <c r="G1159" s="111"/>
    </row>
    <row r="1160" spans="6:7" x14ac:dyDescent="0.15">
      <c r="F1160" s="111"/>
      <c r="G1160" s="111"/>
    </row>
    <row r="1161" spans="6:7" x14ac:dyDescent="0.15">
      <c r="F1161" s="111"/>
      <c r="G1161" s="111"/>
    </row>
    <row r="1162" spans="6:7" x14ac:dyDescent="0.15">
      <c r="F1162" s="111"/>
      <c r="G1162" s="111"/>
    </row>
    <row r="1163" spans="6:7" x14ac:dyDescent="0.15">
      <c r="F1163" s="111"/>
      <c r="G1163" s="111"/>
    </row>
    <row r="1164" spans="6:7" x14ac:dyDescent="0.15">
      <c r="F1164" s="111"/>
      <c r="G1164" s="111"/>
    </row>
    <row r="1165" spans="6:7" x14ac:dyDescent="0.15">
      <c r="F1165" s="111"/>
      <c r="G1165" s="111"/>
    </row>
    <row r="1166" spans="6:7" x14ac:dyDescent="0.15">
      <c r="F1166" s="111"/>
      <c r="G1166" s="111"/>
    </row>
    <row r="1167" spans="6:7" x14ac:dyDescent="0.15">
      <c r="F1167" s="111"/>
      <c r="G1167" s="111"/>
    </row>
    <row r="1168" spans="6:7" x14ac:dyDescent="0.15">
      <c r="F1168" s="111"/>
      <c r="G1168" s="111"/>
    </row>
    <row r="1169" spans="6:7" x14ac:dyDescent="0.15">
      <c r="F1169" s="111"/>
      <c r="G1169" s="111"/>
    </row>
    <row r="1170" spans="6:7" x14ac:dyDescent="0.15">
      <c r="F1170" s="111"/>
      <c r="G1170" s="111"/>
    </row>
    <row r="1171" spans="6:7" x14ac:dyDescent="0.15">
      <c r="F1171" s="111"/>
      <c r="G1171" s="111"/>
    </row>
    <row r="1172" spans="6:7" x14ac:dyDescent="0.15">
      <c r="F1172" s="111"/>
      <c r="G1172" s="111"/>
    </row>
    <row r="1173" spans="6:7" x14ac:dyDescent="0.15">
      <c r="F1173" s="111"/>
      <c r="G1173" s="111"/>
    </row>
    <row r="1174" spans="6:7" x14ac:dyDescent="0.15">
      <c r="F1174" s="111"/>
      <c r="G1174" s="111"/>
    </row>
    <row r="1175" spans="6:7" x14ac:dyDescent="0.15">
      <c r="F1175" s="111"/>
      <c r="G1175" s="111"/>
    </row>
    <row r="1176" spans="6:7" x14ac:dyDescent="0.15">
      <c r="F1176" s="111"/>
      <c r="G1176" s="111"/>
    </row>
    <row r="1177" spans="6:7" x14ac:dyDescent="0.15">
      <c r="F1177" s="111"/>
      <c r="G1177" s="111"/>
    </row>
    <row r="1178" spans="6:7" x14ac:dyDescent="0.15">
      <c r="F1178" s="111"/>
      <c r="G1178" s="111"/>
    </row>
    <row r="1179" spans="6:7" x14ac:dyDescent="0.15">
      <c r="F1179" s="111"/>
      <c r="G1179" s="111"/>
    </row>
    <row r="1180" spans="6:7" x14ac:dyDescent="0.15">
      <c r="F1180" s="111"/>
      <c r="G1180" s="111"/>
    </row>
    <row r="1181" spans="6:7" x14ac:dyDescent="0.15">
      <c r="F1181" s="111"/>
      <c r="G1181" s="111"/>
    </row>
    <row r="1182" spans="6:7" x14ac:dyDescent="0.15">
      <c r="F1182" s="111"/>
      <c r="G1182" s="111"/>
    </row>
    <row r="1183" spans="6:7" x14ac:dyDescent="0.15">
      <c r="F1183" s="111"/>
      <c r="G1183" s="111"/>
    </row>
    <row r="1184" spans="6:7" x14ac:dyDescent="0.15">
      <c r="F1184" s="111"/>
      <c r="G1184" s="111"/>
    </row>
    <row r="1185" spans="6:7" x14ac:dyDescent="0.15">
      <c r="F1185" s="111"/>
      <c r="G1185" s="111"/>
    </row>
    <row r="1186" spans="6:7" x14ac:dyDescent="0.15">
      <c r="F1186" s="111"/>
      <c r="G1186" s="111"/>
    </row>
    <row r="1187" spans="6:7" x14ac:dyDescent="0.15">
      <c r="F1187" s="111"/>
      <c r="G1187" s="111"/>
    </row>
    <row r="1188" spans="6:7" x14ac:dyDescent="0.15">
      <c r="F1188" s="111"/>
      <c r="G1188" s="111"/>
    </row>
    <row r="1189" spans="6:7" x14ac:dyDescent="0.15">
      <c r="F1189" s="111"/>
      <c r="G1189" s="111"/>
    </row>
    <row r="1190" spans="6:7" x14ac:dyDescent="0.15">
      <c r="F1190" s="111"/>
      <c r="G1190" s="111"/>
    </row>
    <row r="1191" spans="6:7" x14ac:dyDescent="0.15">
      <c r="F1191" s="111"/>
      <c r="G1191" s="111"/>
    </row>
    <row r="1192" spans="6:7" x14ac:dyDescent="0.15">
      <c r="F1192" s="111"/>
      <c r="G1192" s="111"/>
    </row>
    <row r="1193" spans="6:7" x14ac:dyDescent="0.15">
      <c r="F1193" s="111"/>
      <c r="G1193" s="111"/>
    </row>
    <row r="1194" spans="6:7" x14ac:dyDescent="0.15">
      <c r="F1194" s="111"/>
      <c r="G1194" s="111"/>
    </row>
    <row r="1195" spans="6:7" x14ac:dyDescent="0.15">
      <c r="F1195" s="111"/>
      <c r="G1195" s="111"/>
    </row>
    <row r="1196" spans="6:7" x14ac:dyDescent="0.15">
      <c r="F1196" s="111"/>
      <c r="G1196" s="111"/>
    </row>
    <row r="1197" spans="6:7" x14ac:dyDescent="0.15">
      <c r="F1197" s="111"/>
      <c r="G1197" s="111"/>
    </row>
    <row r="1198" spans="6:7" x14ac:dyDescent="0.15">
      <c r="F1198" s="111"/>
      <c r="G1198" s="111"/>
    </row>
    <row r="1199" spans="6:7" x14ac:dyDescent="0.15">
      <c r="F1199" s="111"/>
      <c r="G1199" s="111"/>
    </row>
    <row r="1200" spans="6:7" x14ac:dyDescent="0.15">
      <c r="F1200" s="111"/>
      <c r="G1200" s="111"/>
    </row>
    <row r="1201" spans="6:7" x14ac:dyDescent="0.15">
      <c r="F1201" s="111"/>
      <c r="G1201" s="111"/>
    </row>
    <row r="1202" spans="6:7" x14ac:dyDescent="0.15">
      <c r="F1202" s="111"/>
      <c r="G1202" s="111"/>
    </row>
    <row r="1203" spans="6:7" x14ac:dyDescent="0.15">
      <c r="F1203" s="111"/>
      <c r="G1203" s="111"/>
    </row>
    <row r="1204" spans="6:7" x14ac:dyDescent="0.15">
      <c r="F1204" s="111"/>
      <c r="G1204" s="111"/>
    </row>
    <row r="1205" spans="6:7" x14ac:dyDescent="0.15">
      <c r="F1205" s="111"/>
      <c r="G1205" s="111"/>
    </row>
    <row r="1206" spans="6:7" x14ac:dyDescent="0.15">
      <c r="F1206" s="111"/>
      <c r="G1206" s="111"/>
    </row>
    <row r="1207" spans="6:7" x14ac:dyDescent="0.15">
      <c r="F1207" s="111"/>
      <c r="G1207" s="111"/>
    </row>
    <row r="1208" spans="6:7" x14ac:dyDescent="0.15">
      <c r="F1208" s="111"/>
      <c r="G1208" s="111"/>
    </row>
    <row r="1209" spans="6:7" x14ac:dyDescent="0.15">
      <c r="F1209" s="111"/>
      <c r="G1209" s="111"/>
    </row>
    <row r="1210" spans="6:7" x14ac:dyDescent="0.15">
      <c r="F1210" s="111"/>
      <c r="G1210" s="111"/>
    </row>
    <row r="1211" spans="6:7" x14ac:dyDescent="0.15">
      <c r="F1211" s="111"/>
      <c r="G1211" s="111"/>
    </row>
    <row r="1212" spans="6:7" x14ac:dyDescent="0.15">
      <c r="F1212" s="111"/>
      <c r="G1212" s="111"/>
    </row>
    <row r="1213" spans="6:7" x14ac:dyDescent="0.15">
      <c r="F1213" s="111"/>
      <c r="G1213" s="111"/>
    </row>
    <row r="1214" spans="6:7" x14ac:dyDescent="0.15">
      <c r="F1214" s="111"/>
      <c r="G1214" s="111"/>
    </row>
    <row r="1215" spans="6:7" x14ac:dyDescent="0.15">
      <c r="F1215" s="111"/>
      <c r="G1215" s="111"/>
    </row>
    <row r="1216" spans="6:7" x14ac:dyDescent="0.15">
      <c r="F1216" s="111"/>
      <c r="G1216" s="111"/>
    </row>
    <row r="1217" spans="6:7" x14ac:dyDescent="0.15">
      <c r="F1217" s="111"/>
      <c r="G1217" s="111"/>
    </row>
    <row r="1218" spans="6:7" x14ac:dyDescent="0.15">
      <c r="F1218" s="111"/>
      <c r="G1218" s="111"/>
    </row>
    <row r="1219" spans="6:7" x14ac:dyDescent="0.15">
      <c r="F1219" s="111"/>
      <c r="G1219" s="111"/>
    </row>
    <row r="1220" spans="6:7" x14ac:dyDescent="0.15">
      <c r="F1220" s="111"/>
      <c r="G1220" s="111"/>
    </row>
    <row r="1221" spans="6:7" x14ac:dyDescent="0.15">
      <c r="F1221" s="111"/>
      <c r="G1221" s="111"/>
    </row>
    <row r="1222" spans="6:7" x14ac:dyDescent="0.15">
      <c r="F1222" s="111"/>
      <c r="G1222" s="111"/>
    </row>
    <row r="1223" spans="6:7" x14ac:dyDescent="0.15">
      <c r="F1223" s="111"/>
      <c r="G1223" s="111"/>
    </row>
    <row r="1224" spans="6:7" x14ac:dyDescent="0.15">
      <c r="F1224" s="111"/>
      <c r="G1224" s="111"/>
    </row>
    <row r="1225" spans="6:7" x14ac:dyDescent="0.15">
      <c r="F1225" s="111"/>
      <c r="G1225" s="111"/>
    </row>
    <row r="1226" spans="6:7" x14ac:dyDescent="0.15">
      <c r="F1226" s="111"/>
      <c r="G1226" s="111"/>
    </row>
    <row r="1227" spans="6:7" x14ac:dyDescent="0.15">
      <c r="F1227" s="111"/>
      <c r="G1227" s="111"/>
    </row>
    <row r="1228" spans="6:7" x14ac:dyDescent="0.15">
      <c r="F1228" s="111"/>
      <c r="G1228" s="111"/>
    </row>
    <row r="1229" spans="6:7" x14ac:dyDescent="0.15">
      <c r="F1229" s="111"/>
      <c r="G1229" s="111"/>
    </row>
    <row r="1230" spans="6:7" x14ac:dyDescent="0.15">
      <c r="F1230" s="111"/>
      <c r="G1230" s="111"/>
    </row>
    <row r="1231" spans="6:7" x14ac:dyDescent="0.15">
      <c r="F1231" s="111"/>
      <c r="G1231" s="111"/>
    </row>
    <row r="1232" spans="6:7" x14ac:dyDescent="0.15">
      <c r="F1232" s="111"/>
      <c r="G1232" s="111"/>
    </row>
    <row r="1233" spans="6:7" x14ac:dyDescent="0.15">
      <c r="F1233" s="111"/>
      <c r="G1233" s="111"/>
    </row>
    <row r="1234" spans="6:7" x14ac:dyDescent="0.15">
      <c r="F1234" s="111"/>
      <c r="G1234" s="111"/>
    </row>
    <row r="1235" spans="6:7" x14ac:dyDescent="0.15">
      <c r="F1235" s="111"/>
      <c r="G1235" s="111"/>
    </row>
    <row r="1236" spans="6:7" x14ac:dyDescent="0.15">
      <c r="F1236" s="111"/>
      <c r="G1236" s="111"/>
    </row>
    <row r="1237" spans="6:7" x14ac:dyDescent="0.15">
      <c r="F1237" s="111"/>
      <c r="G1237" s="111"/>
    </row>
    <row r="1238" spans="6:7" x14ac:dyDescent="0.15">
      <c r="F1238" s="111"/>
      <c r="G1238" s="111"/>
    </row>
    <row r="1239" spans="6:7" x14ac:dyDescent="0.15">
      <c r="F1239" s="111"/>
      <c r="G1239" s="111"/>
    </row>
    <row r="1240" spans="6:7" x14ac:dyDescent="0.15">
      <c r="F1240" s="111"/>
      <c r="G1240" s="111"/>
    </row>
    <row r="1241" spans="6:7" x14ac:dyDescent="0.15">
      <c r="F1241" s="111"/>
      <c r="G1241" s="111"/>
    </row>
    <row r="1242" spans="6:7" x14ac:dyDescent="0.15">
      <c r="F1242" s="111"/>
      <c r="G1242" s="111"/>
    </row>
    <row r="1243" spans="6:7" x14ac:dyDescent="0.15">
      <c r="F1243" s="111"/>
      <c r="G1243" s="111"/>
    </row>
    <row r="1244" spans="6:7" x14ac:dyDescent="0.15">
      <c r="F1244" s="111"/>
      <c r="G1244" s="111"/>
    </row>
    <row r="1245" spans="6:7" x14ac:dyDescent="0.15">
      <c r="F1245" s="111"/>
      <c r="G1245" s="111"/>
    </row>
    <row r="1246" spans="6:7" x14ac:dyDescent="0.15">
      <c r="F1246" s="111"/>
      <c r="G1246" s="111"/>
    </row>
    <row r="1247" spans="6:7" x14ac:dyDescent="0.15">
      <c r="F1247" s="111"/>
      <c r="G1247" s="111"/>
    </row>
    <row r="1248" spans="6:7" x14ac:dyDescent="0.15">
      <c r="F1248" s="111"/>
      <c r="G1248" s="111"/>
    </row>
    <row r="1249" spans="6:7" x14ac:dyDescent="0.15">
      <c r="F1249" s="111"/>
      <c r="G1249" s="111"/>
    </row>
    <row r="1250" spans="6:7" x14ac:dyDescent="0.15">
      <c r="F1250" s="111"/>
      <c r="G1250" s="111"/>
    </row>
    <row r="1251" spans="6:7" x14ac:dyDescent="0.15">
      <c r="F1251" s="111"/>
      <c r="G1251" s="111"/>
    </row>
    <row r="1252" spans="6:7" x14ac:dyDescent="0.15">
      <c r="F1252" s="111"/>
      <c r="G1252" s="111"/>
    </row>
    <row r="1253" spans="6:7" x14ac:dyDescent="0.15">
      <c r="F1253" s="111"/>
      <c r="G1253" s="111"/>
    </row>
    <row r="1254" spans="6:7" x14ac:dyDescent="0.15">
      <c r="F1254" s="111"/>
      <c r="G1254" s="111"/>
    </row>
    <row r="1255" spans="6:7" x14ac:dyDescent="0.15">
      <c r="F1255" s="111"/>
      <c r="G1255" s="111"/>
    </row>
    <row r="1256" spans="6:7" x14ac:dyDescent="0.15">
      <c r="F1256" s="111"/>
      <c r="G1256" s="111"/>
    </row>
    <row r="1257" spans="6:7" x14ac:dyDescent="0.15">
      <c r="F1257" s="111"/>
      <c r="G1257" s="111"/>
    </row>
    <row r="1258" spans="6:7" x14ac:dyDescent="0.15">
      <c r="F1258" s="111"/>
      <c r="G1258" s="111"/>
    </row>
    <row r="1259" spans="6:7" x14ac:dyDescent="0.15">
      <c r="F1259" s="111"/>
      <c r="G1259" s="111"/>
    </row>
    <row r="1260" spans="6:7" x14ac:dyDescent="0.15">
      <c r="F1260" s="111"/>
      <c r="G1260" s="111"/>
    </row>
    <row r="1261" spans="6:7" x14ac:dyDescent="0.15">
      <c r="F1261" s="111"/>
      <c r="G1261" s="111"/>
    </row>
    <row r="1262" spans="6:7" x14ac:dyDescent="0.15">
      <c r="F1262" s="111"/>
      <c r="G1262" s="111"/>
    </row>
    <row r="1263" spans="6:7" x14ac:dyDescent="0.15">
      <c r="F1263" s="111"/>
      <c r="G1263" s="111"/>
    </row>
    <row r="1264" spans="6:7" x14ac:dyDescent="0.15">
      <c r="F1264" s="111"/>
      <c r="G1264" s="111"/>
    </row>
    <row r="1265" spans="6:7" x14ac:dyDescent="0.15">
      <c r="F1265" s="111"/>
      <c r="G1265" s="111"/>
    </row>
    <row r="1266" spans="6:7" x14ac:dyDescent="0.15">
      <c r="F1266" s="111"/>
      <c r="G1266" s="111"/>
    </row>
    <row r="1267" spans="6:7" x14ac:dyDescent="0.15">
      <c r="F1267" s="111"/>
      <c r="G1267" s="111"/>
    </row>
    <row r="1268" spans="6:7" x14ac:dyDescent="0.15">
      <c r="F1268" s="111"/>
      <c r="G1268" s="111"/>
    </row>
    <row r="1269" spans="6:7" x14ac:dyDescent="0.15">
      <c r="F1269" s="111"/>
      <c r="G1269" s="111"/>
    </row>
    <row r="1270" spans="6:7" x14ac:dyDescent="0.15">
      <c r="F1270" s="111"/>
      <c r="G1270" s="111"/>
    </row>
    <row r="1271" spans="6:7" x14ac:dyDescent="0.15">
      <c r="F1271" s="111"/>
      <c r="G1271" s="111"/>
    </row>
    <row r="1272" spans="6:7" x14ac:dyDescent="0.15">
      <c r="F1272" s="111"/>
      <c r="G1272" s="111"/>
    </row>
    <row r="1273" spans="6:7" x14ac:dyDescent="0.15">
      <c r="F1273" s="111"/>
      <c r="G1273" s="111"/>
    </row>
    <row r="1274" spans="6:7" x14ac:dyDescent="0.15">
      <c r="F1274" s="111"/>
      <c r="G1274" s="111"/>
    </row>
    <row r="1275" spans="6:7" x14ac:dyDescent="0.15">
      <c r="F1275" s="111"/>
      <c r="G1275" s="111"/>
    </row>
    <row r="1276" spans="6:7" x14ac:dyDescent="0.15">
      <c r="F1276" s="111"/>
      <c r="G1276" s="111"/>
    </row>
    <row r="1277" spans="6:7" x14ac:dyDescent="0.15">
      <c r="F1277" s="111"/>
      <c r="G1277" s="111"/>
    </row>
    <row r="1278" spans="6:7" x14ac:dyDescent="0.15">
      <c r="F1278" s="111"/>
      <c r="G1278" s="111"/>
    </row>
    <row r="1279" spans="6:7" x14ac:dyDescent="0.15">
      <c r="F1279" s="111"/>
      <c r="G1279" s="111"/>
    </row>
    <row r="1280" spans="6:7" x14ac:dyDescent="0.15">
      <c r="F1280" s="111"/>
      <c r="G1280" s="111"/>
    </row>
    <row r="1281" spans="6:7" x14ac:dyDescent="0.15">
      <c r="F1281" s="111"/>
      <c r="G1281" s="111"/>
    </row>
    <row r="1282" spans="6:7" x14ac:dyDescent="0.15">
      <c r="F1282" s="111"/>
      <c r="G1282" s="111"/>
    </row>
    <row r="1283" spans="6:7" x14ac:dyDescent="0.15">
      <c r="F1283" s="111"/>
      <c r="G1283" s="111"/>
    </row>
    <row r="1284" spans="6:7" x14ac:dyDescent="0.15">
      <c r="F1284" s="111"/>
      <c r="G1284" s="111"/>
    </row>
    <row r="1285" spans="6:7" x14ac:dyDescent="0.15">
      <c r="F1285" s="111"/>
      <c r="G1285" s="111"/>
    </row>
    <row r="1286" spans="6:7" x14ac:dyDescent="0.15">
      <c r="F1286" s="111"/>
      <c r="G1286" s="111"/>
    </row>
    <row r="1287" spans="6:7" x14ac:dyDescent="0.15">
      <c r="F1287" s="111"/>
      <c r="G1287" s="111"/>
    </row>
    <row r="1288" spans="6:7" x14ac:dyDescent="0.15">
      <c r="F1288" s="111"/>
      <c r="G1288" s="111"/>
    </row>
    <row r="1289" spans="6:7" x14ac:dyDescent="0.15">
      <c r="F1289" s="111"/>
      <c r="G1289" s="111"/>
    </row>
    <row r="1290" spans="6:7" x14ac:dyDescent="0.15">
      <c r="F1290" s="111"/>
      <c r="G1290" s="111"/>
    </row>
    <row r="1291" spans="6:7" x14ac:dyDescent="0.15">
      <c r="F1291" s="111"/>
      <c r="G1291" s="111"/>
    </row>
    <row r="1292" spans="6:7" x14ac:dyDescent="0.15">
      <c r="F1292" s="111"/>
      <c r="G1292" s="111"/>
    </row>
    <row r="1293" spans="6:7" x14ac:dyDescent="0.15">
      <c r="F1293" s="111"/>
      <c r="G1293" s="111"/>
    </row>
    <row r="1294" spans="6:7" x14ac:dyDescent="0.15">
      <c r="F1294" s="111"/>
      <c r="G1294" s="111"/>
    </row>
    <row r="1295" spans="6:7" x14ac:dyDescent="0.15">
      <c r="F1295" s="111"/>
      <c r="G1295" s="111"/>
    </row>
    <row r="1296" spans="6:7" x14ac:dyDescent="0.15">
      <c r="F1296" s="111"/>
      <c r="G1296" s="111"/>
    </row>
    <row r="1297" spans="6:7" x14ac:dyDescent="0.15">
      <c r="F1297" s="111"/>
      <c r="G1297" s="111"/>
    </row>
    <row r="1298" spans="6:7" x14ac:dyDescent="0.15">
      <c r="F1298" s="111"/>
      <c r="G1298" s="111"/>
    </row>
    <row r="1299" spans="6:7" x14ac:dyDescent="0.15">
      <c r="F1299" s="111"/>
      <c r="G1299" s="111"/>
    </row>
    <row r="1300" spans="6:7" x14ac:dyDescent="0.15">
      <c r="F1300" s="111"/>
      <c r="G1300" s="111"/>
    </row>
    <row r="1301" spans="6:7" x14ac:dyDescent="0.15">
      <c r="F1301" s="111"/>
      <c r="G1301" s="111"/>
    </row>
    <row r="1302" spans="6:7" x14ac:dyDescent="0.15">
      <c r="F1302" s="111"/>
      <c r="G1302" s="111"/>
    </row>
    <row r="1303" spans="6:7" x14ac:dyDescent="0.15">
      <c r="F1303" s="111"/>
      <c r="G1303" s="111"/>
    </row>
    <row r="1304" spans="6:7" x14ac:dyDescent="0.15">
      <c r="F1304" s="111"/>
      <c r="G1304" s="111"/>
    </row>
    <row r="1305" spans="6:7" x14ac:dyDescent="0.15">
      <c r="F1305" s="111"/>
      <c r="G1305" s="111"/>
    </row>
    <row r="1306" spans="6:7" x14ac:dyDescent="0.15">
      <c r="F1306" s="111"/>
      <c r="G1306" s="111"/>
    </row>
    <row r="1307" spans="6:7" x14ac:dyDescent="0.15">
      <c r="F1307" s="111"/>
      <c r="G1307" s="111"/>
    </row>
    <row r="1308" spans="6:7" x14ac:dyDescent="0.15">
      <c r="F1308" s="111"/>
      <c r="G1308" s="111"/>
    </row>
    <row r="1309" spans="6:7" x14ac:dyDescent="0.15">
      <c r="F1309" s="111"/>
      <c r="G1309" s="111"/>
    </row>
    <row r="1310" spans="6:7" x14ac:dyDescent="0.15">
      <c r="F1310" s="111"/>
      <c r="G1310" s="111"/>
    </row>
    <row r="1311" spans="6:7" x14ac:dyDescent="0.15">
      <c r="F1311" s="111"/>
      <c r="G1311" s="111"/>
    </row>
    <row r="1312" spans="6:7" x14ac:dyDescent="0.15">
      <c r="F1312" s="111"/>
      <c r="G1312" s="111"/>
    </row>
    <row r="1313" spans="6:7" x14ac:dyDescent="0.15">
      <c r="F1313" s="111"/>
      <c r="G1313" s="111"/>
    </row>
    <row r="1314" spans="6:7" x14ac:dyDescent="0.15">
      <c r="F1314" s="111"/>
      <c r="G1314" s="111"/>
    </row>
    <row r="1315" spans="6:7" x14ac:dyDescent="0.15">
      <c r="F1315" s="111"/>
      <c r="G1315" s="111"/>
    </row>
    <row r="1316" spans="6:7" x14ac:dyDescent="0.15">
      <c r="F1316" s="111"/>
      <c r="G1316" s="111"/>
    </row>
    <row r="1317" spans="6:7" x14ac:dyDescent="0.15">
      <c r="F1317" s="111"/>
      <c r="G1317" s="111"/>
    </row>
    <row r="1318" spans="6:7" x14ac:dyDescent="0.15">
      <c r="F1318" s="111"/>
      <c r="G1318" s="111"/>
    </row>
    <row r="1319" spans="6:7" x14ac:dyDescent="0.15">
      <c r="F1319" s="111"/>
      <c r="G1319" s="111"/>
    </row>
    <row r="1320" spans="6:7" x14ac:dyDescent="0.15">
      <c r="F1320" s="111"/>
      <c r="G1320" s="111"/>
    </row>
    <row r="1321" spans="6:7" x14ac:dyDescent="0.15">
      <c r="F1321" s="111"/>
      <c r="G1321" s="111"/>
    </row>
    <row r="1322" spans="6:7" x14ac:dyDescent="0.15">
      <c r="F1322" s="111"/>
      <c r="G1322" s="111"/>
    </row>
    <row r="1323" spans="6:7" x14ac:dyDescent="0.15">
      <c r="F1323" s="111"/>
      <c r="G1323" s="111"/>
    </row>
    <row r="1324" spans="6:7" x14ac:dyDescent="0.15">
      <c r="F1324" s="111"/>
      <c r="G1324" s="111"/>
    </row>
    <row r="1325" spans="6:7" x14ac:dyDescent="0.15">
      <c r="F1325" s="111"/>
      <c r="G1325" s="111"/>
    </row>
    <row r="1326" spans="6:7" x14ac:dyDescent="0.15">
      <c r="F1326" s="111"/>
      <c r="G1326" s="111"/>
    </row>
    <row r="1327" spans="6:7" x14ac:dyDescent="0.15">
      <c r="F1327" s="111"/>
      <c r="G1327" s="111"/>
    </row>
    <row r="1328" spans="6:7" x14ac:dyDescent="0.15">
      <c r="F1328" s="111"/>
      <c r="G1328" s="111"/>
    </row>
    <row r="1329" spans="6:7" x14ac:dyDescent="0.15">
      <c r="F1329" s="111"/>
      <c r="G1329" s="111"/>
    </row>
    <row r="1330" spans="6:7" x14ac:dyDescent="0.15">
      <c r="F1330" s="111"/>
      <c r="G1330" s="111"/>
    </row>
    <row r="1331" spans="6:7" x14ac:dyDescent="0.15">
      <c r="F1331" s="111"/>
      <c r="G1331" s="111"/>
    </row>
    <row r="1332" spans="6:7" x14ac:dyDescent="0.15">
      <c r="F1332" s="111"/>
      <c r="G1332" s="111"/>
    </row>
    <row r="1333" spans="6:7" x14ac:dyDescent="0.15">
      <c r="F1333" s="111"/>
      <c r="G1333" s="111"/>
    </row>
    <row r="1334" spans="6:7" x14ac:dyDescent="0.15">
      <c r="F1334" s="111"/>
      <c r="G1334" s="111"/>
    </row>
    <row r="1335" spans="6:7" x14ac:dyDescent="0.15">
      <c r="F1335" s="111"/>
      <c r="G1335" s="111"/>
    </row>
    <row r="1336" spans="6:7" x14ac:dyDescent="0.15">
      <c r="F1336" s="111"/>
      <c r="G1336" s="111"/>
    </row>
    <row r="1337" spans="6:7" x14ac:dyDescent="0.15">
      <c r="F1337" s="111"/>
      <c r="G1337" s="111"/>
    </row>
    <row r="1338" spans="6:7" x14ac:dyDescent="0.15">
      <c r="F1338" s="111"/>
      <c r="G1338" s="111"/>
    </row>
    <row r="1339" spans="6:7" x14ac:dyDescent="0.15">
      <c r="F1339" s="111"/>
      <c r="G1339" s="111"/>
    </row>
    <row r="1340" spans="6:7" x14ac:dyDescent="0.15">
      <c r="F1340" s="111"/>
      <c r="G1340" s="111"/>
    </row>
    <row r="1341" spans="6:7" x14ac:dyDescent="0.15">
      <c r="F1341" s="111"/>
      <c r="G1341" s="111"/>
    </row>
    <row r="1342" spans="6:7" x14ac:dyDescent="0.15">
      <c r="F1342" s="111"/>
      <c r="G1342" s="111"/>
    </row>
    <row r="1343" spans="6:7" x14ac:dyDescent="0.15">
      <c r="F1343" s="111"/>
      <c r="G1343" s="111"/>
    </row>
    <row r="1344" spans="6:7" x14ac:dyDescent="0.15">
      <c r="F1344" s="111"/>
      <c r="G1344" s="111"/>
    </row>
    <row r="1345" spans="6:7" x14ac:dyDescent="0.15">
      <c r="F1345" s="111"/>
      <c r="G1345" s="111"/>
    </row>
    <row r="1346" spans="6:7" x14ac:dyDescent="0.15">
      <c r="F1346" s="111"/>
      <c r="G1346" s="111"/>
    </row>
    <row r="1347" spans="6:7" x14ac:dyDescent="0.15">
      <c r="F1347" s="111"/>
      <c r="G1347" s="111"/>
    </row>
    <row r="1348" spans="6:7" x14ac:dyDescent="0.15">
      <c r="F1348" s="111"/>
      <c r="G1348" s="111"/>
    </row>
    <row r="1349" spans="6:7" x14ac:dyDescent="0.15">
      <c r="F1349" s="111"/>
      <c r="G1349" s="111"/>
    </row>
    <row r="1350" spans="6:7" x14ac:dyDescent="0.15">
      <c r="F1350" s="111"/>
      <c r="G1350" s="111"/>
    </row>
    <row r="1351" spans="6:7" x14ac:dyDescent="0.15">
      <c r="F1351" s="111"/>
      <c r="G1351" s="111"/>
    </row>
    <row r="1352" spans="6:7" x14ac:dyDescent="0.15">
      <c r="F1352" s="111"/>
      <c r="G1352" s="111"/>
    </row>
    <row r="1353" spans="6:7" x14ac:dyDescent="0.15">
      <c r="F1353" s="111"/>
      <c r="G1353" s="111"/>
    </row>
    <row r="1354" spans="6:7" x14ac:dyDescent="0.15">
      <c r="F1354" s="111"/>
      <c r="G1354" s="111"/>
    </row>
    <row r="1355" spans="6:7" x14ac:dyDescent="0.15">
      <c r="F1355" s="111"/>
      <c r="G1355" s="111"/>
    </row>
    <row r="1356" spans="6:7" x14ac:dyDescent="0.15">
      <c r="F1356" s="111"/>
      <c r="G1356" s="111"/>
    </row>
    <row r="1357" spans="6:7" x14ac:dyDescent="0.15">
      <c r="F1357" s="111"/>
      <c r="G1357" s="111"/>
    </row>
    <row r="1358" spans="6:7" x14ac:dyDescent="0.15">
      <c r="F1358" s="111"/>
      <c r="G1358" s="111"/>
    </row>
    <row r="1359" spans="6:7" x14ac:dyDescent="0.15">
      <c r="F1359" s="111"/>
      <c r="G1359" s="111"/>
    </row>
    <row r="1360" spans="6:7" x14ac:dyDescent="0.15">
      <c r="F1360" s="111"/>
      <c r="G1360" s="111"/>
    </row>
    <row r="1361" spans="6:7" x14ac:dyDescent="0.15">
      <c r="F1361" s="111"/>
      <c r="G1361" s="111"/>
    </row>
    <row r="1362" spans="6:7" x14ac:dyDescent="0.15">
      <c r="F1362" s="111"/>
      <c r="G1362" s="111"/>
    </row>
    <row r="1363" spans="6:7" x14ac:dyDescent="0.15">
      <c r="F1363" s="111"/>
      <c r="G1363" s="111"/>
    </row>
    <row r="1364" spans="6:7" x14ac:dyDescent="0.15">
      <c r="F1364" s="111"/>
      <c r="G1364" s="111"/>
    </row>
    <row r="1365" spans="6:7" x14ac:dyDescent="0.15">
      <c r="F1365" s="111"/>
      <c r="G1365" s="111"/>
    </row>
    <row r="1366" spans="6:7" x14ac:dyDescent="0.15">
      <c r="F1366" s="111"/>
      <c r="G1366" s="111"/>
    </row>
    <row r="1367" spans="6:7" x14ac:dyDescent="0.15">
      <c r="F1367" s="111"/>
      <c r="G1367" s="111"/>
    </row>
    <row r="1368" spans="6:7" x14ac:dyDescent="0.15">
      <c r="F1368" s="111"/>
      <c r="G1368" s="111"/>
    </row>
    <row r="1369" spans="6:7" x14ac:dyDescent="0.15">
      <c r="F1369" s="111"/>
      <c r="G1369" s="111"/>
    </row>
    <row r="1370" spans="6:7" x14ac:dyDescent="0.15">
      <c r="F1370" s="111"/>
      <c r="G1370" s="111"/>
    </row>
    <row r="1371" spans="6:7" x14ac:dyDescent="0.15">
      <c r="F1371" s="111"/>
      <c r="G1371" s="111"/>
    </row>
    <row r="1372" spans="6:7" x14ac:dyDescent="0.15">
      <c r="F1372" s="111"/>
      <c r="G1372" s="111"/>
    </row>
    <row r="1373" spans="6:7" x14ac:dyDescent="0.15">
      <c r="F1373" s="111"/>
      <c r="G1373" s="111"/>
    </row>
    <row r="1374" spans="6:7" x14ac:dyDescent="0.15">
      <c r="F1374" s="111"/>
      <c r="G1374" s="111"/>
    </row>
    <row r="1375" spans="6:7" x14ac:dyDescent="0.15">
      <c r="F1375" s="111"/>
      <c r="G1375" s="111"/>
    </row>
    <row r="1376" spans="6:7" x14ac:dyDescent="0.15">
      <c r="F1376" s="111"/>
      <c r="G1376" s="111"/>
    </row>
    <row r="1377" spans="6:7" x14ac:dyDescent="0.15">
      <c r="F1377" s="111"/>
      <c r="G1377" s="111"/>
    </row>
    <row r="1378" spans="6:7" x14ac:dyDescent="0.15">
      <c r="F1378" s="111"/>
      <c r="G1378" s="111"/>
    </row>
    <row r="1379" spans="6:7" x14ac:dyDescent="0.15">
      <c r="F1379" s="111"/>
      <c r="G1379" s="111"/>
    </row>
    <row r="1380" spans="6:7" x14ac:dyDescent="0.15">
      <c r="F1380" s="111"/>
      <c r="G1380" s="111"/>
    </row>
    <row r="1381" spans="6:7" x14ac:dyDescent="0.15">
      <c r="F1381" s="111"/>
      <c r="G1381" s="111"/>
    </row>
    <row r="1382" spans="6:7" x14ac:dyDescent="0.15">
      <c r="F1382" s="111"/>
      <c r="G1382" s="111"/>
    </row>
    <row r="1383" spans="6:7" x14ac:dyDescent="0.15">
      <c r="F1383" s="111"/>
      <c r="G1383" s="111"/>
    </row>
    <row r="1384" spans="6:7" x14ac:dyDescent="0.15">
      <c r="F1384" s="111"/>
      <c r="G1384" s="111"/>
    </row>
    <row r="1385" spans="6:7" x14ac:dyDescent="0.15">
      <c r="F1385" s="111"/>
      <c r="G1385" s="111"/>
    </row>
    <row r="1386" spans="6:7" x14ac:dyDescent="0.15">
      <c r="F1386" s="111"/>
      <c r="G1386" s="111"/>
    </row>
    <row r="1387" spans="6:7" x14ac:dyDescent="0.15">
      <c r="F1387" s="111"/>
      <c r="G1387" s="111"/>
    </row>
    <row r="1388" spans="6:7" x14ac:dyDescent="0.15">
      <c r="F1388" s="111"/>
      <c r="G1388" s="111"/>
    </row>
    <row r="1389" spans="6:7" x14ac:dyDescent="0.15">
      <c r="F1389" s="111"/>
      <c r="G1389" s="111"/>
    </row>
    <row r="1390" spans="6:7" x14ac:dyDescent="0.15">
      <c r="F1390" s="111"/>
      <c r="G1390" s="111"/>
    </row>
    <row r="1391" spans="6:7" x14ac:dyDescent="0.15">
      <c r="F1391" s="111"/>
      <c r="G1391" s="111"/>
    </row>
    <row r="1392" spans="6:7" x14ac:dyDescent="0.15">
      <c r="F1392" s="111"/>
      <c r="G1392" s="111"/>
    </row>
    <row r="1393" spans="6:7" x14ac:dyDescent="0.15">
      <c r="F1393" s="111"/>
      <c r="G1393" s="111"/>
    </row>
    <row r="1394" spans="6:7" x14ac:dyDescent="0.15">
      <c r="F1394" s="111"/>
      <c r="G1394" s="111"/>
    </row>
    <row r="1395" spans="6:7" x14ac:dyDescent="0.15">
      <c r="F1395" s="111"/>
      <c r="G1395" s="111"/>
    </row>
    <row r="1396" spans="6:7" x14ac:dyDescent="0.15">
      <c r="F1396" s="111"/>
      <c r="G1396" s="111"/>
    </row>
    <row r="1397" spans="6:7" x14ac:dyDescent="0.15">
      <c r="F1397" s="111"/>
      <c r="G1397" s="111"/>
    </row>
    <row r="1398" spans="6:7" x14ac:dyDescent="0.15">
      <c r="F1398" s="111"/>
      <c r="G1398" s="111"/>
    </row>
    <row r="1399" spans="6:7" x14ac:dyDescent="0.15">
      <c r="F1399" s="111"/>
      <c r="G1399" s="111"/>
    </row>
    <row r="1400" spans="6:7" x14ac:dyDescent="0.15">
      <c r="F1400" s="111"/>
      <c r="G1400" s="111"/>
    </row>
    <row r="1401" spans="6:7" x14ac:dyDescent="0.15">
      <c r="F1401" s="111"/>
      <c r="G1401" s="111"/>
    </row>
    <row r="1402" spans="6:7" x14ac:dyDescent="0.15">
      <c r="F1402" s="111"/>
      <c r="G1402" s="111"/>
    </row>
    <row r="1403" spans="6:7" x14ac:dyDescent="0.15">
      <c r="F1403" s="111"/>
      <c r="G1403" s="111"/>
    </row>
    <row r="1404" spans="6:7" x14ac:dyDescent="0.15">
      <c r="F1404" s="111"/>
      <c r="G1404" s="111"/>
    </row>
    <row r="1405" spans="6:7" x14ac:dyDescent="0.15">
      <c r="F1405" s="111"/>
      <c r="G1405" s="111"/>
    </row>
    <row r="1406" spans="6:7" x14ac:dyDescent="0.15">
      <c r="F1406" s="111"/>
      <c r="G1406" s="111"/>
    </row>
    <row r="1407" spans="6:7" x14ac:dyDescent="0.15">
      <c r="F1407" s="111"/>
      <c r="G1407" s="111"/>
    </row>
    <row r="1408" spans="6:7" x14ac:dyDescent="0.15">
      <c r="F1408" s="111"/>
      <c r="G1408" s="111"/>
    </row>
    <row r="1409" spans="6:7" x14ac:dyDescent="0.15">
      <c r="F1409" s="111"/>
      <c r="G1409" s="111"/>
    </row>
    <row r="1410" spans="6:7" x14ac:dyDescent="0.15">
      <c r="F1410" s="111"/>
      <c r="G1410" s="111"/>
    </row>
    <row r="1411" spans="6:7" x14ac:dyDescent="0.15">
      <c r="F1411" s="111"/>
      <c r="G1411" s="111"/>
    </row>
    <row r="1412" spans="6:7" x14ac:dyDescent="0.15">
      <c r="F1412" s="111"/>
      <c r="G1412" s="111"/>
    </row>
    <row r="1413" spans="6:7" x14ac:dyDescent="0.15">
      <c r="F1413" s="111"/>
      <c r="G1413" s="111"/>
    </row>
    <row r="1414" spans="6:7" x14ac:dyDescent="0.15">
      <c r="F1414" s="111"/>
      <c r="G1414" s="111"/>
    </row>
    <row r="1415" spans="6:7" x14ac:dyDescent="0.15">
      <c r="F1415" s="111"/>
      <c r="G1415" s="111"/>
    </row>
    <row r="1416" spans="6:7" x14ac:dyDescent="0.15">
      <c r="F1416" s="111"/>
      <c r="G1416" s="111"/>
    </row>
    <row r="1417" spans="6:7" x14ac:dyDescent="0.15">
      <c r="F1417" s="111"/>
      <c r="G1417" s="111"/>
    </row>
    <row r="1418" spans="6:7" x14ac:dyDescent="0.15">
      <c r="F1418" s="111"/>
      <c r="G1418" s="111"/>
    </row>
    <row r="1419" spans="6:7" x14ac:dyDescent="0.15">
      <c r="F1419" s="111"/>
      <c r="G1419" s="111"/>
    </row>
    <row r="1420" spans="6:7" x14ac:dyDescent="0.15">
      <c r="F1420" s="111"/>
      <c r="G1420" s="111"/>
    </row>
    <row r="1421" spans="6:7" x14ac:dyDescent="0.15">
      <c r="F1421" s="111"/>
      <c r="G1421" s="111"/>
    </row>
    <row r="1422" spans="6:7" x14ac:dyDescent="0.15">
      <c r="F1422" s="111"/>
      <c r="G1422" s="111"/>
    </row>
    <row r="1423" spans="6:7" x14ac:dyDescent="0.15">
      <c r="F1423" s="111"/>
      <c r="G1423" s="111"/>
    </row>
    <row r="1424" spans="6:7" x14ac:dyDescent="0.15">
      <c r="F1424" s="111"/>
      <c r="G1424" s="111"/>
    </row>
    <row r="1425" spans="6:7" x14ac:dyDescent="0.15">
      <c r="F1425" s="111"/>
      <c r="G1425" s="111"/>
    </row>
    <row r="1426" spans="6:7" x14ac:dyDescent="0.15">
      <c r="F1426" s="111"/>
      <c r="G1426" s="111"/>
    </row>
    <row r="1427" spans="6:7" x14ac:dyDescent="0.15">
      <c r="F1427" s="111"/>
      <c r="G1427" s="111"/>
    </row>
    <row r="1428" spans="6:7" x14ac:dyDescent="0.15">
      <c r="F1428" s="111"/>
      <c r="G1428" s="111"/>
    </row>
    <row r="1429" spans="6:7" x14ac:dyDescent="0.15">
      <c r="F1429" s="111"/>
      <c r="G1429" s="111"/>
    </row>
    <row r="1430" spans="6:7" x14ac:dyDescent="0.15">
      <c r="F1430" s="111"/>
      <c r="G1430" s="111"/>
    </row>
    <row r="1431" spans="6:7" x14ac:dyDescent="0.15">
      <c r="F1431" s="111"/>
      <c r="G1431" s="111"/>
    </row>
    <row r="1432" spans="6:7" x14ac:dyDescent="0.15">
      <c r="F1432" s="111"/>
      <c r="G1432" s="111"/>
    </row>
    <row r="1433" spans="6:7" x14ac:dyDescent="0.15">
      <c r="F1433" s="111"/>
      <c r="G1433" s="111"/>
    </row>
    <row r="1434" spans="6:7" x14ac:dyDescent="0.15">
      <c r="F1434" s="111"/>
      <c r="G1434" s="111"/>
    </row>
    <row r="1435" spans="6:7" x14ac:dyDescent="0.15">
      <c r="F1435" s="111"/>
      <c r="G1435" s="111"/>
    </row>
    <row r="1436" spans="6:7" x14ac:dyDescent="0.15">
      <c r="F1436" s="111"/>
      <c r="G1436" s="111"/>
    </row>
    <row r="1437" spans="6:7" x14ac:dyDescent="0.15">
      <c r="F1437" s="111"/>
      <c r="G1437" s="111"/>
    </row>
    <row r="1438" spans="6:7" x14ac:dyDescent="0.15">
      <c r="F1438" s="111"/>
      <c r="G1438" s="111"/>
    </row>
    <row r="1439" spans="6:7" x14ac:dyDescent="0.15">
      <c r="F1439" s="111"/>
      <c r="G1439" s="111"/>
    </row>
    <row r="1440" spans="6:7" x14ac:dyDescent="0.15">
      <c r="F1440" s="111"/>
      <c r="G1440" s="111"/>
    </row>
    <row r="1441" spans="6:7" x14ac:dyDescent="0.15">
      <c r="F1441" s="111"/>
      <c r="G1441" s="111"/>
    </row>
    <row r="1442" spans="6:7" x14ac:dyDescent="0.15">
      <c r="F1442" s="111"/>
      <c r="G1442" s="111"/>
    </row>
    <row r="1443" spans="6:7" x14ac:dyDescent="0.15">
      <c r="F1443" s="111"/>
      <c r="G1443" s="111"/>
    </row>
    <row r="1444" spans="6:7" x14ac:dyDescent="0.15">
      <c r="F1444" s="111"/>
      <c r="G1444" s="111"/>
    </row>
    <row r="1445" spans="6:7" x14ac:dyDescent="0.15">
      <c r="F1445" s="111"/>
      <c r="G1445" s="111"/>
    </row>
    <row r="1446" spans="6:7" x14ac:dyDescent="0.15">
      <c r="F1446" s="111"/>
      <c r="G1446" s="111"/>
    </row>
    <row r="1447" spans="6:7" x14ac:dyDescent="0.15">
      <c r="F1447" s="111"/>
      <c r="G1447" s="111"/>
    </row>
    <row r="1448" spans="6:7" x14ac:dyDescent="0.15">
      <c r="F1448" s="111"/>
      <c r="G1448" s="111"/>
    </row>
    <row r="1449" spans="6:7" x14ac:dyDescent="0.15">
      <c r="F1449" s="111"/>
      <c r="G1449" s="111"/>
    </row>
    <row r="1450" spans="6:7" x14ac:dyDescent="0.15">
      <c r="F1450" s="111"/>
      <c r="G1450" s="111"/>
    </row>
    <row r="1451" spans="6:7" x14ac:dyDescent="0.15">
      <c r="F1451" s="111"/>
      <c r="G1451" s="111"/>
    </row>
    <row r="1452" spans="6:7" x14ac:dyDescent="0.15">
      <c r="F1452" s="111"/>
      <c r="G1452" s="111"/>
    </row>
    <row r="1453" spans="6:7" x14ac:dyDescent="0.15">
      <c r="F1453" s="111"/>
      <c r="G1453" s="111"/>
    </row>
    <row r="1454" spans="6:7" x14ac:dyDescent="0.15">
      <c r="F1454" s="111"/>
      <c r="G1454" s="111"/>
    </row>
    <row r="1455" spans="6:7" x14ac:dyDescent="0.15">
      <c r="F1455" s="111"/>
      <c r="G1455" s="111"/>
    </row>
    <row r="1456" spans="6:7" x14ac:dyDescent="0.15">
      <c r="F1456" s="111"/>
      <c r="G1456" s="111"/>
    </row>
    <row r="1457" spans="6:7" x14ac:dyDescent="0.15">
      <c r="F1457" s="111"/>
      <c r="G1457" s="111"/>
    </row>
    <row r="1458" spans="6:7" x14ac:dyDescent="0.15">
      <c r="F1458" s="111"/>
      <c r="G1458" s="111"/>
    </row>
    <row r="1459" spans="6:7" x14ac:dyDescent="0.15">
      <c r="F1459" s="111"/>
      <c r="G1459" s="111"/>
    </row>
    <row r="1460" spans="6:7" x14ac:dyDescent="0.15">
      <c r="F1460" s="111"/>
      <c r="G1460" s="111"/>
    </row>
    <row r="1461" spans="6:7" x14ac:dyDescent="0.15">
      <c r="F1461" s="111"/>
      <c r="G1461" s="111"/>
    </row>
    <row r="1462" spans="6:7" x14ac:dyDescent="0.15">
      <c r="F1462" s="111"/>
      <c r="G1462" s="111"/>
    </row>
    <row r="1463" spans="6:7" x14ac:dyDescent="0.15">
      <c r="F1463" s="111"/>
      <c r="G1463" s="111"/>
    </row>
    <row r="1464" spans="6:7" x14ac:dyDescent="0.15">
      <c r="F1464" s="111"/>
      <c r="G1464" s="111"/>
    </row>
    <row r="1465" spans="6:7" x14ac:dyDescent="0.15">
      <c r="F1465" s="111"/>
      <c r="G1465" s="111"/>
    </row>
    <row r="1466" spans="6:7" x14ac:dyDescent="0.15">
      <c r="F1466" s="111"/>
      <c r="G1466" s="111"/>
    </row>
    <row r="1467" spans="6:7" x14ac:dyDescent="0.15">
      <c r="F1467" s="111"/>
      <c r="G1467" s="111"/>
    </row>
    <row r="1468" spans="6:7" x14ac:dyDescent="0.15">
      <c r="F1468" s="111"/>
      <c r="G1468" s="111"/>
    </row>
    <row r="1469" spans="6:7" x14ac:dyDescent="0.15">
      <c r="F1469" s="111"/>
      <c r="G1469" s="111"/>
    </row>
    <row r="1470" spans="6:7" x14ac:dyDescent="0.15">
      <c r="F1470" s="111"/>
      <c r="G1470" s="111"/>
    </row>
    <row r="1471" spans="6:7" x14ac:dyDescent="0.15">
      <c r="F1471" s="111"/>
      <c r="G1471" s="111"/>
    </row>
    <row r="1472" spans="6:7" x14ac:dyDescent="0.15">
      <c r="F1472" s="111"/>
      <c r="G1472" s="111"/>
    </row>
    <row r="1473" spans="6:7" x14ac:dyDescent="0.15">
      <c r="F1473" s="111"/>
      <c r="G1473" s="111"/>
    </row>
    <row r="1474" spans="6:7" x14ac:dyDescent="0.15">
      <c r="F1474" s="111"/>
      <c r="G1474" s="111"/>
    </row>
    <row r="1475" spans="6:7" x14ac:dyDescent="0.15">
      <c r="F1475" s="111"/>
      <c r="G1475" s="111"/>
    </row>
    <row r="1476" spans="6:7" x14ac:dyDescent="0.15">
      <c r="F1476" s="111"/>
      <c r="G1476" s="111"/>
    </row>
    <row r="1477" spans="6:7" x14ac:dyDescent="0.15">
      <c r="F1477" s="111"/>
      <c r="G1477" s="111"/>
    </row>
    <row r="1478" spans="6:7" x14ac:dyDescent="0.15">
      <c r="F1478" s="111"/>
      <c r="G1478" s="111"/>
    </row>
    <row r="1479" spans="6:7" x14ac:dyDescent="0.15">
      <c r="F1479" s="111"/>
      <c r="G1479" s="111"/>
    </row>
    <row r="1480" spans="6:7" x14ac:dyDescent="0.15">
      <c r="F1480" s="111"/>
      <c r="G1480" s="111"/>
    </row>
    <row r="1481" spans="6:7" x14ac:dyDescent="0.15">
      <c r="F1481" s="111"/>
      <c r="G1481" s="111"/>
    </row>
    <row r="1482" spans="6:7" x14ac:dyDescent="0.15">
      <c r="F1482" s="111"/>
      <c r="G1482" s="111"/>
    </row>
    <row r="1483" spans="6:7" x14ac:dyDescent="0.15">
      <c r="F1483" s="111"/>
      <c r="G1483" s="111"/>
    </row>
    <row r="1484" spans="6:7" x14ac:dyDescent="0.15">
      <c r="F1484" s="111"/>
      <c r="G1484" s="111"/>
    </row>
    <row r="1485" spans="6:7" x14ac:dyDescent="0.15">
      <c r="F1485" s="111"/>
      <c r="G1485" s="111"/>
    </row>
    <row r="1486" spans="6:7" x14ac:dyDescent="0.15">
      <c r="F1486" s="111"/>
      <c r="G1486" s="111"/>
    </row>
    <row r="1487" spans="6:7" x14ac:dyDescent="0.15">
      <c r="F1487" s="111"/>
      <c r="G1487" s="111"/>
    </row>
    <row r="1488" spans="6:7" x14ac:dyDescent="0.15">
      <c r="F1488" s="111"/>
      <c r="G1488" s="111"/>
    </row>
    <row r="1489" spans="6:7" x14ac:dyDescent="0.15">
      <c r="F1489" s="111"/>
      <c r="G1489" s="111"/>
    </row>
    <row r="1490" spans="6:7" x14ac:dyDescent="0.15">
      <c r="F1490" s="111"/>
      <c r="G1490" s="111"/>
    </row>
    <row r="1491" spans="6:7" x14ac:dyDescent="0.15">
      <c r="F1491" s="111"/>
      <c r="G1491" s="111"/>
    </row>
    <row r="1492" spans="6:7" x14ac:dyDescent="0.15">
      <c r="F1492" s="111"/>
      <c r="G1492" s="111"/>
    </row>
    <row r="1493" spans="6:7" x14ac:dyDescent="0.15">
      <c r="F1493" s="111"/>
      <c r="G1493" s="111"/>
    </row>
    <row r="1494" spans="6:7" x14ac:dyDescent="0.15">
      <c r="F1494" s="111"/>
      <c r="G1494" s="111"/>
    </row>
    <row r="1495" spans="6:7" x14ac:dyDescent="0.15">
      <c r="F1495" s="111"/>
      <c r="G1495" s="111"/>
    </row>
    <row r="1496" spans="6:7" x14ac:dyDescent="0.15">
      <c r="F1496" s="111"/>
      <c r="G1496" s="111"/>
    </row>
    <row r="1497" spans="6:7" x14ac:dyDescent="0.15">
      <c r="F1497" s="111"/>
      <c r="G1497" s="111"/>
    </row>
    <row r="1498" spans="6:7" x14ac:dyDescent="0.15">
      <c r="F1498" s="111"/>
      <c r="G1498" s="111"/>
    </row>
    <row r="1499" spans="6:7" x14ac:dyDescent="0.15">
      <c r="F1499" s="111"/>
      <c r="G1499" s="111"/>
    </row>
    <row r="1500" spans="6:7" x14ac:dyDescent="0.15">
      <c r="F1500" s="111"/>
      <c r="G1500" s="111"/>
    </row>
    <row r="1501" spans="6:7" x14ac:dyDescent="0.15">
      <c r="F1501" s="111"/>
      <c r="G1501" s="111"/>
    </row>
    <row r="1502" spans="6:7" x14ac:dyDescent="0.15">
      <c r="F1502" s="111"/>
      <c r="G1502" s="111"/>
    </row>
    <row r="1503" spans="6:7" x14ac:dyDescent="0.15">
      <c r="F1503" s="111"/>
      <c r="G1503" s="111"/>
    </row>
    <row r="1504" spans="6:7" x14ac:dyDescent="0.15">
      <c r="F1504" s="111"/>
      <c r="G1504" s="111"/>
    </row>
  </sheetData>
  <phoneticPr fontId="0" type="noConversion"/>
  <printOptions gridLinesSet="0"/>
  <pageMargins left="0.45" right="0.125" top="0" bottom="0" header="0.15" footer="0.15"/>
  <pageSetup scale="61" orientation="landscape" horizontalDpi="300" verticalDpi="300" r:id="rId1"/>
  <headerFooter alignWithMargins="0">
    <oddFooter xml:space="preserve">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workbookViewId="0">
      <selection activeCell="C13" sqref="C13:C42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134</v>
      </c>
      <c r="C3" s="172"/>
      <c r="D3" s="5"/>
      <c r="E3" s="5"/>
      <c r="F3" s="5"/>
      <c r="G3" s="5" t="s">
        <v>0</v>
      </c>
      <c r="I3" s="38"/>
    </row>
    <row r="4" spans="1:10" s="10" customFormat="1" ht="22.5" x14ac:dyDescent="0.3">
      <c r="A4" s="84"/>
      <c r="B4" s="81">
        <f>+'$ VOLS'!B6</f>
        <v>36951</v>
      </c>
      <c r="C4" s="172"/>
      <c r="E4" s="83" t="s">
        <v>0</v>
      </c>
      <c r="F4" s="99" t="s">
        <v>0</v>
      </c>
      <c r="G4" s="5"/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VOLS'!G12</f>
        <v>877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964.7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789.30000000000007</v>
      </c>
      <c r="F8" s="11" t="s">
        <v>3</v>
      </c>
      <c r="G8" s="12" t="s">
        <v>73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81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 t="s">
        <v>1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">
      <c r="A12" s="82">
        <f>'$ VOLS'!E114</f>
        <v>5.31</v>
      </c>
      <c r="B12" s="21">
        <v>36951</v>
      </c>
      <c r="C12" s="172">
        <v>763.77419350000002</v>
      </c>
      <c r="D12" s="6">
        <f t="shared" ref="D12:D42" si="0">IF(C12&gt;$D$7,$D$7,C12)</f>
        <v>763.77419350000002</v>
      </c>
      <c r="E12" s="6">
        <f t="shared" ref="E12:E42" si="1">IF(C12&gt;$D$7,C12-D12,0)</f>
        <v>0</v>
      </c>
      <c r="F12" s="6">
        <f t="shared" ref="F12:F42" si="2">IF(C12&lt;$D$8,$D$8-C12,0)</f>
        <v>25.525806500000044</v>
      </c>
      <c r="G12" s="67">
        <f t="shared" ref="G12:G42" si="3">+A12-0.08-$J$47</f>
        <v>5.0919999999999996</v>
      </c>
      <c r="H12" s="40">
        <f t="shared" ref="H12:H42" si="4">+G12*E12</f>
        <v>0</v>
      </c>
      <c r="I12" s="33">
        <f t="shared" ref="I12:I42" si="5">IF(G12&gt;$F$47,($F$47-G12)*F12,0)</f>
        <v>-6.7643387225000033</v>
      </c>
    </row>
    <row r="13" spans="1:10" s="5" customFormat="1" ht="14.25" customHeight="1" x14ac:dyDescent="0.2">
      <c r="A13" s="82">
        <f>'$ VOLS'!E115</f>
        <v>5.2949999999999999</v>
      </c>
      <c r="B13" s="21">
        <f t="shared" ref="B13:B40" si="6">+B12+1</f>
        <v>36952</v>
      </c>
      <c r="C13" s="172">
        <v>763.77419350000002</v>
      </c>
      <c r="D13" s="6">
        <f t="shared" si="0"/>
        <v>763.77419350000002</v>
      </c>
      <c r="E13" s="6">
        <f t="shared" si="1"/>
        <v>0</v>
      </c>
      <c r="F13" s="6">
        <f t="shared" si="2"/>
        <v>25.525806500000044</v>
      </c>
      <c r="G13" s="67">
        <f t="shared" si="3"/>
        <v>5.077</v>
      </c>
      <c r="H13" s="40">
        <f t="shared" si="4"/>
        <v>0</v>
      </c>
      <c r="I13" s="33">
        <f t="shared" si="5"/>
        <v>-6.3814516250000111</v>
      </c>
    </row>
    <row r="14" spans="1:10" s="5" customFormat="1" ht="14.25" customHeight="1" x14ac:dyDescent="0.2">
      <c r="A14" s="82">
        <f>'$ VOLS'!E116</f>
        <v>5.21</v>
      </c>
      <c r="B14" s="21">
        <f t="shared" si="6"/>
        <v>36953</v>
      </c>
      <c r="C14" s="172">
        <v>763.77419350000002</v>
      </c>
      <c r="D14" s="6">
        <f t="shared" si="0"/>
        <v>763.77419350000002</v>
      </c>
      <c r="E14" s="6">
        <f t="shared" si="1"/>
        <v>0</v>
      </c>
      <c r="F14" s="6">
        <f t="shared" si="2"/>
        <v>25.525806500000044</v>
      </c>
      <c r="G14" s="67">
        <f t="shared" si="3"/>
        <v>4.992</v>
      </c>
      <c r="H14" s="40">
        <f t="shared" si="4"/>
        <v>0</v>
      </c>
      <c r="I14" s="33">
        <f t="shared" si="5"/>
        <v>-4.2117580725000083</v>
      </c>
    </row>
    <row r="15" spans="1:10" s="5" customFormat="1" ht="14.25" customHeight="1" x14ac:dyDescent="0.2">
      <c r="A15" s="82">
        <f>'$ VOLS'!E117</f>
        <v>5.21</v>
      </c>
      <c r="B15" s="21">
        <f t="shared" si="6"/>
        <v>36954</v>
      </c>
      <c r="C15" s="172">
        <v>763.77419350000002</v>
      </c>
      <c r="D15" s="6">
        <f t="shared" si="0"/>
        <v>763.77419350000002</v>
      </c>
      <c r="E15" s="6">
        <f t="shared" si="1"/>
        <v>0</v>
      </c>
      <c r="F15" s="6">
        <f t="shared" si="2"/>
        <v>25.525806500000044</v>
      </c>
      <c r="G15" s="67">
        <f t="shared" si="3"/>
        <v>4.992</v>
      </c>
      <c r="H15" s="40">
        <f t="shared" si="4"/>
        <v>0</v>
      </c>
      <c r="I15" s="33">
        <f t="shared" si="5"/>
        <v>-4.2117580725000083</v>
      </c>
    </row>
    <row r="16" spans="1:10" s="5" customFormat="1" ht="14.25" customHeight="1" x14ac:dyDescent="0.2">
      <c r="A16" s="82">
        <f>'$ VOLS'!E118</f>
        <v>5.21</v>
      </c>
      <c r="B16" s="21">
        <f t="shared" si="6"/>
        <v>36955</v>
      </c>
      <c r="C16" s="172">
        <v>763.77419350000002</v>
      </c>
      <c r="D16" s="6">
        <f t="shared" si="0"/>
        <v>763.77419350000002</v>
      </c>
      <c r="E16" s="6">
        <f t="shared" si="1"/>
        <v>0</v>
      </c>
      <c r="F16" s="6">
        <f t="shared" si="2"/>
        <v>25.525806500000044</v>
      </c>
      <c r="G16" s="67">
        <f t="shared" si="3"/>
        <v>4.992</v>
      </c>
      <c r="H16" s="40">
        <f t="shared" si="4"/>
        <v>0</v>
      </c>
      <c r="I16" s="33">
        <f t="shared" si="5"/>
        <v>-4.2117580725000083</v>
      </c>
    </row>
    <row r="17" spans="1:10" s="5" customFormat="1" ht="14.25" customHeight="1" x14ac:dyDescent="0.2">
      <c r="A17" s="82">
        <f>'$ VOLS'!E119</f>
        <v>5.3250000000000002</v>
      </c>
      <c r="B17" s="21">
        <f t="shared" si="6"/>
        <v>36956</v>
      </c>
      <c r="C17" s="172">
        <v>763.77419350000002</v>
      </c>
      <c r="D17" s="6">
        <f t="shared" si="0"/>
        <v>763.77419350000002</v>
      </c>
      <c r="E17" s="6">
        <f t="shared" si="1"/>
        <v>0</v>
      </c>
      <c r="F17" s="6">
        <f t="shared" si="2"/>
        <v>25.525806500000044</v>
      </c>
      <c r="G17" s="67">
        <f t="shared" si="3"/>
        <v>5.1070000000000002</v>
      </c>
      <c r="H17" s="40">
        <f t="shared" si="4"/>
        <v>0</v>
      </c>
      <c r="I17" s="33">
        <f t="shared" si="5"/>
        <v>-7.1472258200000187</v>
      </c>
    </row>
    <row r="18" spans="1:10" s="5" customFormat="1" ht="14.25" customHeight="1" x14ac:dyDescent="0.2">
      <c r="A18" s="82">
        <f>'$ VOLS'!E120</f>
        <v>5.2750000000000004</v>
      </c>
      <c r="B18" s="21">
        <f t="shared" si="6"/>
        <v>36957</v>
      </c>
      <c r="C18" s="172">
        <v>763.77419350000002</v>
      </c>
      <c r="D18" s="6">
        <f t="shared" si="0"/>
        <v>763.77419350000002</v>
      </c>
      <c r="E18" s="6">
        <f t="shared" si="1"/>
        <v>0</v>
      </c>
      <c r="F18" s="6">
        <f t="shared" si="2"/>
        <v>25.525806500000044</v>
      </c>
      <c r="G18" s="67">
        <f t="shared" si="3"/>
        <v>5.0570000000000004</v>
      </c>
      <c r="H18" s="40">
        <f t="shared" si="4"/>
        <v>0</v>
      </c>
      <c r="I18" s="33">
        <f t="shared" si="5"/>
        <v>-5.8709354950000208</v>
      </c>
    </row>
    <row r="19" spans="1:10" s="5" customFormat="1" ht="14.25" customHeight="1" x14ac:dyDescent="0.2">
      <c r="A19" s="82">
        <f>'$ VOLS'!E121</f>
        <v>5.23</v>
      </c>
      <c r="B19" s="21">
        <f t="shared" si="6"/>
        <v>36958</v>
      </c>
      <c r="C19" s="172">
        <v>763.77419350000002</v>
      </c>
      <c r="D19" s="6">
        <f t="shared" si="0"/>
        <v>763.77419350000002</v>
      </c>
      <c r="E19" s="6">
        <f t="shared" si="1"/>
        <v>0</v>
      </c>
      <c r="F19" s="6">
        <f t="shared" si="2"/>
        <v>25.525806500000044</v>
      </c>
      <c r="G19" s="67">
        <f t="shared" si="3"/>
        <v>5.0120000000000005</v>
      </c>
      <c r="H19" s="40">
        <f t="shared" si="4"/>
        <v>0</v>
      </c>
      <c r="I19" s="33">
        <f t="shared" si="5"/>
        <v>-4.7222742025000208</v>
      </c>
    </row>
    <row r="20" spans="1:10" s="5" customFormat="1" ht="14.25" customHeight="1" x14ac:dyDescent="0.2">
      <c r="A20" s="82">
        <f>'$ VOLS'!E122</f>
        <v>5.23</v>
      </c>
      <c r="B20" s="21">
        <f t="shared" si="6"/>
        <v>36959</v>
      </c>
      <c r="C20" s="172">
        <v>763.77419350000002</v>
      </c>
      <c r="D20" s="6">
        <f t="shared" si="0"/>
        <v>763.77419350000002</v>
      </c>
      <c r="E20" s="6">
        <f t="shared" si="1"/>
        <v>0</v>
      </c>
      <c r="F20" s="6">
        <f t="shared" si="2"/>
        <v>25.525806500000044</v>
      </c>
      <c r="G20" s="67">
        <f t="shared" si="3"/>
        <v>5.0120000000000005</v>
      </c>
      <c r="H20" s="40">
        <f t="shared" si="4"/>
        <v>0</v>
      </c>
      <c r="I20" s="33">
        <f t="shared" si="5"/>
        <v>-4.7222742025000208</v>
      </c>
    </row>
    <row r="21" spans="1:10" s="5" customFormat="1" ht="14.25" customHeight="1" x14ac:dyDescent="0.2">
      <c r="A21" s="82">
        <f>'$ VOLS'!E123</f>
        <v>5.12</v>
      </c>
      <c r="B21" s="21">
        <f t="shared" si="6"/>
        <v>36960</v>
      </c>
      <c r="C21" s="172">
        <v>763.77419350000002</v>
      </c>
      <c r="D21" s="6">
        <f t="shared" si="0"/>
        <v>763.77419350000002</v>
      </c>
      <c r="E21" s="6">
        <f t="shared" si="1"/>
        <v>0</v>
      </c>
      <c r="F21" s="6">
        <f t="shared" si="2"/>
        <v>25.525806500000044</v>
      </c>
      <c r="G21" s="67">
        <f t="shared" si="3"/>
        <v>4.9020000000000001</v>
      </c>
      <c r="H21" s="40">
        <f t="shared" si="4"/>
        <v>0</v>
      </c>
      <c r="I21" s="33">
        <f t="shared" si="5"/>
        <v>-1.9144354875000078</v>
      </c>
    </row>
    <row r="22" spans="1:10" s="1" customFormat="1" ht="14.25" customHeight="1" x14ac:dyDescent="0.2">
      <c r="A22" s="82">
        <f>'$ VOLS'!E124</f>
        <v>5.12</v>
      </c>
      <c r="B22" s="21">
        <f t="shared" si="6"/>
        <v>36961</v>
      </c>
      <c r="C22" s="172">
        <v>763.77419350000002</v>
      </c>
      <c r="D22" s="6">
        <f t="shared" si="0"/>
        <v>763.77419350000002</v>
      </c>
      <c r="E22" s="6">
        <f t="shared" si="1"/>
        <v>0</v>
      </c>
      <c r="F22" s="6">
        <f t="shared" si="2"/>
        <v>25.525806500000044</v>
      </c>
      <c r="G22" s="67">
        <f t="shared" si="3"/>
        <v>4.9020000000000001</v>
      </c>
      <c r="H22" s="40">
        <f t="shared" si="4"/>
        <v>0</v>
      </c>
      <c r="I22" s="33">
        <f t="shared" si="5"/>
        <v>-1.9144354875000078</v>
      </c>
      <c r="J22" s="5"/>
    </row>
    <row r="23" spans="1:10" s="1" customFormat="1" ht="14.25" customHeight="1" x14ac:dyDescent="0.2">
      <c r="A23" s="82">
        <f>'$ VOLS'!E125</f>
        <v>5.12</v>
      </c>
      <c r="B23" s="21">
        <f t="shared" si="6"/>
        <v>36962</v>
      </c>
      <c r="C23" s="172">
        <v>763.77419350000002</v>
      </c>
      <c r="D23" s="6">
        <f t="shared" si="0"/>
        <v>763.77419350000002</v>
      </c>
      <c r="E23" s="6">
        <f t="shared" si="1"/>
        <v>0</v>
      </c>
      <c r="F23" s="6">
        <f t="shared" si="2"/>
        <v>25.525806500000044</v>
      </c>
      <c r="G23" s="67">
        <f t="shared" si="3"/>
        <v>4.9020000000000001</v>
      </c>
      <c r="H23" s="40">
        <f t="shared" si="4"/>
        <v>0</v>
      </c>
      <c r="I23" s="33">
        <f t="shared" si="5"/>
        <v>-1.9144354875000078</v>
      </c>
      <c r="J23" s="5"/>
    </row>
    <row r="24" spans="1:10" s="5" customFormat="1" ht="14.25" customHeight="1" x14ac:dyDescent="0.2">
      <c r="A24" s="82">
        <f>'$ VOLS'!E126</f>
        <v>5</v>
      </c>
      <c r="B24" s="21">
        <f t="shared" si="6"/>
        <v>36963</v>
      </c>
      <c r="C24" s="172">
        <v>763.77419350000002</v>
      </c>
      <c r="D24" s="6">
        <f t="shared" si="0"/>
        <v>763.77419350000002</v>
      </c>
      <c r="E24" s="6">
        <f t="shared" si="1"/>
        <v>0</v>
      </c>
      <c r="F24" s="6">
        <f t="shared" si="2"/>
        <v>25.525806500000044</v>
      </c>
      <c r="G24" s="67">
        <f t="shared" si="3"/>
        <v>4.782</v>
      </c>
      <c r="H24" s="40">
        <f t="shared" si="4"/>
        <v>0</v>
      </c>
      <c r="I24" s="33">
        <f t="shared" si="5"/>
        <v>0</v>
      </c>
    </row>
    <row r="25" spans="1:10" s="1" customFormat="1" ht="14.25" customHeight="1" x14ac:dyDescent="0.2">
      <c r="A25" s="82">
        <f>'$ VOLS'!E127</f>
        <v>5.085</v>
      </c>
      <c r="B25" s="21">
        <f t="shared" si="6"/>
        <v>36964</v>
      </c>
      <c r="C25" s="172">
        <v>763.77419350000002</v>
      </c>
      <c r="D25" s="6">
        <f t="shared" si="0"/>
        <v>763.77419350000002</v>
      </c>
      <c r="E25" s="6">
        <f t="shared" si="1"/>
        <v>0</v>
      </c>
      <c r="F25" s="6">
        <f t="shared" si="2"/>
        <v>25.525806500000044</v>
      </c>
      <c r="G25" s="67">
        <f t="shared" si="3"/>
        <v>4.867</v>
      </c>
      <c r="H25" s="40">
        <f t="shared" si="4"/>
        <v>0</v>
      </c>
      <c r="I25" s="33">
        <f t="shared" si="5"/>
        <v>-1.0210322600000026</v>
      </c>
      <c r="J25" s="5"/>
    </row>
    <row r="26" spans="1:10" s="1" customFormat="1" ht="14.25" customHeight="1" x14ac:dyDescent="0.2">
      <c r="A26" s="82">
        <f>'$ VOLS'!E128</f>
        <v>4.9850000000000003</v>
      </c>
      <c r="B26" s="21">
        <f t="shared" si="6"/>
        <v>36965</v>
      </c>
      <c r="C26" s="172">
        <v>763.77419350000002</v>
      </c>
      <c r="D26" s="6">
        <f t="shared" si="0"/>
        <v>763.77419350000002</v>
      </c>
      <c r="E26" s="6">
        <f t="shared" si="1"/>
        <v>0</v>
      </c>
      <c r="F26" s="6">
        <f t="shared" si="2"/>
        <v>25.525806500000044</v>
      </c>
      <c r="G26" s="67">
        <f t="shared" si="3"/>
        <v>4.7670000000000003</v>
      </c>
      <c r="H26" s="40">
        <f t="shared" si="4"/>
        <v>0</v>
      </c>
      <c r="I26" s="33">
        <f t="shared" si="5"/>
        <v>0</v>
      </c>
      <c r="J26" s="5"/>
    </row>
    <row r="27" spans="1:10" s="1" customFormat="1" ht="14.25" customHeight="1" x14ac:dyDescent="0.2">
      <c r="A27" s="82">
        <f>'$ VOLS'!E129</f>
        <v>4.95</v>
      </c>
      <c r="B27" s="21">
        <f t="shared" si="6"/>
        <v>36966</v>
      </c>
      <c r="C27" s="172">
        <v>763.77419350000002</v>
      </c>
      <c r="D27" s="6">
        <f t="shared" si="0"/>
        <v>763.77419350000002</v>
      </c>
      <c r="E27" s="6">
        <f t="shared" si="1"/>
        <v>0</v>
      </c>
      <c r="F27" s="6">
        <f t="shared" si="2"/>
        <v>25.525806500000044</v>
      </c>
      <c r="G27" s="67">
        <f t="shared" si="3"/>
        <v>4.7320000000000002</v>
      </c>
      <c r="H27" s="40">
        <f t="shared" si="4"/>
        <v>0</v>
      </c>
      <c r="I27" s="33">
        <f t="shared" si="5"/>
        <v>0</v>
      </c>
      <c r="J27" s="5"/>
    </row>
    <row r="28" spans="1:10" s="1" customFormat="1" ht="14.25" customHeight="1" x14ac:dyDescent="0.2">
      <c r="A28" s="82">
        <f>'$ VOLS'!E130</f>
        <v>5.01</v>
      </c>
      <c r="B28" s="21">
        <f t="shared" si="6"/>
        <v>36967</v>
      </c>
      <c r="C28" s="172">
        <v>763.77419350000002</v>
      </c>
      <c r="D28" s="6">
        <f t="shared" si="0"/>
        <v>763.77419350000002</v>
      </c>
      <c r="E28" s="6">
        <f t="shared" si="1"/>
        <v>0</v>
      </c>
      <c r="F28" s="6">
        <f t="shared" si="2"/>
        <v>25.525806500000044</v>
      </c>
      <c r="G28" s="67">
        <f t="shared" si="3"/>
        <v>4.7919999999999998</v>
      </c>
      <c r="H28" s="40">
        <f t="shared" si="4"/>
        <v>0</v>
      </c>
      <c r="I28" s="33">
        <f t="shared" si="5"/>
        <v>0</v>
      </c>
      <c r="J28" s="5"/>
    </row>
    <row r="29" spans="1:10" s="1" customFormat="1" ht="14.25" customHeight="1" x14ac:dyDescent="0.2">
      <c r="A29" s="82">
        <f>'$ VOLS'!E131</f>
        <v>5.01</v>
      </c>
      <c r="B29" s="21">
        <f t="shared" si="6"/>
        <v>36968</v>
      </c>
      <c r="C29" s="172">
        <v>763.77419350000002</v>
      </c>
      <c r="D29" s="6">
        <f t="shared" si="0"/>
        <v>763.77419350000002</v>
      </c>
      <c r="E29" s="6">
        <f t="shared" si="1"/>
        <v>0</v>
      </c>
      <c r="F29" s="6">
        <f t="shared" si="2"/>
        <v>25.525806500000044</v>
      </c>
      <c r="G29" s="67">
        <f t="shared" si="3"/>
        <v>4.7919999999999998</v>
      </c>
      <c r="H29" s="40">
        <f t="shared" si="4"/>
        <v>0</v>
      </c>
      <c r="I29" s="33">
        <f t="shared" si="5"/>
        <v>0</v>
      </c>
      <c r="J29" s="5"/>
    </row>
    <row r="30" spans="1:10" s="1" customFormat="1" ht="14.25" customHeight="1" x14ac:dyDescent="0.2">
      <c r="A30" s="82">
        <f>'$ VOLS'!E132</f>
        <v>5.01</v>
      </c>
      <c r="B30" s="21">
        <f t="shared" si="6"/>
        <v>36969</v>
      </c>
      <c r="C30" s="172">
        <v>763.77419350000002</v>
      </c>
      <c r="D30" s="6">
        <f t="shared" si="0"/>
        <v>763.77419350000002</v>
      </c>
      <c r="E30" s="6">
        <f t="shared" si="1"/>
        <v>0</v>
      </c>
      <c r="F30" s="6">
        <f t="shared" si="2"/>
        <v>25.525806500000044</v>
      </c>
      <c r="G30" s="67">
        <f t="shared" si="3"/>
        <v>4.7919999999999998</v>
      </c>
      <c r="H30" s="40">
        <f t="shared" si="4"/>
        <v>0</v>
      </c>
      <c r="I30" s="33">
        <f t="shared" si="5"/>
        <v>0</v>
      </c>
      <c r="J30" s="5"/>
    </row>
    <row r="31" spans="1:10" s="1" customFormat="1" ht="14.25" customHeight="1" x14ac:dyDescent="0.2">
      <c r="A31" s="82">
        <f>'$ VOLS'!E133</f>
        <v>5.0599999999999996</v>
      </c>
      <c r="B31" s="21">
        <f t="shared" si="6"/>
        <v>36970</v>
      </c>
      <c r="C31" s="172">
        <v>763.77419350000002</v>
      </c>
      <c r="D31" s="6">
        <f t="shared" si="0"/>
        <v>763.77419350000002</v>
      </c>
      <c r="E31" s="6">
        <f t="shared" si="1"/>
        <v>0</v>
      </c>
      <c r="F31" s="6">
        <f t="shared" si="2"/>
        <v>25.525806500000044</v>
      </c>
      <c r="G31" s="67">
        <f t="shared" si="3"/>
        <v>4.8419999999999996</v>
      </c>
      <c r="H31" s="40">
        <f t="shared" si="4"/>
        <v>0</v>
      </c>
      <c r="I31" s="33">
        <f t="shared" si="5"/>
        <v>-0.3828870974999925</v>
      </c>
      <c r="J31" s="5"/>
    </row>
    <row r="32" spans="1:10" s="1" customFormat="1" ht="14.25" customHeight="1" x14ac:dyDescent="0.2">
      <c r="A32" s="82">
        <f>'$ VOLS'!E134</f>
        <v>5.0650000000000004</v>
      </c>
      <c r="B32" s="21">
        <f t="shared" si="6"/>
        <v>36971</v>
      </c>
      <c r="C32" s="172">
        <v>763.77419350000002</v>
      </c>
      <c r="D32" s="6">
        <f t="shared" si="0"/>
        <v>763.77419350000002</v>
      </c>
      <c r="E32" s="6">
        <f t="shared" si="1"/>
        <v>0</v>
      </c>
      <c r="F32" s="6">
        <f t="shared" si="2"/>
        <v>25.525806500000044</v>
      </c>
      <c r="G32" s="67">
        <f t="shared" si="3"/>
        <v>4.8470000000000004</v>
      </c>
      <c r="H32" s="40">
        <f t="shared" si="4"/>
        <v>0</v>
      </c>
      <c r="I32" s="33">
        <f t="shared" si="5"/>
        <v>-0.51051613000001272</v>
      </c>
      <c r="J32" s="5"/>
    </row>
    <row r="33" spans="1:10" s="1" customFormat="1" ht="14.25" customHeight="1" x14ac:dyDescent="0.2">
      <c r="A33" s="82">
        <f>'$ VOLS'!E135</f>
        <v>5.1349999999999998</v>
      </c>
      <c r="B33" s="21">
        <f t="shared" si="6"/>
        <v>36972</v>
      </c>
      <c r="C33" s="172">
        <v>763.77419350000002</v>
      </c>
      <c r="D33" s="6">
        <f t="shared" si="0"/>
        <v>763.77419350000002</v>
      </c>
      <c r="E33" s="6">
        <f t="shared" si="1"/>
        <v>0</v>
      </c>
      <c r="F33" s="6">
        <f t="shared" si="2"/>
        <v>25.525806500000044</v>
      </c>
      <c r="G33" s="67">
        <f t="shared" si="3"/>
        <v>4.9169999999999998</v>
      </c>
      <c r="H33" s="40">
        <f t="shared" si="4"/>
        <v>0</v>
      </c>
      <c r="I33" s="33">
        <f t="shared" si="5"/>
        <v>-2.2973225850000003</v>
      </c>
      <c r="J33" s="5"/>
    </row>
    <row r="34" spans="1:10" s="1" customFormat="1" ht="14.25" customHeight="1" x14ac:dyDescent="0.2">
      <c r="A34" s="82">
        <f>'$ VOLS'!E136</f>
        <v>4.9950000000000001</v>
      </c>
      <c r="B34" s="21">
        <f t="shared" si="6"/>
        <v>36973</v>
      </c>
      <c r="C34" s="172">
        <v>763.77419350000002</v>
      </c>
      <c r="D34" s="6">
        <f t="shared" si="0"/>
        <v>763.77419350000002</v>
      </c>
      <c r="E34" s="6">
        <f t="shared" si="1"/>
        <v>0</v>
      </c>
      <c r="F34" s="6">
        <f t="shared" si="2"/>
        <v>25.525806500000044</v>
      </c>
      <c r="G34" s="67">
        <f t="shared" si="3"/>
        <v>4.7770000000000001</v>
      </c>
      <c r="H34" s="40">
        <f t="shared" si="4"/>
        <v>0</v>
      </c>
      <c r="I34" s="33">
        <f t="shared" si="5"/>
        <v>0</v>
      </c>
      <c r="J34" s="5"/>
    </row>
    <row r="35" spans="1:10" s="1" customFormat="1" ht="14.25" customHeight="1" x14ac:dyDescent="0.2">
      <c r="A35" s="82">
        <f>'$ VOLS'!E137</f>
        <v>5.2249999999999996</v>
      </c>
      <c r="B35" s="21">
        <f t="shared" si="6"/>
        <v>36974</v>
      </c>
      <c r="C35" s="172">
        <v>763.77419350000002</v>
      </c>
      <c r="D35" s="6">
        <f t="shared" si="0"/>
        <v>763.77419350000002</v>
      </c>
      <c r="E35" s="6">
        <f t="shared" si="1"/>
        <v>0</v>
      </c>
      <c r="F35" s="6">
        <f t="shared" si="2"/>
        <v>25.525806500000044</v>
      </c>
      <c r="G35" s="67">
        <f t="shared" si="3"/>
        <v>5.0069999999999997</v>
      </c>
      <c r="H35" s="40">
        <f t="shared" si="4"/>
        <v>0</v>
      </c>
      <c r="I35" s="33">
        <f t="shared" si="5"/>
        <v>-4.5946451700000006</v>
      </c>
      <c r="J35" s="5"/>
    </row>
    <row r="36" spans="1:10" s="1" customFormat="1" ht="14.25" customHeight="1" x14ac:dyDescent="0.2">
      <c r="A36" s="82">
        <f>'$ VOLS'!E138</f>
        <v>5.2249999999999996</v>
      </c>
      <c r="B36" s="21">
        <f t="shared" si="6"/>
        <v>36975</v>
      </c>
      <c r="C36" s="172">
        <v>763.77419350000002</v>
      </c>
      <c r="D36" s="6">
        <f t="shared" si="0"/>
        <v>763.77419350000002</v>
      </c>
      <c r="E36" s="6">
        <f t="shared" si="1"/>
        <v>0</v>
      </c>
      <c r="F36" s="6">
        <f t="shared" si="2"/>
        <v>25.525806500000044</v>
      </c>
      <c r="G36" s="67">
        <f t="shared" si="3"/>
        <v>5.0069999999999997</v>
      </c>
      <c r="H36" s="40">
        <f t="shared" si="4"/>
        <v>0</v>
      </c>
      <c r="I36" s="33">
        <f t="shared" si="5"/>
        <v>-4.5946451700000006</v>
      </c>
      <c r="J36" s="5"/>
    </row>
    <row r="37" spans="1:10" s="1" customFormat="1" ht="14.25" customHeight="1" x14ac:dyDescent="0.2">
      <c r="A37" s="82">
        <f>'$ VOLS'!E139</f>
        <v>5.2249999999999996</v>
      </c>
      <c r="B37" s="21">
        <f t="shared" si="6"/>
        <v>36976</v>
      </c>
      <c r="C37" s="172">
        <v>763.77419350000002</v>
      </c>
      <c r="D37" s="6">
        <f t="shared" si="0"/>
        <v>763.77419350000002</v>
      </c>
      <c r="E37" s="6">
        <f t="shared" si="1"/>
        <v>0</v>
      </c>
      <c r="F37" s="6">
        <f t="shared" si="2"/>
        <v>25.525806500000044</v>
      </c>
      <c r="G37" s="67">
        <f t="shared" si="3"/>
        <v>5.0069999999999997</v>
      </c>
      <c r="H37" s="40">
        <f t="shared" si="4"/>
        <v>0</v>
      </c>
      <c r="I37" s="33">
        <f t="shared" si="5"/>
        <v>-4.5946451700000006</v>
      </c>
      <c r="J37" s="5"/>
    </row>
    <row r="38" spans="1:10" s="1" customFormat="1" ht="14.25" customHeight="1" x14ac:dyDescent="0.2">
      <c r="A38" s="82">
        <f>'$ VOLS'!E140</f>
        <v>5.2350000000000003</v>
      </c>
      <c r="B38" s="21">
        <f t="shared" si="6"/>
        <v>36977</v>
      </c>
      <c r="C38" s="172">
        <v>763.77419350000002</v>
      </c>
      <c r="D38" s="6">
        <f t="shared" si="0"/>
        <v>763.77419350000002</v>
      </c>
      <c r="E38" s="6">
        <f t="shared" si="1"/>
        <v>0</v>
      </c>
      <c r="F38" s="6">
        <f t="shared" si="2"/>
        <v>25.525806500000044</v>
      </c>
      <c r="G38" s="67">
        <f t="shared" si="3"/>
        <v>5.0170000000000003</v>
      </c>
      <c r="H38" s="40">
        <f t="shared" si="4"/>
        <v>0</v>
      </c>
      <c r="I38" s="33">
        <f t="shared" si="5"/>
        <v>-4.849903235000018</v>
      </c>
      <c r="J38" s="5"/>
    </row>
    <row r="39" spans="1:10" s="1" customFormat="1" ht="14.25" customHeight="1" x14ac:dyDescent="0.2">
      <c r="A39" s="82">
        <f>'$ VOLS'!E141</f>
        <v>5.4249999999999998</v>
      </c>
      <c r="B39" s="21">
        <f t="shared" si="6"/>
        <v>36978</v>
      </c>
      <c r="C39" s="172">
        <v>763.77419350000002</v>
      </c>
      <c r="D39" s="6">
        <f t="shared" si="0"/>
        <v>763.77419350000002</v>
      </c>
      <c r="E39" s="6">
        <f t="shared" si="1"/>
        <v>0</v>
      </c>
      <c r="F39" s="6">
        <f t="shared" si="2"/>
        <v>25.525806500000044</v>
      </c>
      <c r="G39" s="67">
        <f t="shared" si="3"/>
        <v>5.2069999999999999</v>
      </c>
      <c r="H39" s="40">
        <f t="shared" si="4"/>
        <v>0</v>
      </c>
      <c r="I39" s="33">
        <f t="shared" si="5"/>
        <v>-9.6998064700000146</v>
      </c>
      <c r="J39" s="5"/>
    </row>
    <row r="40" spans="1:10" s="1" customFormat="1" ht="14.25" customHeight="1" x14ac:dyDescent="0.2">
      <c r="A40" s="82">
        <f>'$ VOLS'!E142</f>
        <v>5.65</v>
      </c>
      <c r="B40" s="21">
        <f t="shared" si="6"/>
        <v>36979</v>
      </c>
      <c r="C40" s="172">
        <v>763.77419350000002</v>
      </c>
      <c r="D40" s="6">
        <f t="shared" si="0"/>
        <v>763.77419350000002</v>
      </c>
      <c r="E40" s="6">
        <f t="shared" si="1"/>
        <v>0</v>
      </c>
      <c r="F40" s="6">
        <f t="shared" si="2"/>
        <v>25.525806500000044</v>
      </c>
      <c r="G40" s="67">
        <f t="shared" si="3"/>
        <v>5.4320000000000004</v>
      </c>
      <c r="H40" s="40">
        <f t="shared" si="4"/>
        <v>0</v>
      </c>
      <c r="I40" s="33">
        <f t="shared" si="5"/>
        <v>-15.443112932500037</v>
      </c>
      <c r="J40" s="5"/>
    </row>
    <row r="41" spans="1:10" s="1" customFormat="1" ht="14.25" customHeight="1" x14ac:dyDescent="0.2">
      <c r="A41" s="82">
        <f>'$ VOLS'!E143</f>
        <v>5.3449999999999998</v>
      </c>
      <c r="B41" s="21">
        <f>+B40+1</f>
        <v>36980</v>
      </c>
      <c r="C41" s="172">
        <v>763.77419350000002</v>
      </c>
      <c r="D41" s="6">
        <f t="shared" si="0"/>
        <v>763.77419350000002</v>
      </c>
      <c r="E41" s="6">
        <f t="shared" si="1"/>
        <v>0</v>
      </c>
      <c r="F41" s="6">
        <f t="shared" si="2"/>
        <v>25.525806500000044</v>
      </c>
      <c r="G41" s="67">
        <f t="shared" si="3"/>
        <v>5.1269999999999998</v>
      </c>
      <c r="H41" s="40">
        <f t="shared" si="4"/>
        <v>0</v>
      </c>
      <c r="I41" s="33">
        <f t="shared" si="5"/>
        <v>-7.657741950000009</v>
      </c>
      <c r="J41" s="5"/>
    </row>
    <row r="42" spans="1:10" s="1" customFormat="1" ht="14.25" customHeight="1" x14ac:dyDescent="0.2">
      <c r="A42" s="82">
        <f>'$ VOLS'!E144</f>
        <v>5.3</v>
      </c>
      <c r="B42" s="21">
        <f>+B41+1</f>
        <v>36981</v>
      </c>
      <c r="C42" s="172">
        <v>763.77419350000002</v>
      </c>
      <c r="D42" s="6">
        <f t="shared" si="0"/>
        <v>763.77419350000002</v>
      </c>
      <c r="E42" s="6">
        <f t="shared" si="1"/>
        <v>0</v>
      </c>
      <c r="F42" s="6">
        <f t="shared" si="2"/>
        <v>25.525806500000044</v>
      </c>
      <c r="G42" s="67">
        <f t="shared" si="3"/>
        <v>5.0819999999999999</v>
      </c>
      <c r="H42" s="40">
        <f t="shared" si="4"/>
        <v>0</v>
      </c>
      <c r="I42" s="33">
        <f t="shared" si="5"/>
        <v>-6.5090806575000082</v>
      </c>
      <c r="J42" s="5"/>
    </row>
    <row r="43" spans="1:10" s="1" customFormat="1" ht="14.25" x14ac:dyDescent="0.2">
      <c r="A43" s="85">
        <f>AVERAGE(A12:A42)</f>
        <v>5.1803225806451634</v>
      </c>
      <c r="B43" s="21" t="s">
        <v>104</v>
      </c>
      <c r="C43" s="175">
        <f>SUM(C12:C42)</f>
        <v>23676.999998500007</v>
      </c>
      <c r="D43" s="30">
        <f>SUM(D12:D42)</f>
        <v>23676.999998500007</v>
      </c>
      <c r="E43" s="30">
        <f>SUM(E12:E42)</f>
        <v>0</v>
      </c>
      <c r="F43" s="30">
        <f>SUM(F12:F42)</f>
        <v>791.30000150000137</v>
      </c>
      <c r="G43" s="98">
        <f>AVERAGE(G12:G42)</f>
        <v>4.9623225806451616</v>
      </c>
      <c r="H43" s="97">
        <f>SUM(H12:H42)</f>
        <v>0</v>
      </c>
      <c r="I43" s="79">
        <f>SUM(I12:I42)</f>
        <v>-116.14241957500026</v>
      </c>
      <c r="J43" s="5"/>
    </row>
    <row r="44" spans="1:10" s="1" customFormat="1" ht="12.75" x14ac:dyDescent="0.2">
      <c r="A44" s="83"/>
      <c r="B44" s="2"/>
      <c r="C44" s="171">
        <f>D43+E43</f>
        <v>23676.999998500007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">
      <c r="A46" s="83"/>
      <c r="C46" s="171"/>
      <c r="I46" s="31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23676.999998500007</v>
      </c>
      <c r="F47" s="24">
        <f>'$ VOLS'!E11</f>
        <v>4.827</v>
      </c>
      <c r="G47" s="17">
        <f>+F47*D43</f>
        <v>114288.87899275954</v>
      </c>
      <c r="I47" s="45" t="s">
        <v>74</v>
      </c>
      <c r="J47" s="46">
        <f>+'$ VOLS'!C82</f>
        <v>0.13800000000000001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23</v>
      </c>
      <c r="J48" s="47">
        <f>+'$ VOLS'!C83</f>
        <v>0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-116.14241957500026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23676.999998500007</v>
      </c>
      <c r="F50" s="41">
        <f>+G50/E50</f>
        <v>4.8220947155643721</v>
      </c>
      <c r="G50" s="26">
        <f>SUM(G47:G49)</f>
        <v>114172.73657318453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B22" workbookViewId="0">
      <selection activeCell="D49" sqref="D49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24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A4" s="84"/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VOLS'!G10</f>
        <v>328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360.8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295.2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</v>
      </c>
    </row>
    <row r="12" spans="1:10" s="5" customFormat="1" ht="14.25" customHeight="1" x14ac:dyDescent="0.2">
      <c r="A12" s="82">
        <f>'$ VOLS'!C114</f>
        <v>5.18</v>
      </c>
      <c r="B12" s="21">
        <v>36951</v>
      </c>
      <c r="C12" s="172">
        <v>1595</v>
      </c>
      <c r="D12" s="6">
        <f t="shared" ref="D12:D42" si="0">IF(C12&gt;$D$7,$D$7,C12)</f>
        <v>360.8</v>
      </c>
      <c r="E12" s="6">
        <f t="shared" ref="E12:E42" si="1">IF(C12&gt;$D$7,C12-D12,0)</f>
        <v>1234.2</v>
      </c>
      <c r="F12" s="6">
        <f t="shared" ref="F12:F42" si="2">IF(C12&lt;$D$8,$D$8-C12,0)</f>
        <v>0</v>
      </c>
      <c r="G12" s="67">
        <f t="shared" ref="G12:G42" si="3">ROUND(A12-$I$47-(A12-$I$47)*$I$48,4)</f>
        <v>5.0800999999999998</v>
      </c>
      <c r="H12" s="40">
        <f t="shared" ref="H12:H42" si="4">+G12*E12</f>
        <v>6269.8594199999998</v>
      </c>
      <c r="I12" s="33">
        <f t="shared" ref="I12:I42" si="5">IF(G12&gt;$F$47,($F$47-G12)*F12,0)</f>
        <v>0</v>
      </c>
      <c r="J12" s="80">
        <f>C12*$J$11</f>
        <v>1658.8</v>
      </c>
    </row>
    <row r="13" spans="1:10" s="5" customFormat="1" ht="14.25" customHeight="1" x14ac:dyDescent="0.2">
      <c r="A13" s="82">
        <f>'$ VOLS'!C115</f>
        <v>5.1050000000000004</v>
      </c>
      <c r="B13" s="21">
        <f t="shared" ref="B13:B40" si="6">+B12+1</f>
        <v>36952</v>
      </c>
      <c r="C13" s="172">
        <v>1579</v>
      </c>
      <c r="D13" s="6">
        <f t="shared" si="0"/>
        <v>360.8</v>
      </c>
      <c r="E13" s="6">
        <f t="shared" si="1"/>
        <v>1218.2</v>
      </c>
      <c r="F13" s="6">
        <f t="shared" si="2"/>
        <v>0</v>
      </c>
      <c r="G13" s="67">
        <f t="shared" si="3"/>
        <v>5.0054999999999996</v>
      </c>
      <c r="H13" s="40">
        <f t="shared" si="4"/>
        <v>6097.7001</v>
      </c>
      <c r="I13" s="33">
        <f t="shared" si="5"/>
        <v>0</v>
      </c>
      <c r="J13" s="80">
        <f t="shared" ref="J13:J42" si="7">C13*$J$11</f>
        <v>1642.16</v>
      </c>
    </row>
    <row r="14" spans="1:10" s="5" customFormat="1" ht="14.25" customHeight="1" x14ac:dyDescent="0.2">
      <c r="A14" s="82">
        <f>'$ VOLS'!C116</f>
        <v>5.13</v>
      </c>
      <c r="B14" s="21">
        <f t="shared" si="6"/>
        <v>36953</v>
      </c>
      <c r="C14" s="172">
        <v>1571</v>
      </c>
      <c r="D14" s="6">
        <f t="shared" si="0"/>
        <v>360.8</v>
      </c>
      <c r="E14" s="6">
        <f t="shared" si="1"/>
        <v>1210.2</v>
      </c>
      <c r="F14" s="6">
        <f t="shared" si="2"/>
        <v>0</v>
      </c>
      <c r="G14" s="67">
        <f t="shared" si="3"/>
        <v>5.0304000000000002</v>
      </c>
      <c r="H14" s="40">
        <f t="shared" si="4"/>
        <v>6087.7900800000007</v>
      </c>
      <c r="I14" s="33">
        <f t="shared" si="5"/>
        <v>0</v>
      </c>
      <c r="J14" s="80">
        <f t="shared" si="7"/>
        <v>1633.8400000000001</v>
      </c>
    </row>
    <row r="15" spans="1:10" s="5" customFormat="1" ht="14.25" customHeight="1" x14ac:dyDescent="0.2">
      <c r="A15" s="82">
        <f>'$ VOLS'!C117</f>
        <v>5.13</v>
      </c>
      <c r="B15" s="21">
        <f t="shared" si="6"/>
        <v>36954</v>
      </c>
      <c r="C15" s="172">
        <v>1534</v>
      </c>
      <c r="D15" s="6">
        <f t="shared" si="0"/>
        <v>360.8</v>
      </c>
      <c r="E15" s="6">
        <f t="shared" si="1"/>
        <v>1173.2</v>
      </c>
      <c r="F15" s="6">
        <f t="shared" si="2"/>
        <v>0</v>
      </c>
      <c r="G15" s="67">
        <f t="shared" si="3"/>
        <v>5.0304000000000002</v>
      </c>
      <c r="H15" s="40">
        <f t="shared" si="4"/>
        <v>5901.6652800000002</v>
      </c>
      <c r="I15" s="33">
        <f t="shared" si="5"/>
        <v>0</v>
      </c>
      <c r="J15" s="80">
        <f t="shared" si="7"/>
        <v>1595.3600000000001</v>
      </c>
    </row>
    <row r="16" spans="1:10" s="5" customFormat="1" ht="14.25" customHeight="1" x14ac:dyDescent="0.2">
      <c r="A16" s="82">
        <f>'$ VOLS'!C118</f>
        <v>5.13</v>
      </c>
      <c r="B16" s="21">
        <f t="shared" si="6"/>
        <v>36955</v>
      </c>
      <c r="C16" s="172">
        <v>1527</v>
      </c>
      <c r="D16" s="6">
        <f t="shared" si="0"/>
        <v>360.8</v>
      </c>
      <c r="E16" s="6">
        <f t="shared" si="1"/>
        <v>1166.2</v>
      </c>
      <c r="F16" s="6">
        <f t="shared" si="2"/>
        <v>0</v>
      </c>
      <c r="G16" s="67">
        <f t="shared" si="3"/>
        <v>5.0304000000000002</v>
      </c>
      <c r="H16" s="40">
        <f t="shared" si="4"/>
        <v>5866.4524800000008</v>
      </c>
      <c r="I16" s="33">
        <v>0</v>
      </c>
      <c r="J16" s="80">
        <f t="shared" si="7"/>
        <v>1588.0800000000002</v>
      </c>
    </row>
    <row r="17" spans="1:10" s="5" customFormat="1" ht="14.25" customHeight="1" x14ac:dyDescent="0.2">
      <c r="A17" s="82">
        <f>'$ VOLS'!C119</f>
        <v>5.3150000000000004</v>
      </c>
      <c r="B17" s="21">
        <f t="shared" si="6"/>
        <v>36956</v>
      </c>
      <c r="C17" s="172">
        <v>1542</v>
      </c>
      <c r="D17" s="6">
        <f t="shared" si="0"/>
        <v>360.8</v>
      </c>
      <c r="E17" s="6">
        <f t="shared" si="1"/>
        <v>1181.2</v>
      </c>
      <c r="F17" s="6">
        <f t="shared" si="2"/>
        <v>0</v>
      </c>
      <c r="G17" s="67">
        <f t="shared" si="3"/>
        <v>5.2145000000000001</v>
      </c>
      <c r="H17" s="40">
        <f t="shared" si="4"/>
        <v>6159.3674000000001</v>
      </c>
      <c r="I17" s="33">
        <f t="shared" si="5"/>
        <v>0</v>
      </c>
      <c r="J17" s="80">
        <f t="shared" si="7"/>
        <v>1603.68</v>
      </c>
    </row>
    <row r="18" spans="1:10" s="5" customFormat="1" ht="14.25" customHeight="1" x14ac:dyDescent="0.2">
      <c r="A18" s="82">
        <f>'$ VOLS'!C120</f>
        <v>5.3150000000000004</v>
      </c>
      <c r="B18" s="21">
        <f t="shared" si="6"/>
        <v>36957</v>
      </c>
      <c r="C18" s="172">
        <v>1551</v>
      </c>
      <c r="D18" s="6">
        <f t="shared" si="0"/>
        <v>360.8</v>
      </c>
      <c r="E18" s="6">
        <f t="shared" si="1"/>
        <v>1190.2</v>
      </c>
      <c r="F18" s="6">
        <f t="shared" si="2"/>
        <v>0</v>
      </c>
      <c r="G18" s="67">
        <f t="shared" si="3"/>
        <v>5.2145000000000001</v>
      </c>
      <c r="H18" s="40">
        <f t="shared" si="4"/>
        <v>6206.2979000000005</v>
      </c>
      <c r="I18" s="33">
        <f t="shared" si="5"/>
        <v>0</v>
      </c>
      <c r="J18" s="80">
        <f t="shared" si="7"/>
        <v>1613.04</v>
      </c>
    </row>
    <row r="19" spans="1:10" s="5" customFormat="1" ht="14.25" customHeight="1" x14ac:dyDescent="0.2">
      <c r="A19" s="82">
        <f>'$ VOLS'!C121</f>
        <v>5.28</v>
      </c>
      <c r="B19" s="21">
        <f t="shared" si="6"/>
        <v>36958</v>
      </c>
      <c r="C19" s="172">
        <v>1916</v>
      </c>
      <c r="D19" s="6">
        <f t="shared" si="0"/>
        <v>360.8</v>
      </c>
      <c r="E19" s="6">
        <f t="shared" si="1"/>
        <v>1555.2</v>
      </c>
      <c r="F19" s="6">
        <f t="shared" si="2"/>
        <v>0</v>
      </c>
      <c r="G19" s="67">
        <f t="shared" si="3"/>
        <v>5.1797000000000004</v>
      </c>
      <c r="H19" s="40">
        <f t="shared" si="4"/>
        <v>8055.4694400000008</v>
      </c>
      <c r="I19" s="33">
        <f t="shared" si="5"/>
        <v>0</v>
      </c>
      <c r="J19" s="80">
        <f t="shared" si="7"/>
        <v>1992.64</v>
      </c>
    </row>
    <row r="20" spans="1:10" s="5" customFormat="1" ht="14.25" customHeight="1" x14ac:dyDescent="0.2">
      <c r="A20" s="82">
        <f>'$ VOLS'!C122</f>
        <v>5.3</v>
      </c>
      <c r="B20" s="21">
        <f t="shared" si="6"/>
        <v>36959</v>
      </c>
      <c r="C20" s="172">
        <v>1947</v>
      </c>
      <c r="D20" s="6">
        <f t="shared" si="0"/>
        <v>360.8</v>
      </c>
      <c r="E20" s="6">
        <f t="shared" si="1"/>
        <v>1586.2</v>
      </c>
      <c r="F20" s="6">
        <f t="shared" si="2"/>
        <v>0</v>
      </c>
      <c r="G20" s="67">
        <f t="shared" si="3"/>
        <v>5.1996000000000002</v>
      </c>
      <c r="H20" s="40">
        <f t="shared" si="4"/>
        <v>8247.605520000001</v>
      </c>
      <c r="I20" s="33">
        <f t="shared" si="5"/>
        <v>0</v>
      </c>
      <c r="J20" s="80">
        <f t="shared" si="7"/>
        <v>2024.88</v>
      </c>
    </row>
    <row r="21" spans="1:10" s="5" customFormat="1" ht="14.25" customHeight="1" x14ac:dyDescent="0.2">
      <c r="A21" s="82">
        <f>'$ VOLS'!C123</f>
        <v>5.19</v>
      </c>
      <c r="B21" s="21">
        <f t="shared" si="6"/>
        <v>36960</v>
      </c>
      <c r="C21" s="172">
        <v>1943</v>
      </c>
      <c r="D21" s="6">
        <f t="shared" si="0"/>
        <v>360.8</v>
      </c>
      <c r="E21" s="6">
        <f t="shared" si="1"/>
        <v>1582.2</v>
      </c>
      <c r="F21" s="6">
        <f t="shared" si="2"/>
        <v>0</v>
      </c>
      <c r="G21" s="67">
        <f t="shared" si="3"/>
        <v>5.0900999999999996</v>
      </c>
      <c r="H21" s="40">
        <f t="shared" si="4"/>
        <v>8053.5562199999995</v>
      </c>
      <c r="I21" s="33">
        <f t="shared" si="5"/>
        <v>0</v>
      </c>
      <c r="J21" s="80">
        <f t="shared" si="7"/>
        <v>2020.72</v>
      </c>
    </row>
    <row r="22" spans="1:10" s="1" customFormat="1" ht="14.25" customHeight="1" x14ac:dyDescent="0.2">
      <c r="A22" s="82">
        <f>'$ VOLS'!C124</f>
        <v>5.19</v>
      </c>
      <c r="B22" s="21">
        <f t="shared" si="6"/>
        <v>36961</v>
      </c>
      <c r="C22" s="172">
        <v>1935</v>
      </c>
      <c r="D22" s="6">
        <f t="shared" si="0"/>
        <v>360.8</v>
      </c>
      <c r="E22" s="6">
        <f t="shared" si="1"/>
        <v>1574.2</v>
      </c>
      <c r="F22" s="6">
        <f t="shared" si="2"/>
        <v>0</v>
      </c>
      <c r="G22" s="67">
        <f t="shared" si="3"/>
        <v>5.0900999999999996</v>
      </c>
      <c r="H22" s="40">
        <f t="shared" si="4"/>
        <v>8012.8354199999994</v>
      </c>
      <c r="I22" s="33">
        <f t="shared" si="5"/>
        <v>0</v>
      </c>
      <c r="J22" s="80">
        <f t="shared" si="7"/>
        <v>2012.4</v>
      </c>
    </row>
    <row r="23" spans="1:10" s="1" customFormat="1" ht="14.25" customHeight="1" x14ac:dyDescent="0.2">
      <c r="A23" s="82">
        <f>'$ VOLS'!C125</f>
        <v>5.19</v>
      </c>
      <c r="B23" s="21">
        <f t="shared" si="6"/>
        <v>36962</v>
      </c>
      <c r="C23" s="172">
        <v>1423</v>
      </c>
      <c r="D23" s="6">
        <f t="shared" si="0"/>
        <v>360.8</v>
      </c>
      <c r="E23" s="6">
        <f t="shared" si="1"/>
        <v>1062.2</v>
      </c>
      <c r="F23" s="6">
        <f t="shared" si="2"/>
        <v>0</v>
      </c>
      <c r="G23" s="67">
        <f t="shared" si="3"/>
        <v>5.0900999999999996</v>
      </c>
      <c r="H23" s="40">
        <f t="shared" si="4"/>
        <v>5406.7042199999996</v>
      </c>
      <c r="I23" s="33">
        <f t="shared" si="5"/>
        <v>0</v>
      </c>
      <c r="J23" s="80">
        <f t="shared" si="7"/>
        <v>1479.92</v>
      </c>
    </row>
    <row r="24" spans="1:10" s="5" customFormat="1" ht="14.25" customHeight="1" x14ac:dyDescent="0.2">
      <c r="A24" s="82">
        <f>'$ VOLS'!C126</f>
        <v>5.0199999999999996</v>
      </c>
      <c r="B24" s="21">
        <f t="shared" si="6"/>
        <v>36963</v>
      </c>
      <c r="C24" s="172">
        <v>1786</v>
      </c>
      <c r="D24" s="6">
        <f t="shared" si="0"/>
        <v>360.8</v>
      </c>
      <c r="E24" s="6">
        <f t="shared" si="1"/>
        <v>1425.2</v>
      </c>
      <c r="F24" s="6">
        <f t="shared" si="2"/>
        <v>0</v>
      </c>
      <c r="G24" s="67">
        <f t="shared" si="3"/>
        <v>4.9208999999999996</v>
      </c>
      <c r="H24" s="40">
        <f t="shared" si="4"/>
        <v>7013.2666799999997</v>
      </c>
      <c r="I24" s="33">
        <f t="shared" si="5"/>
        <v>0</v>
      </c>
      <c r="J24" s="80">
        <f t="shared" si="7"/>
        <v>1857.44</v>
      </c>
    </row>
    <row r="25" spans="1:10" s="1" customFormat="1" ht="14.25" customHeight="1" x14ac:dyDescent="0.2">
      <c r="A25" s="82">
        <f>'$ VOLS'!C127</f>
        <v>5.125</v>
      </c>
      <c r="B25" s="21">
        <f t="shared" si="6"/>
        <v>36964</v>
      </c>
      <c r="C25" s="172">
        <v>1757</v>
      </c>
      <c r="D25" s="6">
        <f t="shared" si="0"/>
        <v>360.8</v>
      </c>
      <c r="E25" s="6">
        <f t="shared" si="1"/>
        <v>1396.2</v>
      </c>
      <c r="F25" s="6">
        <f t="shared" si="2"/>
        <v>0</v>
      </c>
      <c r="G25" s="67">
        <f t="shared" si="3"/>
        <v>5.0254000000000003</v>
      </c>
      <c r="H25" s="40">
        <f t="shared" si="4"/>
        <v>7016.4634800000003</v>
      </c>
      <c r="I25" s="33">
        <f t="shared" si="5"/>
        <v>0</v>
      </c>
      <c r="J25" s="80">
        <f t="shared" si="7"/>
        <v>1827.28</v>
      </c>
    </row>
    <row r="26" spans="1:10" s="1" customFormat="1" ht="14.25" customHeight="1" x14ac:dyDescent="0.2">
      <c r="A26" s="82">
        <f>'$ VOLS'!C128</f>
        <v>5.0250000000000004</v>
      </c>
      <c r="B26" s="21">
        <f t="shared" si="6"/>
        <v>36965</v>
      </c>
      <c r="C26" s="172">
        <v>1744</v>
      </c>
      <c r="D26" s="6">
        <f t="shared" si="0"/>
        <v>360.8</v>
      </c>
      <c r="E26" s="6">
        <f t="shared" si="1"/>
        <v>1383.2</v>
      </c>
      <c r="F26" s="6">
        <f t="shared" si="2"/>
        <v>0</v>
      </c>
      <c r="G26" s="67">
        <f t="shared" si="3"/>
        <v>4.9257999999999997</v>
      </c>
      <c r="H26" s="40">
        <f t="shared" si="4"/>
        <v>6813.3665599999995</v>
      </c>
      <c r="I26" s="33">
        <f t="shared" si="5"/>
        <v>0</v>
      </c>
      <c r="J26" s="80">
        <f t="shared" si="7"/>
        <v>1813.76</v>
      </c>
    </row>
    <row r="27" spans="1:10" s="1" customFormat="1" ht="14.25" customHeight="1" x14ac:dyDescent="0.2">
      <c r="A27" s="82">
        <f>'$ VOLS'!C129</f>
        <v>4.9400000000000004</v>
      </c>
      <c r="B27" s="21">
        <f t="shared" si="6"/>
        <v>36966</v>
      </c>
      <c r="C27" s="172">
        <v>1754</v>
      </c>
      <c r="D27" s="6">
        <f t="shared" si="0"/>
        <v>360.8</v>
      </c>
      <c r="E27" s="6">
        <f t="shared" si="1"/>
        <v>1393.2</v>
      </c>
      <c r="F27" s="6">
        <f t="shared" si="2"/>
        <v>0</v>
      </c>
      <c r="G27" s="67">
        <f t="shared" si="3"/>
        <v>4.8411999999999997</v>
      </c>
      <c r="H27" s="40">
        <f t="shared" si="4"/>
        <v>6744.7598399999997</v>
      </c>
      <c r="I27" s="33">
        <f t="shared" si="5"/>
        <v>0</v>
      </c>
      <c r="J27" s="80">
        <f t="shared" si="7"/>
        <v>1824.16</v>
      </c>
    </row>
    <row r="28" spans="1:10" s="1" customFormat="1" ht="14.25" customHeight="1" x14ac:dyDescent="0.2">
      <c r="A28" s="82">
        <f>'$ VOLS'!C130</f>
        <v>4.9749999999999996</v>
      </c>
      <c r="B28" s="21">
        <f t="shared" si="6"/>
        <v>36967</v>
      </c>
      <c r="C28" s="172">
        <v>1743</v>
      </c>
      <c r="D28" s="6">
        <f t="shared" si="0"/>
        <v>360.8</v>
      </c>
      <c r="E28" s="6">
        <f t="shared" si="1"/>
        <v>1382.2</v>
      </c>
      <c r="F28" s="6">
        <f t="shared" si="2"/>
        <v>0</v>
      </c>
      <c r="G28" s="67">
        <f t="shared" si="3"/>
        <v>4.8761000000000001</v>
      </c>
      <c r="H28" s="40">
        <f t="shared" si="4"/>
        <v>6739.7454200000002</v>
      </c>
      <c r="I28" s="33">
        <f t="shared" si="5"/>
        <v>0</v>
      </c>
      <c r="J28" s="80">
        <f t="shared" si="7"/>
        <v>1812.72</v>
      </c>
    </row>
    <row r="29" spans="1:10" s="1" customFormat="1" ht="14.25" customHeight="1" x14ac:dyDescent="0.2">
      <c r="A29" s="82">
        <f>'$ VOLS'!C131</f>
        <v>4.9749999999999996</v>
      </c>
      <c r="B29" s="21">
        <f t="shared" si="6"/>
        <v>36968</v>
      </c>
      <c r="C29" s="172">
        <v>1703</v>
      </c>
      <c r="D29" s="6">
        <f t="shared" si="0"/>
        <v>360.8</v>
      </c>
      <c r="E29" s="6">
        <f t="shared" si="1"/>
        <v>1342.2</v>
      </c>
      <c r="F29" s="6">
        <f t="shared" si="2"/>
        <v>0</v>
      </c>
      <c r="G29" s="67">
        <f t="shared" si="3"/>
        <v>4.8761000000000001</v>
      </c>
      <c r="H29" s="40">
        <f t="shared" si="4"/>
        <v>6544.7014200000003</v>
      </c>
      <c r="I29" s="33">
        <f t="shared" si="5"/>
        <v>0</v>
      </c>
      <c r="J29" s="80">
        <f t="shared" si="7"/>
        <v>1771.1200000000001</v>
      </c>
    </row>
    <row r="30" spans="1:10" s="1" customFormat="1" ht="14.25" customHeight="1" x14ac:dyDescent="0.2">
      <c r="A30" s="82">
        <f>'$ VOLS'!C132</f>
        <v>4.9749999999999996</v>
      </c>
      <c r="B30" s="21">
        <f t="shared" si="6"/>
        <v>36969</v>
      </c>
      <c r="C30" s="172">
        <v>1700</v>
      </c>
      <c r="D30" s="6">
        <f t="shared" si="0"/>
        <v>360.8</v>
      </c>
      <c r="E30" s="6">
        <f t="shared" si="1"/>
        <v>1339.2</v>
      </c>
      <c r="F30" s="6">
        <f t="shared" si="2"/>
        <v>0</v>
      </c>
      <c r="G30" s="67">
        <f t="shared" si="3"/>
        <v>4.8761000000000001</v>
      </c>
      <c r="H30" s="40">
        <f t="shared" si="4"/>
        <v>6530.07312</v>
      </c>
      <c r="I30" s="33">
        <f t="shared" si="5"/>
        <v>0</v>
      </c>
      <c r="J30" s="80">
        <f t="shared" si="7"/>
        <v>1768</v>
      </c>
    </row>
    <row r="31" spans="1:10" s="1" customFormat="1" ht="14.25" customHeight="1" x14ac:dyDescent="0.2">
      <c r="A31" s="82">
        <f>'$ VOLS'!C133</f>
        <v>5.07</v>
      </c>
      <c r="B31" s="21">
        <f t="shared" si="6"/>
        <v>36970</v>
      </c>
      <c r="C31" s="172">
        <v>1701</v>
      </c>
      <c r="D31" s="6">
        <f t="shared" si="0"/>
        <v>360.8</v>
      </c>
      <c r="E31" s="6">
        <f t="shared" si="1"/>
        <v>1340.2</v>
      </c>
      <c r="F31" s="6">
        <f t="shared" si="2"/>
        <v>0</v>
      </c>
      <c r="G31" s="67">
        <f t="shared" si="3"/>
        <v>4.9706000000000001</v>
      </c>
      <c r="H31" s="40">
        <f t="shared" si="4"/>
        <v>6661.5981200000006</v>
      </c>
      <c r="I31" s="33">
        <f t="shared" si="5"/>
        <v>0</v>
      </c>
      <c r="J31" s="80">
        <f t="shared" si="7"/>
        <v>1769.04</v>
      </c>
    </row>
    <row r="32" spans="1:10" s="1" customFormat="1" ht="14.25" customHeight="1" x14ac:dyDescent="0.2">
      <c r="A32" s="82">
        <f>'$ VOLS'!C134</f>
        <v>5.0999999999999996</v>
      </c>
      <c r="B32" s="21">
        <f t="shared" si="6"/>
        <v>36971</v>
      </c>
      <c r="C32" s="172">
        <v>1692</v>
      </c>
      <c r="D32" s="6">
        <f t="shared" si="0"/>
        <v>360.8</v>
      </c>
      <c r="E32" s="6">
        <f t="shared" si="1"/>
        <v>1331.2</v>
      </c>
      <c r="F32" s="6">
        <f t="shared" si="2"/>
        <v>0</v>
      </c>
      <c r="G32" s="67">
        <f t="shared" si="3"/>
        <v>5.0004999999999997</v>
      </c>
      <c r="H32" s="40">
        <f t="shared" si="4"/>
        <v>6656.6656000000003</v>
      </c>
      <c r="I32" s="33">
        <f t="shared" si="5"/>
        <v>0</v>
      </c>
      <c r="J32" s="80">
        <f t="shared" si="7"/>
        <v>1759.68</v>
      </c>
    </row>
    <row r="33" spans="1:10" s="1" customFormat="1" ht="14.25" customHeight="1" x14ac:dyDescent="0.2">
      <c r="A33" s="82">
        <f>'$ VOLS'!C135</f>
        <v>5.18</v>
      </c>
      <c r="B33" s="21">
        <f t="shared" si="6"/>
        <v>36972</v>
      </c>
      <c r="C33" s="172">
        <v>1705</v>
      </c>
      <c r="D33" s="6">
        <f t="shared" si="0"/>
        <v>360.8</v>
      </c>
      <c r="E33" s="6">
        <f t="shared" si="1"/>
        <v>1344.2</v>
      </c>
      <c r="F33" s="6">
        <f t="shared" si="2"/>
        <v>0</v>
      </c>
      <c r="G33" s="67">
        <f t="shared" si="3"/>
        <v>5.0800999999999998</v>
      </c>
      <c r="H33" s="40">
        <f t="shared" si="4"/>
        <v>6828.6704200000004</v>
      </c>
      <c r="I33" s="33">
        <f t="shared" si="5"/>
        <v>0</v>
      </c>
      <c r="J33" s="80">
        <f t="shared" si="7"/>
        <v>1773.2</v>
      </c>
    </row>
    <row r="34" spans="1:10" s="1" customFormat="1" ht="14.25" customHeight="1" x14ac:dyDescent="0.2">
      <c r="A34" s="82">
        <f>'$ VOLS'!C136</f>
        <v>5.0449999999999999</v>
      </c>
      <c r="B34" s="21">
        <f t="shared" si="6"/>
        <v>36973</v>
      </c>
      <c r="C34" s="172">
        <v>1840</v>
      </c>
      <c r="D34" s="6">
        <f t="shared" si="0"/>
        <v>360.8</v>
      </c>
      <c r="E34" s="6">
        <f t="shared" si="1"/>
        <v>1479.2</v>
      </c>
      <c r="F34" s="6">
        <f t="shared" si="2"/>
        <v>0</v>
      </c>
      <c r="G34" s="67">
        <f t="shared" si="3"/>
        <v>4.9457000000000004</v>
      </c>
      <c r="H34" s="40">
        <f t="shared" si="4"/>
        <v>7315.6794400000008</v>
      </c>
      <c r="I34" s="33">
        <f t="shared" si="5"/>
        <v>0</v>
      </c>
      <c r="J34" s="80">
        <f t="shared" si="7"/>
        <v>1913.6000000000001</v>
      </c>
    </row>
    <row r="35" spans="1:10" s="1" customFormat="1" ht="14.25" customHeight="1" x14ac:dyDescent="0.2">
      <c r="A35" s="82">
        <f>'$ VOLS'!C137</f>
        <v>5.2450000000000001</v>
      </c>
      <c r="B35" s="21">
        <f t="shared" si="6"/>
        <v>36974</v>
      </c>
      <c r="C35" s="172">
        <v>1859</v>
      </c>
      <c r="D35" s="6">
        <f t="shared" si="0"/>
        <v>360.8</v>
      </c>
      <c r="E35" s="6">
        <f t="shared" si="1"/>
        <v>1498.2</v>
      </c>
      <c r="F35" s="6">
        <f t="shared" si="2"/>
        <v>0</v>
      </c>
      <c r="G35" s="67">
        <f t="shared" si="3"/>
        <v>5.1448</v>
      </c>
      <c r="H35" s="40">
        <f t="shared" si="4"/>
        <v>7707.9393600000003</v>
      </c>
      <c r="I35" s="33">
        <f t="shared" si="5"/>
        <v>0</v>
      </c>
      <c r="J35" s="80">
        <f t="shared" si="7"/>
        <v>1933.3600000000001</v>
      </c>
    </row>
    <row r="36" spans="1:10" s="1" customFormat="1" ht="14.25" customHeight="1" x14ac:dyDescent="0.2">
      <c r="A36" s="82">
        <f>'$ VOLS'!C138</f>
        <v>5.2450000000000001</v>
      </c>
      <c r="B36" s="21">
        <f t="shared" si="6"/>
        <v>36975</v>
      </c>
      <c r="C36" s="172">
        <v>1857</v>
      </c>
      <c r="D36" s="6">
        <f t="shared" si="0"/>
        <v>360.8</v>
      </c>
      <c r="E36" s="6">
        <f t="shared" si="1"/>
        <v>1496.2</v>
      </c>
      <c r="F36" s="6">
        <f t="shared" si="2"/>
        <v>0</v>
      </c>
      <c r="G36" s="67">
        <f t="shared" si="3"/>
        <v>5.1448</v>
      </c>
      <c r="H36" s="40">
        <f t="shared" si="4"/>
        <v>7697.6497600000002</v>
      </c>
      <c r="I36" s="33">
        <f t="shared" si="5"/>
        <v>0</v>
      </c>
      <c r="J36" s="80">
        <f t="shared" si="7"/>
        <v>1931.28</v>
      </c>
    </row>
    <row r="37" spans="1:10" s="1" customFormat="1" ht="14.25" customHeight="1" x14ac:dyDescent="0.2">
      <c r="A37" s="82">
        <f>'$ VOLS'!C139</f>
        <v>5.2450000000000001</v>
      </c>
      <c r="B37" s="21">
        <f t="shared" si="6"/>
        <v>36976</v>
      </c>
      <c r="C37" s="172">
        <v>1873</v>
      </c>
      <c r="D37" s="6">
        <f t="shared" si="0"/>
        <v>360.8</v>
      </c>
      <c r="E37" s="6">
        <f t="shared" si="1"/>
        <v>1512.2</v>
      </c>
      <c r="F37" s="6">
        <f t="shared" si="2"/>
        <v>0</v>
      </c>
      <c r="G37" s="67">
        <f t="shared" si="3"/>
        <v>5.1448</v>
      </c>
      <c r="H37" s="40">
        <f t="shared" si="4"/>
        <v>7779.9665599999998</v>
      </c>
      <c r="I37" s="33">
        <f t="shared" si="5"/>
        <v>0</v>
      </c>
      <c r="J37" s="80">
        <f t="shared" si="7"/>
        <v>1947.92</v>
      </c>
    </row>
    <row r="38" spans="1:10" s="1" customFormat="1" ht="14.25" customHeight="1" x14ac:dyDescent="0.2">
      <c r="A38" s="82">
        <f>'$ VOLS'!C140</f>
        <v>5.19</v>
      </c>
      <c r="B38" s="21">
        <f t="shared" si="6"/>
        <v>36977</v>
      </c>
      <c r="C38" s="172">
        <v>1960</v>
      </c>
      <c r="D38" s="6">
        <f t="shared" si="0"/>
        <v>360.8</v>
      </c>
      <c r="E38" s="6">
        <f t="shared" si="1"/>
        <v>1599.2</v>
      </c>
      <c r="F38" s="6">
        <f t="shared" si="2"/>
        <v>0</v>
      </c>
      <c r="G38" s="67">
        <f t="shared" si="3"/>
        <v>5.0900999999999996</v>
      </c>
      <c r="H38" s="40">
        <f t="shared" si="4"/>
        <v>8140.0879199999999</v>
      </c>
      <c r="I38" s="33">
        <v>0</v>
      </c>
      <c r="J38" s="80">
        <f t="shared" si="7"/>
        <v>2038.4</v>
      </c>
    </row>
    <row r="39" spans="1:10" s="1" customFormat="1" ht="14.25" customHeight="1" x14ac:dyDescent="0.2">
      <c r="A39" s="82">
        <f>'$ VOLS'!C141</f>
        <v>5.335</v>
      </c>
      <c r="B39" s="21">
        <f t="shared" si="6"/>
        <v>36978</v>
      </c>
      <c r="C39" s="172">
        <v>1941</v>
      </c>
      <c r="D39" s="6">
        <f t="shared" si="0"/>
        <v>360.8</v>
      </c>
      <c r="E39" s="6">
        <f t="shared" si="1"/>
        <v>1580.2</v>
      </c>
      <c r="F39" s="6">
        <f t="shared" si="2"/>
        <v>0</v>
      </c>
      <c r="G39" s="67">
        <f t="shared" si="3"/>
        <v>5.2343999999999999</v>
      </c>
      <c r="H39" s="40">
        <f t="shared" si="4"/>
        <v>8271.3988800000006</v>
      </c>
      <c r="I39" s="33">
        <v>0</v>
      </c>
      <c r="J39" s="80">
        <f t="shared" si="7"/>
        <v>2018.64</v>
      </c>
    </row>
    <row r="40" spans="1:10" s="1" customFormat="1" ht="14.25" customHeight="1" x14ac:dyDescent="0.2">
      <c r="A40" s="82">
        <f>'$ VOLS'!C142</f>
        <v>5.5350000000000001</v>
      </c>
      <c r="B40" s="21">
        <f t="shared" si="6"/>
        <v>36979</v>
      </c>
      <c r="C40" s="172">
        <v>1905</v>
      </c>
      <c r="D40" s="6">
        <f t="shared" si="0"/>
        <v>360.8</v>
      </c>
      <c r="E40" s="6">
        <f t="shared" si="1"/>
        <v>1544.2</v>
      </c>
      <c r="F40" s="6">
        <f t="shared" si="2"/>
        <v>0</v>
      </c>
      <c r="G40" s="67">
        <f t="shared" si="3"/>
        <v>5.4335000000000004</v>
      </c>
      <c r="H40" s="40">
        <f t="shared" si="4"/>
        <v>8390.4107000000004</v>
      </c>
      <c r="I40" s="33">
        <v>0</v>
      </c>
      <c r="J40" s="80">
        <f t="shared" si="7"/>
        <v>1981.2</v>
      </c>
    </row>
    <row r="41" spans="1:10" s="1" customFormat="1" ht="14.25" customHeight="1" x14ac:dyDescent="0.2">
      <c r="A41" s="82">
        <f>'$ VOLS'!C143</f>
        <v>5.3049999999999997</v>
      </c>
      <c r="B41" s="21">
        <f>+B40+1</f>
        <v>36980</v>
      </c>
      <c r="C41" s="172">
        <v>1902</v>
      </c>
      <c r="D41" s="6">
        <f t="shared" si="0"/>
        <v>360.8</v>
      </c>
      <c r="E41" s="6">
        <f t="shared" si="1"/>
        <v>1541.2</v>
      </c>
      <c r="F41" s="6">
        <f t="shared" si="2"/>
        <v>0</v>
      </c>
      <c r="G41" s="67">
        <f t="shared" si="3"/>
        <v>5.2046000000000001</v>
      </c>
      <c r="H41" s="40">
        <f t="shared" si="4"/>
        <v>8021.3295200000002</v>
      </c>
      <c r="I41" s="33">
        <f t="shared" si="5"/>
        <v>0</v>
      </c>
      <c r="J41" s="80">
        <f t="shared" si="7"/>
        <v>1978.0800000000002</v>
      </c>
    </row>
    <row r="42" spans="1:10" s="1" customFormat="1" ht="14.25" customHeight="1" x14ac:dyDescent="0.2">
      <c r="A42" s="82">
        <f>'$ VOLS'!C144</f>
        <v>5.35</v>
      </c>
      <c r="B42" s="21">
        <f>+B41+1</f>
        <v>36981</v>
      </c>
      <c r="C42" s="172">
        <v>1813</v>
      </c>
      <c r="D42" s="6">
        <f t="shared" si="0"/>
        <v>360.8</v>
      </c>
      <c r="E42" s="6">
        <f t="shared" si="1"/>
        <v>1452.2</v>
      </c>
      <c r="F42" s="6">
        <f t="shared" si="2"/>
        <v>0</v>
      </c>
      <c r="G42" s="67">
        <f t="shared" si="3"/>
        <v>5.2493999999999996</v>
      </c>
      <c r="H42" s="40">
        <f t="shared" si="4"/>
        <v>7623.17868</v>
      </c>
      <c r="I42" s="33">
        <f t="shared" si="5"/>
        <v>0</v>
      </c>
      <c r="J42" s="80">
        <f t="shared" si="7"/>
        <v>1885.52</v>
      </c>
    </row>
    <row r="43" spans="1:10" s="1" customFormat="1" ht="14.25" x14ac:dyDescent="0.2">
      <c r="A43" s="85">
        <f>AVERAGE(A12:A42)</f>
        <v>5.1720967741935473</v>
      </c>
      <c r="B43" s="21" t="s">
        <v>104</v>
      </c>
      <c r="C43" s="175">
        <f>SUM(C12:C42)</f>
        <v>54298</v>
      </c>
      <c r="D43" s="30">
        <f>SUM(D12:D42)</f>
        <v>11184.799999999997</v>
      </c>
      <c r="E43" s="30">
        <f>SUM(E12:E42)</f>
        <v>43113.19999999999</v>
      </c>
      <c r="F43" s="30">
        <f>SUM(F12:F42)</f>
        <v>0</v>
      </c>
      <c r="G43" s="85">
        <f>AVERAGE(G12:G42)</f>
        <v>5.0722677419354847</v>
      </c>
      <c r="H43" s="112">
        <f>SUM(H12:H42)</f>
        <v>218862.25496000002</v>
      </c>
      <c r="I43" s="79">
        <f>SUM(I12:I42)</f>
        <v>0</v>
      </c>
      <c r="J43" s="5"/>
    </row>
    <row r="44" spans="1:10" s="1" customFormat="1" ht="12.75" x14ac:dyDescent="0.2">
      <c r="A44" s="83"/>
      <c r="B44" s="2"/>
      <c r="C44" s="171">
        <f>D43+E43</f>
        <v>54297.999999999985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">
      <c r="A46" s="83"/>
      <c r="C46" s="171"/>
      <c r="I46" s="31"/>
      <c r="J46" s="5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11184.799999999997</v>
      </c>
      <c r="F47" s="24">
        <f>'$ VOLS'!E10</f>
        <v>4.9357999999999995</v>
      </c>
      <c r="G47" s="17">
        <f>+F47*D43</f>
        <v>55205.935839999984</v>
      </c>
      <c r="H47" s="45" t="s">
        <v>22</v>
      </c>
      <c r="I47" s="46">
        <f>+'$ VOLS'!C43</f>
        <v>7.6899999999999996E-2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43113.19999999999</v>
      </c>
      <c r="F48" s="3"/>
      <c r="G48" s="17">
        <f>+H43</f>
        <v>218862.25496000002</v>
      </c>
      <c r="H48" s="31" t="s">
        <v>23</v>
      </c>
      <c r="I48" s="47">
        <f>+'$ VOLS'!C44</f>
        <v>4.4999999999999997E-3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54297.999999999985</v>
      </c>
      <c r="F50" s="41">
        <f>+G50/E50</f>
        <v>5.0474822424398695</v>
      </c>
      <c r="G50" s="26">
        <f>SUM(G47:G49)</f>
        <v>274068.19079999998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C30" workbookViewId="0">
      <selection activeCell="C30" sqref="C1:C65536"/>
    </sheetView>
  </sheetViews>
  <sheetFormatPr defaultRowHeight="12" x14ac:dyDescent="0.15"/>
  <cols>
    <col min="1" max="1" width="9.375" bestFit="1" customWidth="1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90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5"/>
      <c r="E4" s="5" t="s">
        <v>0</v>
      </c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VOLS'!G16</f>
        <v>1327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1459.7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1194.3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1.0640000000000001</v>
      </c>
    </row>
    <row r="12" spans="1:10" s="5" customFormat="1" ht="14.25" customHeight="1" x14ac:dyDescent="0.2">
      <c r="A12" s="82">
        <f>'$ VOLS'!B114</f>
        <v>5.0199999999999996</v>
      </c>
      <c r="B12" s="21">
        <v>36951</v>
      </c>
      <c r="C12" s="172">
        <v>129</v>
      </c>
      <c r="D12" s="6">
        <f t="shared" ref="D12:D42" si="0">IF(C12&gt;$D$7,$D$7,C12)</f>
        <v>129</v>
      </c>
      <c r="E12" s="6">
        <f t="shared" ref="E12:E42" si="1">IF(C12&gt;$D$7,C12-D12,0)</f>
        <v>0</v>
      </c>
      <c r="F12" s="6">
        <f t="shared" ref="F12:F42" si="2">IF(C12&lt;$D$8,$D$8-C12,0)</f>
        <v>1065.3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v>0</v>
      </c>
      <c r="J12" s="80">
        <f>C12*$J$11</f>
        <v>137.256</v>
      </c>
    </row>
    <row r="13" spans="1:10" s="5" customFormat="1" ht="14.25" customHeight="1" x14ac:dyDescent="0.2">
      <c r="A13" s="82">
        <f>'$ VOLS'!B115</f>
        <v>4.9450000000000003</v>
      </c>
      <c r="B13" s="21">
        <f t="shared" ref="B13:B40" si="5">+B12+1</f>
        <v>36952</v>
      </c>
      <c r="C13" s="172">
        <v>3</v>
      </c>
      <c r="D13" s="6">
        <f t="shared" si="0"/>
        <v>3</v>
      </c>
      <c r="E13" s="6">
        <f t="shared" si="1"/>
        <v>0</v>
      </c>
      <c r="F13" s="6">
        <f t="shared" si="2"/>
        <v>1191.3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6">C13*$J$11</f>
        <v>3.1920000000000002</v>
      </c>
    </row>
    <row r="14" spans="1:10" s="5" customFormat="1" ht="14.25" customHeight="1" x14ac:dyDescent="0.2">
      <c r="A14" s="82">
        <f>'$ VOLS'!B116</f>
        <v>4.9450000000000003</v>
      </c>
      <c r="B14" s="21">
        <f t="shared" si="5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1194.3</v>
      </c>
      <c r="G14" s="67">
        <f t="shared" si="3"/>
        <v>4.8550000000000004</v>
      </c>
      <c r="H14" s="40">
        <f t="shared" si="4"/>
        <v>0</v>
      </c>
      <c r="I14" s="33">
        <v>0</v>
      </c>
      <c r="J14" s="80">
        <f t="shared" si="6"/>
        <v>0</v>
      </c>
    </row>
    <row r="15" spans="1:10" s="5" customFormat="1" ht="14.25" customHeight="1" x14ac:dyDescent="0.2">
      <c r="A15" s="82">
        <f>'$ VOLS'!B117</f>
        <v>4.9450000000000003</v>
      </c>
      <c r="B15" s="21">
        <f t="shared" si="5"/>
        <v>36954</v>
      </c>
      <c r="C15" s="172">
        <v>57</v>
      </c>
      <c r="D15" s="6">
        <f t="shared" si="0"/>
        <v>57</v>
      </c>
      <c r="E15" s="6">
        <f t="shared" si="1"/>
        <v>0</v>
      </c>
      <c r="F15" s="6">
        <f t="shared" si="2"/>
        <v>1137.3</v>
      </c>
      <c r="G15" s="67">
        <f t="shared" si="3"/>
        <v>4.8550000000000004</v>
      </c>
      <c r="H15" s="40">
        <f t="shared" si="4"/>
        <v>0</v>
      </c>
      <c r="I15" s="33">
        <v>0</v>
      </c>
      <c r="J15" s="80">
        <f t="shared" si="6"/>
        <v>60.648000000000003</v>
      </c>
    </row>
    <row r="16" spans="1:10" s="5" customFormat="1" ht="14.25" customHeight="1" x14ac:dyDescent="0.2">
      <c r="A16" s="82">
        <f>'$ VOLS'!B118</f>
        <v>4.9450000000000003</v>
      </c>
      <c r="B16" s="21">
        <f t="shared" si="5"/>
        <v>36955</v>
      </c>
      <c r="C16" s="172">
        <v>40</v>
      </c>
      <c r="D16" s="6">
        <f t="shared" si="0"/>
        <v>40</v>
      </c>
      <c r="E16" s="6">
        <f t="shared" si="1"/>
        <v>0</v>
      </c>
      <c r="F16" s="6">
        <f t="shared" si="2"/>
        <v>1154.3</v>
      </c>
      <c r="G16" s="67">
        <f t="shared" si="3"/>
        <v>4.8550000000000004</v>
      </c>
      <c r="H16" s="40">
        <f t="shared" si="4"/>
        <v>0</v>
      </c>
      <c r="I16" s="33">
        <v>0</v>
      </c>
      <c r="J16" s="80">
        <f t="shared" si="6"/>
        <v>42.56</v>
      </c>
    </row>
    <row r="17" spans="1:10" s="5" customFormat="1" ht="14.25" customHeight="1" x14ac:dyDescent="0.2">
      <c r="A17" s="82">
        <f>'$ VOLS'!B119</f>
        <v>5.16</v>
      </c>
      <c r="B17" s="21">
        <f t="shared" si="5"/>
        <v>36956</v>
      </c>
      <c r="C17" s="172">
        <v>3520</v>
      </c>
      <c r="D17" s="6">
        <f t="shared" si="0"/>
        <v>1459.7</v>
      </c>
      <c r="E17" s="6">
        <f t="shared" si="1"/>
        <v>2060.3000000000002</v>
      </c>
      <c r="F17" s="6">
        <f t="shared" si="2"/>
        <v>0</v>
      </c>
      <c r="G17" s="67">
        <f t="shared" si="3"/>
        <v>5.069</v>
      </c>
      <c r="H17" s="40">
        <f t="shared" si="4"/>
        <v>10443.6607</v>
      </c>
      <c r="I17" s="33">
        <v>0</v>
      </c>
      <c r="J17" s="80">
        <f t="shared" si="6"/>
        <v>3745.28</v>
      </c>
    </row>
    <row r="18" spans="1:10" s="5" customFormat="1" ht="14.25" customHeight="1" x14ac:dyDescent="0.2">
      <c r="A18" s="82">
        <f>'$ VOLS'!B120</f>
        <v>5.16</v>
      </c>
      <c r="B18" s="21">
        <f t="shared" si="5"/>
        <v>36957</v>
      </c>
      <c r="C18" s="172">
        <v>2</v>
      </c>
      <c r="D18" s="6">
        <f t="shared" si="0"/>
        <v>2</v>
      </c>
      <c r="E18" s="6">
        <f t="shared" si="1"/>
        <v>0</v>
      </c>
      <c r="F18" s="6">
        <f t="shared" si="2"/>
        <v>1192.3</v>
      </c>
      <c r="G18" s="67">
        <f t="shared" si="3"/>
        <v>5.069</v>
      </c>
      <c r="H18" s="40">
        <f t="shared" si="4"/>
        <v>0</v>
      </c>
      <c r="I18" s="33">
        <v>0</v>
      </c>
      <c r="J18" s="80">
        <f t="shared" si="6"/>
        <v>2.1280000000000001</v>
      </c>
    </row>
    <row r="19" spans="1:10" s="5" customFormat="1" ht="14.25" customHeight="1" x14ac:dyDescent="0.2">
      <c r="A19" s="82">
        <f>'$ VOLS'!B121</f>
        <v>5.1449999999999996</v>
      </c>
      <c r="B19" s="21">
        <f t="shared" si="5"/>
        <v>36958</v>
      </c>
      <c r="C19" s="172">
        <v>2</v>
      </c>
      <c r="D19" s="6">
        <f t="shared" si="0"/>
        <v>2</v>
      </c>
      <c r="E19" s="6">
        <f t="shared" si="1"/>
        <v>0</v>
      </c>
      <c r="F19" s="6">
        <f t="shared" si="2"/>
        <v>1192.3</v>
      </c>
      <c r="G19" s="67">
        <f t="shared" si="3"/>
        <v>5.0540000000000003</v>
      </c>
      <c r="H19" s="40">
        <f t="shared" si="4"/>
        <v>0</v>
      </c>
      <c r="I19" s="33">
        <v>0</v>
      </c>
      <c r="J19" s="80">
        <f t="shared" si="6"/>
        <v>2.1280000000000001</v>
      </c>
    </row>
    <row r="20" spans="1:10" s="5" customFormat="1" ht="14.25" customHeight="1" x14ac:dyDescent="0.2">
      <c r="A20" s="82">
        <f>'$ VOLS'!B122</f>
        <v>5.16</v>
      </c>
      <c r="B20" s="21">
        <f t="shared" si="5"/>
        <v>36959</v>
      </c>
      <c r="C20" s="172">
        <v>2</v>
      </c>
      <c r="D20" s="6">
        <f t="shared" si="0"/>
        <v>2</v>
      </c>
      <c r="E20" s="6">
        <f t="shared" si="1"/>
        <v>0</v>
      </c>
      <c r="F20" s="6">
        <f t="shared" si="2"/>
        <v>1192.3</v>
      </c>
      <c r="G20" s="67">
        <f t="shared" si="3"/>
        <v>5.069</v>
      </c>
      <c r="H20" s="40">
        <f t="shared" si="4"/>
        <v>0</v>
      </c>
      <c r="I20" s="33">
        <v>0</v>
      </c>
      <c r="J20" s="80">
        <f t="shared" si="6"/>
        <v>2.1280000000000001</v>
      </c>
    </row>
    <row r="21" spans="1:10" s="5" customFormat="1" ht="14.25" customHeight="1" x14ac:dyDescent="0.2">
      <c r="A21" s="82">
        <f>'$ VOLS'!B123</f>
        <v>5.0599999999999996</v>
      </c>
      <c r="B21" s="21">
        <f t="shared" si="5"/>
        <v>36960</v>
      </c>
      <c r="C21" s="172">
        <v>2</v>
      </c>
      <c r="D21" s="6">
        <f t="shared" si="0"/>
        <v>2</v>
      </c>
      <c r="E21" s="6">
        <f t="shared" si="1"/>
        <v>0</v>
      </c>
      <c r="F21" s="6">
        <f t="shared" si="2"/>
        <v>1192.3</v>
      </c>
      <c r="G21" s="67">
        <f t="shared" si="3"/>
        <v>4.9694000000000003</v>
      </c>
      <c r="H21" s="40">
        <f t="shared" si="4"/>
        <v>0</v>
      </c>
      <c r="I21" s="33">
        <v>0</v>
      </c>
      <c r="J21" s="80">
        <f t="shared" si="6"/>
        <v>2.1280000000000001</v>
      </c>
    </row>
    <row r="22" spans="1:10" s="1" customFormat="1" ht="14.25" customHeight="1" x14ac:dyDescent="0.2">
      <c r="A22" s="82">
        <f>'$ VOLS'!B124</f>
        <v>5.0599999999999996</v>
      </c>
      <c r="B22" s="21">
        <f t="shared" si="5"/>
        <v>36961</v>
      </c>
      <c r="C22" s="172">
        <v>0</v>
      </c>
      <c r="D22" s="6">
        <f t="shared" si="0"/>
        <v>0</v>
      </c>
      <c r="E22" s="6">
        <f t="shared" si="1"/>
        <v>0</v>
      </c>
      <c r="F22" s="6">
        <f t="shared" si="2"/>
        <v>1194.3</v>
      </c>
      <c r="G22" s="67">
        <f t="shared" si="3"/>
        <v>4.9694000000000003</v>
      </c>
      <c r="H22" s="40">
        <f t="shared" si="4"/>
        <v>0</v>
      </c>
      <c r="I22" s="33">
        <v>0</v>
      </c>
      <c r="J22" s="80">
        <f t="shared" si="6"/>
        <v>0</v>
      </c>
    </row>
    <row r="23" spans="1:10" s="1" customFormat="1" ht="14.25" customHeight="1" x14ac:dyDescent="0.2">
      <c r="A23" s="82">
        <f>'$ VOLS'!B125</f>
        <v>5.0599999999999996</v>
      </c>
      <c r="B23" s="21">
        <f t="shared" si="5"/>
        <v>36962</v>
      </c>
      <c r="C23" s="172">
        <v>0</v>
      </c>
      <c r="D23" s="6">
        <f t="shared" si="0"/>
        <v>0</v>
      </c>
      <c r="E23" s="6">
        <f t="shared" si="1"/>
        <v>0</v>
      </c>
      <c r="F23" s="6">
        <f t="shared" si="2"/>
        <v>1194.3</v>
      </c>
      <c r="G23" s="67">
        <f t="shared" si="3"/>
        <v>4.9694000000000003</v>
      </c>
      <c r="H23" s="40">
        <f t="shared" si="4"/>
        <v>0</v>
      </c>
      <c r="I23" s="33">
        <v>0</v>
      </c>
      <c r="J23" s="80">
        <f t="shared" si="6"/>
        <v>0</v>
      </c>
    </row>
    <row r="24" spans="1:10" s="5" customFormat="1" ht="14.25" customHeight="1" x14ac:dyDescent="0.2">
      <c r="A24" s="82">
        <f>'$ VOLS'!B126</f>
        <v>4.8899999999999997</v>
      </c>
      <c r="B24" s="21">
        <f t="shared" si="5"/>
        <v>36963</v>
      </c>
      <c r="C24" s="172">
        <v>0</v>
      </c>
      <c r="D24" s="6">
        <f t="shared" si="0"/>
        <v>0</v>
      </c>
      <c r="E24" s="6">
        <f t="shared" si="1"/>
        <v>0</v>
      </c>
      <c r="F24" s="6">
        <f t="shared" si="2"/>
        <v>1194.3</v>
      </c>
      <c r="G24" s="67">
        <f t="shared" si="3"/>
        <v>4.8002000000000002</v>
      </c>
      <c r="H24" s="40">
        <f t="shared" si="4"/>
        <v>0</v>
      </c>
      <c r="I24" s="33">
        <v>0</v>
      </c>
      <c r="J24" s="80">
        <f t="shared" si="6"/>
        <v>0</v>
      </c>
    </row>
    <row r="25" spans="1:10" s="1" customFormat="1" ht="14.25" customHeight="1" x14ac:dyDescent="0.2">
      <c r="A25" s="82">
        <f>'$ VOLS'!B127</f>
        <v>4.9800000000000004</v>
      </c>
      <c r="B25" s="21">
        <f t="shared" si="5"/>
        <v>36964</v>
      </c>
      <c r="C25" s="172">
        <v>0</v>
      </c>
      <c r="D25" s="6">
        <f t="shared" si="0"/>
        <v>0</v>
      </c>
      <c r="E25" s="6">
        <f t="shared" si="1"/>
        <v>0</v>
      </c>
      <c r="F25" s="6">
        <f t="shared" si="2"/>
        <v>1194.3</v>
      </c>
      <c r="G25" s="67">
        <f t="shared" si="3"/>
        <v>4.8898000000000001</v>
      </c>
      <c r="H25" s="40">
        <f t="shared" si="4"/>
        <v>0</v>
      </c>
      <c r="I25" s="33">
        <v>0</v>
      </c>
      <c r="J25" s="80">
        <f t="shared" si="6"/>
        <v>0</v>
      </c>
    </row>
    <row r="26" spans="1:10" s="1" customFormat="1" ht="14.25" customHeight="1" x14ac:dyDescent="0.2">
      <c r="A26" s="82">
        <f>'$ VOLS'!B128</f>
        <v>4.8849999999999998</v>
      </c>
      <c r="B26" s="21">
        <f t="shared" si="5"/>
        <v>36965</v>
      </c>
      <c r="C26" s="172">
        <v>0</v>
      </c>
      <c r="D26" s="6">
        <f t="shared" si="0"/>
        <v>0</v>
      </c>
      <c r="E26" s="6">
        <f t="shared" si="1"/>
        <v>0</v>
      </c>
      <c r="F26" s="6">
        <f t="shared" si="2"/>
        <v>1194.3</v>
      </c>
      <c r="G26" s="67">
        <f t="shared" si="3"/>
        <v>4.7952000000000004</v>
      </c>
      <c r="H26" s="40">
        <f t="shared" si="4"/>
        <v>0</v>
      </c>
      <c r="I26" s="33">
        <v>0</v>
      </c>
      <c r="J26" s="80">
        <f t="shared" si="6"/>
        <v>0</v>
      </c>
    </row>
    <row r="27" spans="1:10" s="1" customFormat="1" ht="14.25" customHeight="1" x14ac:dyDescent="0.2">
      <c r="A27" s="82">
        <f>'$ VOLS'!B129</f>
        <v>4.8049999999999997</v>
      </c>
      <c r="B27" s="21">
        <f t="shared" si="5"/>
        <v>36966</v>
      </c>
      <c r="C27" s="172">
        <v>0</v>
      </c>
      <c r="D27" s="6">
        <f t="shared" si="0"/>
        <v>0</v>
      </c>
      <c r="E27" s="6">
        <f t="shared" si="1"/>
        <v>0</v>
      </c>
      <c r="F27" s="6">
        <f t="shared" si="2"/>
        <v>1194.3</v>
      </c>
      <c r="G27" s="67">
        <f t="shared" si="3"/>
        <v>4.7156000000000002</v>
      </c>
      <c r="H27" s="40">
        <f t="shared" si="4"/>
        <v>0</v>
      </c>
      <c r="I27" s="33">
        <v>0</v>
      </c>
      <c r="J27" s="80">
        <f t="shared" si="6"/>
        <v>0</v>
      </c>
    </row>
    <row r="28" spans="1:10" s="1" customFormat="1" ht="14.25" customHeight="1" x14ac:dyDescent="0.2">
      <c r="A28" s="82">
        <f>'$ VOLS'!B130</f>
        <v>4.8600000000000003</v>
      </c>
      <c r="B28" s="21">
        <f t="shared" si="5"/>
        <v>36967</v>
      </c>
      <c r="C28" s="172">
        <v>0</v>
      </c>
      <c r="D28" s="6">
        <f t="shared" si="0"/>
        <v>0</v>
      </c>
      <c r="E28" s="6">
        <f t="shared" si="1"/>
        <v>0</v>
      </c>
      <c r="F28" s="6">
        <f t="shared" si="2"/>
        <v>1194.3</v>
      </c>
      <c r="G28" s="67">
        <f t="shared" si="3"/>
        <v>4.7704000000000004</v>
      </c>
      <c r="H28" s="40">
        <f t="shared" si="4"/>
        <v>0</v>
      </c>
      <c r="I28" s="33">
        <v>0</v>
      </c>
      <c r="J28" s="80">
        <f t="shared" si="6"/>
        <v>0</v>
      </c>
    </row>
    <row r="29" spans="1:10" s="1" customFormat="1" ht="14.25" customHeight="1" x14ac:dyDescent="0.2">
      <c r="A29" s="82">
        <f>'$ VOLS'!B131</f>
        <v>4.8600000000000003</v>
      </c>
      <c r="B29" s="21">
        <f t="shared" si="5"/>
        <v>36968</v>
      </c>
      <c r="C29" s="172">
        <v>0</v>
      </c>
      <c r="D29" s="6">
        <f t="shared" si="0"/>
        <v>0</v>
      </c>
      <c r="E29" s="6">
        <f t="shared" si="1"/>
        <v>0</v>
      </c>
      <c r="F29" s="6">
        <f t="shared" si="2"/>
        <v>1194.3</v>
      </c>
      <c r="G29" s="67">
        <f t="shared" si="3"/>
        <v>4.7704000000000004</v>
      </c>
      <c r="H29" s="40">
        <f t="shared" si="4"/>
        <v>0</v>
      </c>
      <c r="I29" s="33">
        <v>0</v>
      </c>
      <c r="J29" s="80">
        <f t="shared" si="6"/>
        <v>0</v>
      </c>
    </row>
    <row r="30" spans="1:10" s="1" customFormat="1" ht="14.25" customHeight="1" x14ac:dyDescent="0.2">
      <c r="A30" s="82">
        <f>'$ VOLS'!B132</f>
        <v>4.8600000000000003</v>
      </c>
      <c r="B30" s="21">
        <f t="shared" si="5"/>
        <v>36969</v>
      </c>
      <c r="C30" s="172">
        <v>0</v>
      </c>
      <c r="D30" s="6">
        <f t="shared" si="0"/>
        <v>0</v>
      </c>
      <c r="E30" s="6">
        <f t="shared" si="1"/>
        <v>0</v>
      </c>
      <c r="F30" s="6">
        <f t="shared" si="2"/>
        <v>1194.3</v>
      </c>
      <c r="G30" s="67">
        <f t="shared" si="3"/>
        <v>4.7704000000000004</v>
      </c>
      <c r="H30" s="40">
        <f t="shared" si="4"/>
        <v>0</v>
      </c>
      <c r="I30" s="33">
        <v>0</v>
      </c>
      <c r="J30" s="80">
        <f t="shared" si="6"/>
        <v>0</v>
      </c>
    </row>
    <row r="31" spans="1:10" s="1" customFormat="1" ht="14.25" customHeight="1" x14ac:dyDescent="0.2">
      <c r="A31" s="82">
        <f>'$ VOLS'!B133</f>
        <v>4.95</v>
      </c>
      <c r="B31" s="21">
        <f t="shared" si="5"/>
        <v>36970</v>
      </c>
      <c r="C31" s="172">
        <v>0</v>
      </c>
      <c r="D31" s="6">
        <f t="shared" si="0"/>
        <v>0</v>
      </c>
      <c r="E31" s="6">
        <f t="shared" si="1"/>
        <v>0</v>
      </c>
      <c r="F31" s="6">
        <f t="shared" si="2"/>
        <v>1194.3</v>
      </c>
      <c r="G31" s="67">
        <f t="shared" si="3"/>
        <v>4.8598999999999997</v>
      </c>
      <c r="H31" s="40">
        <f t="shared" si="4"/>
        <v>0</v>
      </c>
      <c r="I31" s="33">
        <v>0</v>
      </c>
      <c r="J31" s="80">
        <f t="shared" si="6"/>
        <v>0</v>
      </c>
    </row>
    <row r="32" spans="1:10" s="1" customFormat="1" ht="14.25" customHeight="1" x14ac:dyDescent="0.2">
      <c r="A32" s="82">
        <f>'$ VOLS'!B134</f>
        <v>5.0250000000000004</v>
      </c>
      <c r="B32" s="21">
        <f t="shared" si="5"/>
        <v>36971</v>
      </c>
      <c r="C32" s="172">
        <v>0</v>
      </c>
      <c r="D32" s="6">
        <f t="shared" si="0"/>
        <v>0</v>
      </c>
      <c r="E32" s="6">
        <f t="shared" si="1"/>
        <v>0</v>
      </c>
      <c r="F32" s="6">
        <f t="shared" si="2"/>
        <v>1194.3</v>
      </c>
      <c r="G32" s="67">
        <f t="shared" si="3"/>
        <v>4.9345999999999997</v>
      </c>
      <c r="H32" s="40">
        <f t="shared" si="4"/>
        <v>0</v>
      </c>
      <c r="I32" s="33">
        <v>0</v>
      </c>
      <c r="J32" s="80">
        <f t="shared" si="6"/>
        <v>0</v>
      </c>
    </row>
    <row r="33" spans="1:10" s="1" customFormat="1" ht="14.25" customHeight="1" x14ac:dyDescent="0.2">
      <c r="A33" s="82">
        <f>'$ VOLS'!B135</f>
        <v>5.07</v>
      </c>
      <c r="B33" s="21">
        <f t="shared" si="5"/>
        <v>36972</v>
      </c>
      <c r="C33" s="172">
        <v>0</v>
      </c>
      <c r="D33" s="6">
        <f t="shared" si="0"/>
        <v>0</v>
      </c>
      <c r="E33" s="6">
        <f t="shared" si="1"/>
        <v>0</v>
      </c>
      <c r="F33" s="6">
        <f t="shared" si="2"/>
        <v>1194.3</v>
      </c>
      <c r="G33" s="67">
        <f t="shared" si="3"/>
        <v>4.9794</v>
      </c>
      <c r="H33" s="40">
        <f t="shared" si="4"/>
        <v>0</v>
      </c>
      <c r="I33" s="33">
        <v>0</v>
      </c>
      <c r="J33" s="80">
        <f t="shared" si="6"/>
        <v>0</v>
      </c>
    </row>
    <row r="34" spans="1:10" s="1" customFormat="1" ht="14.25" customHeight="1" x14ac:dyDescent="0.2">
      <c r="A34" s="82">
        <f>'$ VOLS'!B136</f>
        <v>5.94</v>
      </c>
      <c r="B34" s="21">
        <f t="shared" si="5"/>
        <v>36973</v>
      </c>
      <c r="C34" s="172">
        <v>0</v>
      </c>
      <c r="D34" s="6">
        <f t="shared" si="0"/>
        <v>0</v>
      </c>
      <c r="E34" s="6">
        <f t="shared" si="1"/>
        <v>0</v>
      </c>
      <c r="F34" s="6">
        <f t="shared" si="2"/>
        <v>1194.3</v>
      </c>
      <c r="G34" s="67">
        <f t="shared" si="3"/>
        <v>5.8453999999999997</v>
      </c>
      <c r="H34" s="40">
        <f t="shared" si="4"/>
        <v>0</v>
      </c>
      <c r="I34" s="33">
        <v>0</v>
      </c>
      <c r="J34" s="80">
        <f t="shared" si="6"/>
        <v>0</v>
      </c>
    </row>
    <row r="35" spans="1:10" s="1" customFormat="1" ht="14.25" customHeight="1" x14ac:dyDescent="0.2">
      <c r="A35" s="82">
        <f>'$ VOLS'!B137</f>
        <v>5.1150000000000002</v>
      </c>
      <c r="B35" s="21">
        <f t="shared" si="5"/>
        <v>36974</v>
      </c>
      <c r="C35" s="172">
        <v>0</v>
      </c>
      <c r="D35" s="6">
        <f t="shared" si="0"/>
        <v>0</v>
      </c>
      <c r="E35" s="6">
        <f t="shared" si="1"/>
        <v>0</v>
      </c>
      <c r="F35" s="6">
        <f t="shared" si="2"/>
        <v>1194.3</v>
      </c>
      <c r="G35" s="67">
        <f t="shared" si="3"/>
        <v>5.0242000000000004</v>
      </c>
      <c r="H35" s="40">
        <f t="shared" si="4"/>
        <v>0</v>
      </c>
      <c r="I35" s="33">
        <v>0</v>
      </c>
      <c r="J35" s="80">
        <f t="shared" si="6"/>
        <v>0</v>
      </c>
    </row>
    <row r="36" spans="1:10" s="1" customFormat="1" ht="14.25" customHeight="1" x14ac:dyDescent="0.2">
      <c r="A36" s="82">
        <f>'$ VOLS'!B138</f>
        <v>5.1150000000000002</v>
      </c>
      <c r="B36" s="21">
        <f t="shared" si="5"/>
        <v>36975</v>
      </c>
      <c r="C36" s="172">
        <v>0</v>
      </c>
      <c r="D36" s="6">
        <f t="shared" si="0"/>
        <v>0</v>
      </c>
      <c r="E36" s="6">
        <f t="shared" si="1"/>
        <v>0</v>
      </c>
      <c r="F36" s="6">
        <f t="shared" si="2"/>
        <v>1194.3</v>
      </c>
      <c r="G36" s="67">
        <f t="shared" si="3"/>
        <v>5.0242000000000004</v>
      </c>
      <c r="H36" s="40">
        <f t="shared" si="4"/>
        <v>0</v>
      </c>
      <c r="I36" s="33">
        <v>0</v>
      </c>
      <c r="J36" s="80">
        <f t="shared" si="6"/>
        <v>0</v>
      </c>
    </row>
    <row r="37" spans="1:10" s="1" customFormat="1" ht="14.25" customHeight="1" x14ac:dyDescent="0.2">
      <c r="A37" s="82">
        <f>'$ VOLS'!B139</f>
        <v>5.1150000000000002</v>
      </c>
      <c r="B37" s="21">
        <f t="shared" si="5"/>
        <v>36976</v>
      </c>
      <c r="C37" s="172">
        <v>0</v>
      </c>
      <c r="D37" s="6">
        <f t="shared" si="0"/>
        <v>0</v>
      </c>
      <c r="E37" s="6">
        <f t="shared" si="1"/>
        <v>0</v>
      </c>
      <c r="F37" s="6">
        <f t="shared" si="2"/>
        <v>1194.3</v>
      </c>
      <c r="G37" s="67">
        <f t="shared" si="3"/>
        <v>5.0242000000000004</v>
      </c>
      <c r="H37" s="40">
        <f t="shared" si="4"/>
        <v>0</v>
      </c>
      <c r="I37" s="33">
        <v>0</v>
      </c>
      <c r="J37" s="80">
        <f t="shared" si="6"/>
        <v>0</v>
      </c>
    </row>
    <row r="38" spans="1:10" s="1" customFormat="1" ht="14.25" customHeight="1" x14ac:dyDescent="0.2">
      <c r="A38" s="82">
        <f>'$ VOLS'!B140</f>
        <v>5.0650000000000004</v>
      </c>
      <c r="B38" s="21">
        <f t="shared" si="5"/>
        <v>36977</v>
      </c>
      <c r="C38" s="172">
        <v>0</v>
      </c>
      <c r="D38" s="6">
        <f t="shared" si="0"/>
        <v>0</v>
      </c>
      <c r="E38" s="6">
        <f t="shared" si="1"/>
        <v>0</v>
      </c>
      <c r="F38" s="6">
        <f t="shared" si="2"/>
        <v>1194.3</v>
      </c>
      <c r="G38" s="67">
        <f t="shared" si="3"/>
        <v>4.9744000000000002</v>
      </c>
      <c r="H38" s="40">
        <f t="shared" si="4"/>
        <v>0</v>
      </c>
      <c r="I38" s="33">
        <v>0</v>
      </c>
      <c r="J38" s="80">
        <f t="shared" si="6"/>
        <v>0</v>
      </c>
    </row>
    <row r="39" spans="1:10" s="1" customFormat="1" ht="14.25" customHeight="1" x14ac:dyDescent="0.2">
      <c r="A39" s="82">
        <f>'$ VOLS'!B141</f>
        <v>5.1550000000000002</v>
      </c>
      <c r="B39" s="21">
        <f t="shared" si="5"/>
        <v>36978</v>
      </c>
      <c r="C39" s="172">
        <v>0</v>
      </c>
      <c r="D39" s="6">
        <f t="shared" si="0"/>
        <v>0</v>
      </c>
      <c r="E39" s="6">
        <f t="shared" si="1"/>
        <v>0</v>
      </c>
      <c r="F39" s="6">
        <f t="shared" si="2"/>
        <v>1194.3</v>
      </c>
      <c r="G39" s="67">
        <f t="shared" si="3"/>
        <v>5.0640000000000001</v>
      </c>
      <c r="H39" s="40">
        <f t="shared" si="4"/>
        <v>0</v>
      </c>
      <c r="I39" s="33">
        <v>0</v>
      </c>
      <c r="J39" s="80">
        <f t="shared" si="6"/>
        <v>0</v>
      </c>
    </row>
    <row r="40" spans="1:10" s="1" customFormat="1" ht="14.25" customHeight="1" x14ac:dyDescent="0.2">
      <c r="A40" s="82">
        <f>'$ VOLS'!B142</f>
        <v>5.3849999999999998</v>
      </c>
      <c r="B40" s="21">
        <f t="shared" si="5"/>
        <v>36979</v>
      </c>
      <c r="C40" s="172">
        <v>0</v>
      </c>
      <c r="D40" s="6">
        <f t="shared" si="0"/>
        <v>0</v>
      </c>
      <c r="E40" s="6">
        <f t="shared" si="1"/>
        <v>0</v>
      </c>
      <c r="F40" s="6">
        <f t="shared" si="2"/>
        <v>1194.3</v>
      </c>
      <c r="G40" s="67">
        <f t="shared" si="3"/>
        <v>5.2929000000000004</v>
      </c>
      <c r="H40" s="40">
        <f t="shared" si="4"/>
        <v>0</v>
      </c>
      <c r="I40" s="33">
        <v>0</v>
      </c>
      <c r="J40" s="80">
        <f t="shared" si="6"/>
        <v>0</v>
      </c>
    </row>
    <row r="41" spans="1:10" s="1" customFormat="1" ht="14.25" customHeight="1" x14ac:dyDescent="0.2">
      <c r="A41" s="82">
        <f>'$ VOLS'!B143</f>
        <v>5.1449999999999996</v>
      </c>
      <c r="B41" s="21">
        <f>+B40+1</f>
        <v>36980</v>
      </c>
      <c r="C41" s="172">
        <v>0</v>
      </c>
      <c r="D41" s="6">
        <f t="shared" si="0"/>
        <v>0</v>
      </c>
      <c r="E41" s="6">
        <f t="shared" si="1"/>
        <v>0</v>
      </c>
      <c r="F41" s="6">
        <f t="shared" si="2"/>
        <v>1194.3</v>
      </c>
      <c r="G41" s="67">
        <f t="shared" si="3"/>
        <v>5.0540000000000003</v>
      </c>
      <c r="H41" s="40">
        <f t="shared" si="4"/>
        <v>0</v>
      </c>
      <c r="I41" s="33">
        <v>0</v>
      </c>
      <c r="J41" s="80">
        <f t="shared" si="6"/>
        <v>0</v>
      </c>
    </row>
    <row r="42" spans="1:10" s="1" customFormat="1" ht="14.25" customHeight="1" x14ac:dyDescent="0.2">
      <c r="A42" s="82">
        <f>'$ VOLS'!B144</f>
        <v>5.1449999999999996</v>
      </c>
      <c r="B42" s="21">
        <f>+B41+1</f>
        <v>36981</v>
      </c>
      <c r="C42" s="172">
        <v>0</v>
      </c>
      <c r="D42" s="6">
        <f t="shared" si="0"/>
        <v>0</v>
      </c>
      <c r="E42" s="6">
        <f t="shared" si="1"/>
        <v>0</v>
      </c>
      <c r="F42" s="6">
        <f t="shared" si="2"/>
        <v>1194.3</v>
      </c>
      <c r="G42" s="67">
        <f t="shared" si="3"/>
        <v>5.0540000000000003</v>
      </c>
      <c r="H42" s="40">
        <f t="shared" si="4"/>
        <v>0</v>
      </c>
      <c r="I42" s="33">
        <v>0</v>
      </c>
      <c r="J42" s="80">
        <f t="shared" si="6"/>
        <v>0</v>
      </c>
    </row>
    <row r="43" spans="1:10" s="1" customFormat="1" ht="14.25" x14ac:dyDescent="0.2">
      <c r="A43" s="82">
        <f>'$ VOLS'!B145</f>
        <v>0</v>
      </c>
      <c r="B43" s="21" t="s">
        <v>104</v>
      </c>
      <c r="C43" s="175">
        <v>0</v>
      </c>
      <c r="D43" s="30">
        <f>SUM(D12:D42)</f>
        <v>1696.7</v>
      </c>
      <c r="E43" s="30">
        <f>SUM(E12:E42)</f>
        <v>2060.3000000000002</v>
      </c>
      <c r="F43" s="30">
        <f>SUM(F12:F42)</f>
        <v>35591.999999999993</v>
      </c>
      <c r="G43" s="16" t="s">
        <v>0</v>
      </c>
      <c r="H43" s="79">
        <f>SUM(H12:H42)</f>
        <v>10443.6607</v>
      </c>
      <c r="I43" s="79">
        <f>SUM(I12:I42)</f>
        <v>0</v>
      </c>
      <c r="J43" s="5"/>
    </row>
    <row r="44" spans="1:10" s="1" customFormat="1" ht="12.75" x14ac:dyDescent="0.2">
      <c r="B44" s="2"/>
      <c r="C44" s="171">
        <f>D43+E43</f>
        <v>3757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171">
        <f>+C44-C43</f>
        <v>3757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1696.7</v>
      </c>
      <c r="F47" s="24">
        <f>'$ VOLS'!E16</f>
        <v>4.9047999999999998</v>
      </c>
      <c r="G47" s="17">
        <f>+F47*D43</f>
        <v>8321.9741599999998</v>
      </c>
      <c r="H47" s="45" t="s">
        <v>22</v>
      </c>
      <c r="I47" s="46">
        <f>+'$ VOLS'!C28</f>
        <v>6.7599999999999993E-2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2060.3000000000002</v>
      </c>
      <c r="F48" s="3"/>
      <c r="G48" s="17">
        <f>+H43</f>
        <v>10443.6607</v>
      </c>
      <c r="H48" s="31" t="s">
        <v>23</v>
      </c>
      <c r="I48" s="47">
        <f>+'$ VOLS'!C29</f>
        <v>4.5999999999999999E-3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3757</v>
      </c>
      <c r="F50" s="41">
        <f>+G50/E50</f>
        <v>4.9948455842427464</v>
      </c>
      <c r="G50" s="26">
        <f>SUM(G47:G49)</f>
        <v>18765.634859999998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82" t="s">
        <v>93</v>
      </c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27" workbookViewId="0">
      <selection activeCell="D22" sqref="D22"/>
    </sheetView>
  </sheetViews>
  <sheetFormatPr defaultRowHeight="12" x14ac:dyDescent="0.15"/>
  <cols>
    <col min="2" max="2" width="9.75" style="22" customWidth="1"/>
    <col min="3" max="3" width="15.375" style="48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136</v>
      </c>
      <c r="B1" s="2"/>
      <c r="C1" s="28"/>
      <c r="I1" s="31"/>
    </row>
    <row r="2" spans="1:10" s="10" customFormat="1" ht="22.5" x14ac:dyDescent="0.3">
      <c r="B2" s="20" t="s">
        <v>9</v>
      </c>
      <c r="C2" s="9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91</v>
      </c>
      <c r="C3" s="9"/>
      <c r="D3" s="5"/>
      <c r="E3" s="5"/>
      <c r="F3" s="5"/>
      <c r="G3" s="5" t="s">
        <v>0</v>
      </c>
      <c r="I3" s="38"/>
    </row>
    <row r="4" spans="1:10" s="10" customFormat="1" ht="22.5" x14ac:dyDescent="0.3">
      <c r="B4" s="50"/>
      <c r="C4" s="9"/>
      <c r="D4" s="165"/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9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9"/>
      <c r="D6" s="9">
        <f>'[1]$ VOLS'!G25</f>
        <v>0</v>
      </c>
      <c r="G6"/>
      <c r="I6" s="34"/>
    </row>
    <row r="7" spans="1:10" s="5" customFormat="1" ht="12.75" x14ac:dyDescent="0.2">
      <c r="B7" s="166" t="s">
        <v>137</v>
      </c>
      <c r="C7" s="9"/>
      <c r="D7" s="9">
        <f>+D6</f>
        <v>0</v>
      </c>
      <c r="G7"/>
      <c r="I7" s="34"/>
    </row>
    <row r="8" spans="1:10" s="5" customFormat="1" ht="12.75" x14ac:dyDescent="0.2">
      <c r="B8" s="5" t="s">
        <v>12</v>
      </c>
      <c r="C8" s="9"/>
      <c r="D8" s="9">
        <f>+D6*0.9</f>
        <v>0</v>
      </c>
      <c r="F8" s="11" t="s">
        <v>3</v>
      </c>
      <c r="G8" s="12" t="s">
        <v>14</v>
      </c>
      <c r="I8" s="34"/>
      <c r="J8" s="77" t="s">
        <v>0</v>
      </c>
    </row>
    <row r="9" spans="1:10" s="5" customFormat="1" ht="13.5" customHeight="1" x14ac:dyDescent="0.2">
      <c r="B9" s="7"/>
      <c r="C9" s="29"/>
      <c r="E9" s="11" t="s">
        <v>0</v>
      </c>
      <c r="F9" s="11" t="s">
        <v>20</v>
      </c>
      <c r="G9" s="12" t="s">
        <v>2</v>
      </c>
      <c r="H9" s="12"/>
      <c r="J9" s="77" t="s">
        <v>0</v>
      </c>
    </row>
    <row r="10" spans="1:10" s="5" customFormat="1" ht="12.75" x14ac:dyDescent="0.2">
      <c r="B10" s="7"/>
      <c r="C10" s="29"/>
      <c r="D10" s="11" t="s">
        <v>4</v>
      </c>
      <c r="E10" s="11" t="s">
        <v>13</v>
      </c>
      <c r="F10" s="11" t="s">
        <v>4</v>
      </c>
      <c r="G10" s="10" t="s">
        <v>16</v>
      </c>
      <c r="H10" s="12" t="s">
        <v>138</v>
      </c>
      <c r="I10" s="34" t="s">
        <v>8</v>
      </c>
      <c r="J10" s="77" t="s">
        <v>0</v>
      </c>
    </row>
    <row r="11" spans="1:10" s="10" customFormat="1" ht="12.75" x14ac:dyDescent="0.2">
      <c r="C11" s="29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">
      <c r="A12" s="167">
        <v>5</v>
      </c>
      <c r="B12" s="21" t="s">
        <v>139</v>
      </c>
      <c r="C12" s="9">
        <v>1938</v>
      </c>
      <c r="D12" s="6">
        <f>+C12</f>
        <v>1938</v>
      </c>
      <c r="E12" s="6">
        <v>0</v>
      </c>
      <c r="F12" s="6">
        <f>IF(C12&lt;$D$8,$D$8-C12,0)</f>
        <v>0</v>
      </c>
      <c r="G12" s="67">
        <v>5.14</v>
      </c>
      <c r="H12" s="40">
        <f>+G12*D12</f>
        <v>9961.32</v>
      </c>
      <c r="I12" s="33">
        <f>IF(G12&gt;$F$47,($F$47-G12)*F12,0)</f>
        <v>0</v>
      </c>
    </row>
    <row r="13" spans="1:10" s="5" customFormat="1" ht="14.25" customHeight="1" x14ac:dyDescent="0.2">
      <c r="A13" s="167">
        <f>+A12</f>
        <v>5</v>
      </c>
      <c r="B13" s="21" t="s">
        <v>140</v>
      </c>
      <c r="C13" s="9">
        <v>2168</v>
      </c>
      <c r="D13" s="6">
        <f>+C13</f>
        <v>2168</v>
      </c>
      <c r="E13" s="6">
        <v>0</v>
      </c>
      <c r="F13" s="6">
        <f>IF(C13&lt;$D$8,$D$8-C13,0)</f>
        <v>0</v>
      </c>
      <c r="G13" s="67">
        <v>4.46</v>
      </c>
      <c r="H13" s="40">
        <f>+G13*D13</f>
        <v>9669.2800000000007</v>
      </c>
      <c r="I13" s="33">
        <f>IF(G13&gt;$F$47,($F$47-G13)*F13,0)</f>
        <v>0</v>
      </c>
    </row>
    <row r="14" spans="1:10" s="5" customFormat="1" ht="14.25" customHeight="1" x14ac:dyDescent="0.2">
      <c r="A14" s="167">
        <f t="shared" ref="A14:A42" si="0">+A13</f>
        <v>5</v>
      </c>
      <c r="B14" s="21" t="s">
        <v>141</v>
      </c>
      <c r="C14" s="9">
        <v>3224</v>
      </c>
      <c r="D14" s="6">
        <f>+C14</f>
        <v>3224</v>
      </c>
      <c r="E14" s="6">
        <v>0</v>
      </c>
      <c r="F14" s="6">
        <f>IF(C14&lt;$D$8,$D$8-C14,0)</f>
        <v>0</v>
      </c>
      <c r="G14" s="67">
        <v>5.99</v>
      </c>
      <c r="H14" s="40">
        <f>+G14*D14</f>
        <v>19311.760000000002</v>
      </c>
      <c r="I14" s="33">
        <f>IF(G14&gt;$F$47,($F$47-G14)*F14,0)</f>
        <v>0</v>
      </c>
    </row>
    <row r="15" spans="1:10" s="5" customFormat="1" ht="14.25" customHeight="1" x14ac:dyDescent="0.2">
      <c r="A15" s="167">
        <f t="shared" si="0"/>
        <v>5</v>
      </c>
      <c r="B15" s="21"/>
      <c r="C15" s="9"/>
      <c r="D15" s="6"/>
      <c r="E15" s="6"/>
      <c r="F15" s="6"/>
      <c r="G15" s="67"/>
      <c r="H15" s="40"/>
      <c r="I15" s="33"/>
    </row>
    <row r="16" spans="1:10" s="5" customFormat="1" ht="14.25" customHeight="1" x14ac:dyDescent="0.2">
      <c r="A16" s="167">
        <f t="shared" si="0"/>
        <v>5</v>
      </c>
      <c r="B16" s="21"/>
      <c r="C16" s="9"/>
      <c r="D16" s="6"/>
      <c r="E16" s="6"/>
      <c r="F16" s="6"/>
      <c r="G16" s="67"/>
      <c r="H16" s="40"/>
      <c r="I16" s="33"/>
    </row>
    <row r="17" spans="1:10" s="5" customFormat="1" ht="14.25" customHeight="1" x14ac:dyDescent="0.2">
      <c r="A17" s="167">
        <f t="shared" si="0"/>
        <v>5</v>
      </c>
      <c r="B17" s="21"/>
      <c r="C17" s="9"/>
      <c r="D17" s="6"/>
      <c r="E17" s="6"/>
      <c r="F17" s="6"/>
      <c r="G17" s="67"/>
      <c r="H17" s="40"/>
      <c r="I17" s="33"/>
    </row>
    <row r="18" spans="1:10" s="5" customFormat="1" ht="14.25" customHeight="1" x14ac:dyDescent="0.2">
      <c r="A18" s="167">
        <f t="shared" si="0"/>
        <v>5</v>
      </c>
      <c r="B18" s="21"/>
      <c r="C18" s="9"/>
      <c r="D18" s="6"/>
      <c r="E18" s="6"/>
      <c r="F18" s="6"/>
      <c r="G18" s="67"/>
      <c r="H18" s="40"/>
      <c r="I18" s="33"/>
    </row>
    <row r="19" spans="1:10" s="5" customFormat="1" ht="14.25" customHeight="1" x14ac:dyDescent="0.2">
      <c r="A19" s="167">
        <f t="shared" si="0"/>
        <v>5</v>
      </c>
      <c r="B19" s="21"/>
      <c r="C19" s="9"/>
      <c r="D19" s="6"/>
      <c r="E19" s="6"/>
      <c r="F19" s="6"/>
      <c r="G19" s="67"/>
      <c r="H19" s="40"/>
      <c r="I19" s="33"/>
    </row>
    <row r="20" spans="1:10" s="5" customFormat="1" ht="14.25" customHeight="1" x14ac:dyDescent="0.2">
      <c r="A20" s="167">
        <f t="shared" si="0"/>
        <v>5</v>
      </c>
      <c r="B20" s="21"/>
      <c r="C20" s="9"/>
      <c r="D20" s="6"/>
      <c r="E20" s="6"/>
      <c r="F20" s="6"/>
      <c r="G20" s="67"/>
      <c r="H20" s="40"/>
      <c r="I20" s="33"/>
    </row>
    <row r="21" spans="1:10" s="5" customFormat="1" ht="14.25" customHeight="1" x14ac:dyDescent="0.2">
      <c r="A21" s="167">
        <f t="shared" si="0"/>
        <v>5</v>
      </c>
      <c r="B21" s="21"/>
      <c r="C21" s="9"/>
      <c r="D21" s="6"/>
      <c r="E21" s="6"/>
      <c r="F21" s="6"/>
      <c r="G21" s="67"/>
      <c r="H21" s="40"/>
      <c r="I21" s="33"/>
    </row>
    <row r="22" spans="1:10" s="1" customFormat="1" ht="14.25" customHeight="1" x14ac:dyDescent="0.2">
      <c r="A22" s="167">
        <f t="shared" si="0"/>
        <v>5</v>
      </c>
      <c r="B22" s="21"/>
      <c r="C22" s="9"/>
      <c r="D22" s="6"/>
      <c r="E22" s="6"/>
      <c r="F22" s="6"/>
      <c r="G22" s="67"/>
      <c r="H22" s="40"/>
      <c r="I22" s="33"/>
      <c r="J22" s="5"/>
    </row>
    <row r="23" spans="1:10" s="1" customFormat="1" ht="14.25" customHeight="1" x14ac:dyDescent="0.2">
      <c r="A23" s="167">
        <f t="shared" si="0"/>
        <v>5</v>
      </c>
      <c r="B23" s="21"/>
      <c r="C23" s="9"/>
      <c r="D23" s="6"/>
      <c r="E23" s="6"/>
      <c r="F23" s="6"/>
      <c r="G23" s="67"/>
      <c r="H23" s="40"/>
      <c r="I23" s="33"/>
      <c r="J23" s="5"/>
    </row>
    <row r="24" spans="1:10" s="5" customFormat="1" ht="14.25" customHeight="1" x14ac:dyDescent="0.2">
      <c r="A24" s="167">
        <f t="shared" si="0"/>
        <v>5</v>
      </c>
      <c r="B24" s="21"/>
      <c r="C24" s="9"/>
      <c r="D24" s="6"/>
      <c r="E24" s="6"/>
      <c r="F24" s="6"/>
      <c r="G24" s="67"/>
      <c r="H24" s="40"/>
      <c r="I24" s="33"/>
    </row>
    <row r="25" spans="1:10" s="1" customFormat="1" ht="14.25" customHeight="1" x14ac:dyDescent="0.2">
      <c r="A25" s="167">
        <f t="shared" si="0"/>
        <v>5</v>
      </c>
      <c r="B25" s="21"/>
      <c r="C25" s="9"/>
      <c r="D25" s="6"/>
      <c r="E25" s="6"/>
      <c r="F25" s="6"/>
      <c r="G25" s="67"/>
      <c r="H25" s="40"/>
      <c r="I25" s="33"/>
      <c r="J25" s="5"/>
    </row>
    <row r="26" spans="1:10" s="1" customFormat="1" ht="14.25" customHeight="1" x14ac:dyDescent="0.2">
      <c r="A26" s="167">
        <f t="shared" si="0"/>
        <v>5</v>
      </c>
      <c r="B26" s="21"/>
      <c r="C26" s="9"/>
      <c r="D26" s="6"/>
      <c r="E26" s="6"/>
      <c r="F26" s="6"/>
      <c r="G26" s="67"/>
      <c r="H26" s="40"/>
      <c r="I26" s="33"/>
      <c r="J26" s="5"/>
    </row>
    <row r="27" spans="1:10" s="1" customFormat="1" ht="14.25" customHeight="1" x14ac:dyDescent="0.2">
      <c r="A27" s="167">
        <f t="shared" si="0"/>
        <v>5</v>
      </c>
      <c r="B27" s="21"/>
      <c r="C27" s="9"/>
      <c r="D27" s="6"/>
      <c r="E27" s="6"/>
      <c r="F27" s="6"/>
      <c r="G27" s="67"/>
      <c r="H27" s="40"/>
      <c r="I27" s="33"/>
      <c r="J27" s="5"/>
    </row>
    <row r="28" spans="1:10" s="1" customFormat="1" ht="14.25" customHeight="1" x14ac:dyDescent="0.2">
      <c r="A28" s="167">
        <f t="shared" si="0"/>
        <v>5</v>
      </c>
      <c r="B28" s="21"/>
      <c r="C28" s="9"/>
      <c r="D28" s="6"/>
      <c r="E28" s="6"/>
      <c r="F28" s="6"/>
      <c r="G28" s="67"/>
      <c r="H28" s="40"/>
      <c r="I28" s="33"/>
      <c r="J28" s="5"/>
    </row>
    <row r="29" spans="1:10" s="1" customFormat="1" ht="14.25" customHeight="1" x14ac:dyDescent="0.2">
      <c r="A29" s="167">
        <f t="shared" si="0"/>
        <v>5</v>
      </c>
      <c r="B29" s="21"/>
      <c r="C29" s="9"/>
      <c r="D29" s="6"/>
      <c r="E29" s="6"/>
      <c r="F29" s="6"/>
      <c r="G29" s="67"/>
      <c r="H29" s="40"/>
      <c r="I29" s="33"/>
      <c r="J29" s="5"/>
    </row>
    <row r="30" spans="1:10" s="1" customFormat="1" ht="14.25" customHeight="1" x14ac:dyDescent="0.2">
      <c r="A30" s="167">
        <f t="shared" si="0"/>
        <v>5</v>
      </c>
      <c r="B30" s="21"/>
      <c r="C30" s="9"/>
      <c r="D30" s="6"/>
      <c r="E30" s="6"/>
      <c r="F30" s="6"/>
      <c r="G30" s="67"/>
      <c r="H30" s="40"/>
      <c r="I30" s="33"/>
      <c r="J30" s="5"/>
    </row>
    <row r="31" spans="1:10" s="1" customFormat="1" ht="14.25" customHeight="1" x14ac:dyDescent="0.2">
      <c r="A31" s="167">
        <f t="shared" si="0"/>
        <v>5</v>
      </c>
      <c r="B31" s="21"/>
      <c r="C31" s="9"/>
      <c r="D31" s="6"/>
      <c r="E31" s="6"/>
      <c r="F31" s="6"/>
      <c r="G31" s="67"/>
      <c r="H31" s="40"/>
      <c r="I31" s="33"/>
      <c r="J31" s="5"/>
    </row>
    <row r="32" spans="1:10" s="1" customFormat="1" ht="14.25" customHeight="1" x14ac:dyDescent="0.2">
      <c r="A32" s="167">
        <f t="shared" si="0"/>
        <v>5</v>
      </c>
      <c r="B32" s="21"/>
      <c r="C32" s="9"/>
      <c r="D32" s="6"/>
      <c r="E32" s="6"/>
      <c r="F32" s="6"/>
      <c r="G32" s="67"/>
      <c r="H32" s="40"/>
      <c r="I32" s="33"/>
      <c r="J32" s="5"/>
    </row>
    <row r="33" spans="1:10" s="1" customFormat="1" ht="14.25" customHeight="1" x14ac:dyDescent="0.2">
      <c r="A33" s="167">
        <f t="shared" si="0"/>
        <v>5</v>
      </c>
      <c r="B33" s="21"/>
      <c r="C33" s="9"/>
      <c r="D33" s="6"/>
      <c r="E33" s="6"/>
      <c r="F33" s="6"/>
      <c r="G33" s="67"/>
      <c r="H33" s="40"/>
      <c r="I33" s="33"/>
      <c r="J33" s="5"/>
    </row>
    <row r="34" spans="1:10" s="1" customFormat="1" ht="14.25" customHeight="1" x14ac:dyDescent="0.2">
      <c r="A34" s="167">
        <f t="shared" si="0"/>
        <v>5</v>
      </c>
      <c r="B34" s="21"/>
      <c r="C34" s="9"/>
      <c r="D34" s="6"/>
      <c r="E34" s="6"/>
      <c r="F34" s="6"/>
      <c r="G34" s="67"/>
      <c r="H34" s="40"/>
      <c r="I34" s="33"/>
      <c r="J34" s="5"/>
    </row>
    <row r="35" spans="1:10" s="1" customFormat="1" ht="14.25" customHeight="1" x14ac:dyDescent="0.2">
      <c r="A35" s="167">
        <f t="shared" si="0"/>
        <v>5</v>
      </c>
      <c r="B35" s="21"/>
      <c r="C35" s="9"/>
      <c r="D35" s="6"/>
      <c r="E35" s="6"/>
      <c r="F35" s="6"/>
      <c r="G35" s="67"/>
      <c r="H35" s="40"/>
      <c r="I35" s="33"/>
      <c r="J35" s="5"/>
    </row>
    <row r="36" spans="1:10" s="1" customFormat="1" ht="14.25" customHeight="1" x14ac:dyDescent="0.2">
      <c r="A36" s="167">
        <f t="shared" si="0"/>
        <v>5</v>
      </c>
      <c r="B36" s="21"/>
      <c r="C36" s="9"/>
      <c r="D36" s="6"/>
      <c r="E36" s="6"/>
      <c r="F36" s="6"/>
      <c r="G36" s="67"/>
      <c r="H36" s="40"/>
      <c r="I36" s="33"/>
      <c r="J36" s="5"/>
    </row>
    <row r="37" spans="1:10" s="1" customFormat="1" ht="14.25" customHeight="1" x14ac:dyDescent="0.2">
      <c r="A37" s="167">
        <f t="shared" si="0"/>
        <v>5</v>
      </c>
      <c r="B37" s="21"/>
      <c r="C37" s="9"/>
      <c r="D37" s="6"/>
      <c r="E37" s="6"/>
      <c r="F37" s="6"/>
      <c r="G37" s="67"/>
      <c r="H37" s="40"/>
      <c r="I37" s="33"/>
      <c r="J37" s="5"/>
    </row>
    <row r="38" spans="1:10" s="1" customFormat="1" ht="14.25" customHeight="1" x14ac:dyDescent="0.2">
      <c r="A38" s="167">
        <f t="shared" si="0"/>
        <v>5</v>
      </c>
      <c r="B38" s="21"/>
      <c r="C38" s="9"/>
      <c r="D38" s="6"/>
      <c r="E38" s="6"/>
      <c r="F38" s="6"/>
      <c r="G38" s="67"/>
      <c r="H38" s="40"/>
      <c r="I38" s="33"/>
      <c r="J38" s="5"/>
    </row>
    <row r="39" spans="1:10" s="1" customFormat="1" ht="14.25" customHeight="1" x14ac:dyDescent="0.2">
      <c r="A39" s="167">
        <f t="shared" si="0"/>
        <v>5</v>
      </c>
      <c r="B39" s="21"/>
      <c r="C39" s="9"/>
      <c r="D39" s="6"/>
      <c r="E39" s="6"/>
      <c r="F39" s="6"/>
      <c r="G39" s="67"/>
      <c r="H39" s="40"/>
      <c r="I39" s="33"/>
      <c r="J39" s="5"/>
    </row>
    <row r="40" spans="1:10" s="1" customFormat="1" ht="14.25" customHeight="1" x14ac:dyDescent="0.2">
      <c r="A40" s="167">
        <f t="shared" si="0"/>
        <v>5</v>
      </c>
      <c r="B40" s="21"/>
      <c r="C40" s="9"/>
      <c r="D40" s="6"/>
      <c r="E40" s="6"/>
      <c r="F40" s="6"/>
      <c r="G40" s="67"/>
      <c r="H40" s="40"/>
      <c r="I40" s="33"/>
      <c r="J40" s="5"/>
    </row>
    <row r="41" spans="1:10" s="1" customFormat="1" ht="14.25" customHeight="1" x14ac:dyDescent="0.2">
      <c r="A41" s="167">
        <f t="shared" si="0"/>
        <v>5</v>
      </c>
      <c r="B41" s="21"/>
      <c r="C41" s="9"/>
      <c r="D41" s="6"/>
      <c r="E41" s="6"/>
      <c r="F41" s="168"/>
      <c r="G41" s="67"/>
      <c r="H41" s="40"/>
      <c r="I41" s="17"/>
      <c r="J41" s="5"/>
    </row>
    <row r="42" spans="1:10" s="1" customFormat="1" ht="14.25" customHeight="1" x14ac:dyDescent="0.2">
      <c r="A42" s="167">
        <f t="shared" si="0"/>
        <v>5</v>
      </c>
      <c r="B42" s="21"/>
      <c r="C42" s="9"/>
      <c r="D42" s="6"/>
      <c r="E42" s="6"/>
      <c r="F42" s="6"/>
      <c r="G42" s="67">
        <v>0</v>
      </c>
      <c r="H42" s="40">
        <f>E42*A42</f>
        <v>0</v>
      </c>
      <c r="I42" s="33"/>
      <c r="J42" s="5"/>
    </row>
    <row r="43" spans="1:10" s="1" customFormat="1" ht="12.75" x14ac:dyDescent="0.2">
      <c r="A43" s="167" t="s">
        <v>0</v>
      </c>
      <c r="B43" s="21" t="s">
        <v>0</v>
      </c>
      <c r="C43" s="169">
        <f t="shared" ref="C43:I43" si="1">SUM(C12:C42)</f>
        <v>7330</v>
      </c>
      <c r="D43" s="169">
        <f t="shared" si="1"/>
        <v>7330</v>
      </c>
      <c r="E43" s="169">
        <f t="shared" si="1"/>
        <v>0</v>
      </c>
      <c r="F43" s="169">
        <f t="shared" si="1"/>
        <v>0</v>
      </c>
      <c r="G43" s="170"/>
      <c r="H43" s="170">
        <f t="shared" si="1"/>
        <v>38942.36</v>
      </c>
      <c r="I43" s="170">
        <f t="shared" si="1"/>
        <v>0</v>
      </c>
      <c r="J43" s="5"/>
    </row>
    <row r="44" spans="1:10" s="1" customFormat="1" ht="12.75" x14ac:dyDescent="0.2">
      <c r="A44" s="167" t="s">
        <v>0</v>
      </c>
      <c r="B44" s="21" t="s">
        <v>0</v>
      </c>
      <c r="C44" s="28">
        <f>E43</f>
        <v>0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28">
        <f>+C44-C43</f>
        <v>-7330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28"/>
      <c r="I46" s="31"/>
    </row>
    <row r="47" spans="1:10" s="1" customFormat="1" ht="14.25" x14ac:dyDescent="0.2">
      <c r="B47" s="2"/>
      <c r="C47" s="30" t="s">
        <v>6</v>
      </c>
      <c r="D47" s="3"/>
      <c r="E47" s="23">
        <f>+D43</f>
        <v>7330</v>
      </c>
      <c r="F47" s="24">
        <f>+G47/E47</f>
        <v>5.3127366984993181</v>
      </c>
      <c r="G47" s="17">
        <f>+H43</f>
        <v>38942.36</v>
      </c>
      <c r="H47" s="45" t="s">
        <v>22</v>
      </c>
      <c r="I47" s="46">
        <v>0</v>
      </c>
    </row>
    <row r="48" spans="1:10" s="1" customFormat="1" ht="14.25" x14ac:dyDescent="0.2">
      <c r="B48" s="2"/>
      <c r="C48" s="30" t="s">
        <v>17</v>
      </c>
      <c r="D48" s="3"/>
      <c r="E48" s="23">
        <f>+E43</f>
        <v>0</v>
      </c>
      <c r="F48" s="3"/>
      <c r="G48" s="17"/>
      <c r="H48" s="31" t="s">
        <v>23</v>
      </c>
      <c r="I48" s="47">
        <v>0</v>
      </c>
    </row>
    <row r="49" spans="2:9" s="1" customFormat="1" ht="14.25" x14ac:dyDescent="0.2">
      <c r="B49" s="2"/>
      <c r="C49" s="30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30"/>
      <c r="D50" s="3"/>
      <c r="E50" s="23">
        <f>SUM(E47:E49)</f>
        <v>7330</v>
      </c>
      <c r="F50" s="41">
        <f>+G50/E50</f>
        <v>5.3127366984993181</v>
      </c>
      <c r="G50" s="26">
        <f>SUM(G47:G49)</f>
        <v>38942.36</v>
      </c>
      <c r="H50" s="37"/>
      <c r="I50" s="31"/>
    </row>
    <row r="51" spans="2:9" s="1" customFormat="1" ht="13.5" thickTop="1" x14ac:dyDescent="0.2">
      <c r="B51" s="2" t="s">
        <v>0</v>
      </c>
      <c r="C51" s="28"/>
      <c r="I51" s="31"/>
    </row>
    <row r="52" spans="2:9" s="8" customFormat="1" ht="12" customHeight="1" x14ac:dyDescent="0.2">
      <c r="B52" s="7"/>
      <c r="C52" s="9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9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16" workbookViewId="0">
      <selection activeCell="C16" sqref="C1:C65536"/>
    </sheetView>
  </sheetViews>
  <sheetFormatPr defaultRowHeight="12" x14ac:dyDescent="0.15"/>
  <cols>
    <col min="1" max="1" width="9.375" bestFit="1" customWidth="1"/>
    <col min="2" max="2" width="10.25" style="22" bestFit="1" customWidth="1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18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83" t="s">
        <v>0</v>
      </c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VOLS'!G17</f>
        <v>1020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1122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918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1.0429999999999999</v>
      </c>
    </row>
    <row r="12" spans="1:10" s="5" customFormat="1" ht="14.25" customHeight="1" x14ac:dyDescent="0.2">
      <c r="A12" s="82">
        <f>'$ VOLS'!B114</f>
        <v>5.0199999999999996</v>
      </c>
      <c r="B12" s="21">
        <v>36951</v>
      </c>
      <c r="C12" s="172">
        <v>0</v>
      </c>
      <c r="D12" s="6">
        <f t="shared" ref="D12:D42" si="0">IF(C12&gt;$D$7,$D$7,C12)</f>
        <v>0</v>
      </c>
      <c r="E12" s="6">
        <f t="shared" ref="E12:E42" si="1">IF(C12&gt;$D$7,C12-D12,0)</f>
        <v>0</v>
      </c>
      <c r="F12" s="6">
        <f t="shared" ref="F12:F41" si="2">IF(C12&lt;$D$8,$D$8-C12,0)</f>
        <v>918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f t="shared" ref="I12:I28" si="5">IF(G12&gt;$F$47,($F$47-G12)*F12,0)</f>
        <v>-22.76639999999994</v>
      </c>
      <c r="J12" s="80">
        <f>C12*$J$11</f>
        <v>0</v>
      </c>
    </row>
    <row r="13" spans="1:10" s="5" customFormat="1" ht="14.25" customHeight="1" x14ac:dyDescent="0.2">
      <c r="A13" s="82">
        <f>'$ VOLS'!B115</f>
        <v>4.9450000000000003</v>
      </c>
      <c r="B13" s="21">
        <f t="shared" ref="B13:B40" si="6">+B12+1</f>
        <v>36952</v>
      </c>
      <c r="C13" s="172">
        <v>0</v>
      </c>
      <c r="D13" s="6">
        <f t="shared" si="0"/>
        <v>0</v>
      </c>
      <c r="E13" s="6">
        <f t="shared" si="1"/>
        <v>0</v>
      </c>
      <c r="F13" s="6">
        <f t="shared" si="2"/>
        <v>918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7">C13*$J$11</f>
        <v>0</v>
      </c>
    </row>
    <row r="14" spans="1:10" s="5" customFormat="1" ht="14.25" customHeight="1" x14ac:dyDescent="0.2">
      <c r="A14" s="82">
        <f>'$ VOLS'!B116</f>
        <v>4.9450000000000003</v>
      </c>
      <c r="B14" s="21">
        <f t="shared" si="6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918</v>
      </c>
      <c r="G14" s="67">
        <f t="shared" si="3"/>
        <v>4.8550000000000004</v>
      </c>
      <c r="H14" s="40">
        <f t="shared" si="4"/>
        <v>0</v>
      </c>
      <c r="I14" s="33">
        <f t="shared" si="5"/>
        <v>0</v>
      </c>
      <c r="J14" s="80">
        <f t="shared" si="7"/>
        <v>0</v>
      </c>
    </row>
    <row r="15" spans="1:10" s="5" customFormat="1" ht="14.25" customHeight="1" x14ac:dyDescent="0.2">
      <c r="A15" s="82">
        <f>'$ VOLS'!B117</f>
        <v>4.9450000000000003</v>
      </c>
      <c r="B15" s="21">
        <f t="shared" si="6"/>
        <v>36954</v>
      </c>
      <c r="C15" s="172">
        <v>0</v>
      </c>
      <c r="D15" s="6">
        <f t="shared" si="0"/>
        <v>0</v>
      </c>
      <c r="E15" s="6">
        <f t="shared" si="1"/>
        <v>0</v>
      </c>
      <c r="F15" s="6">
        <f t="shared" si="2"/>
        <v>918</v>
      </c>
      <c r="G15" s="67">
        <f t="shared" si="3"/>
        <v>4.8550000000000004</v>
      </c>
      <c r="H15" s="40">
        <f t="shared" si="4"/>
        <v>0</v>
      </c>
      <c r="I15" s="33">
        <f t="shared" si="5"/>
        <v>0</v>
      </c>
      <c r="J15" s="80">
        <f t="shared" si="7"/>
        <v>0</v>
      </c>
    </row>
    <row r="16" spans="1:10" s="5" customFormat="1" ht="14.25" customHeight="1" x14ac:dyDescent="0.2">
      <c r="A16" s="82">
        <f>'$ VOLS'!B118</f>
        <v>4.9450000000000003</v>
      </c>
      <c r="B16" s="21">
        <f t="shared" si="6"/>
        <v>36955</v>
      </c>
      <c r="C16" s="172">
        <v>0</v>
      </c>
      <c r="D16" s="6">
        <f t="shared" si="0"/>
        <v>0</v>
      </c>
      <c r="E16" s="6">
        <f t="shared" si="1"/>
        <v>0</v>
      </c>
      <c r="F16" s="6">
        <f t="shared" si="2"/>
        <v>918</v>
      </c>
      <c r="G16" s="67">
        <f t="shared" si="3"/>
        <v>4.8550000000000004</v>
      </c>
      <c r="H16" s="40">
        <f t="shared" si="4"/>
        <v>0</v>
      </c>
      <c r="I16" s="33">
        <f t="shared" si="5"/>
        <v>0</v>
      </c>
      <c r="J16" s="80">
        <f t="shared" si="7"/>
        <v>0</v>
      </c>
    </row>
    <row r="17" spans="1:10" s="5" customFormat="1" ht="14.25" customHeight="1" x14ac:dyDescent="0.2">
      <c r="A17" s="82">
        <f>'$ VOLS'!B119</f>
        <v>5.16</v>
      </c>
      <c r="B17" s="21">
        <f t="shared" si="6"/>
        <v>36956</v>
      </c>
      <c r="C17" s="172">
        <v>2300</v>
      </c>
      <c r="D17" s="6">
        <f t="shared" si="0"/>
        <v>1122</v>
      </c>
      <c r="E17" s="6">
        <f t="shared" si="1"/>
        <v>1178</v>
      </c>
      <c r="F17" s="6">
        <f t="shared" si="2"/>
        <v>0</v>
      </c>
      <c r="G17" s="67">
        <f t="shared" si="3"/>
        <v>5.069</v>
      </c>
      <c r="H17" s="40">
        <f t="shared" si="4"/>
        <v>5971.2820000000002</v>
      </c>
      <c r="I17" s="33">
        <f t="shared" si="5"/>
        <v>0</v>
      </c>
      <c r="J17" s="80">
        <f t="shared" si="7"/>
        <v>2398.8999999999996</v>
      </c>
    </row>
    <row r="18" spans="1:10" s="5" customFormat="1" ht="14.25" customHeight="1" x14ac:dyDescent="0.2">
      <c r="A18" s="82">
        <f>'$ VOLS'!B120</f>
        <v>5.16</v>
      </c>
      <c r="B18" s="21">
        <f t="shared" si="6"/>
        <v>36957</v>
      </c>
      <c r="C18" s="172">
        <v>3495</v>
      </c>
      <c r="D18" s="6">
        <f t="shared" si="0"/>
        <v>1122</v>
      </c>
      <c r="E18" s="6">
        <f t="shared" si="1"/>
        <v>2373</v>
      </c>
      <c r="F18" s="6">
        <f t="shared" si="2"/>
        <v>0</v>
      </c>
      <c r="G18" s="67">
        <f t="shared" si="3"/>
        <v>5.069</v>
      </c>
      <c r="H18" s="40">
        <f t="shared" si="4"/>
        <v>12028.736999999999</v>
      </c>
      <c r="I18" s="33">
        <f t="shared" si="5"/>
        <v>0</v>
      </c>
      <c r="J18" s="80">
        <f t="shared" si="7"/>
        <v>3645.2849999999999</v>
      </c>
    </row>
    <row r="19" spans="1:10" s="5" customFormat="1" ht="14.25" customHeight="1" x14ac:dyDescent="0.2">
      <c r="A19" s="82">
        <f>'$ VOLS'!B121</f>
        <v>5.1449999999999996</v>
      </c>
      <c r="B19" s="21">
        <f t="shared" si="6"/>
        <v>36958</v>
      </c>
      <c r="C19" s="172">
        <v>3948</v>
      </c>
      <c r="D19" s="6">
        <f t="shared" si="0"/>
        <v>1122</v>
      </c>
      <c r="E19" s="6">
        <f t="shared" si="1"/>
        <v>2826</v>
      </c>
      <c r="F19" s="6">
        <f t="shared" si="2"/>
        <v>0</v>
      </c>
      <c r="G19" s="67">
        <f t="shared" si="3"/>
        <v>5.0540000000000003</v>
      </c>
      <c r="H19" s="40">
        <f t="shared" si="4"/>
        <v>14282.604000000001</v>
      </c>
      <c r="I19" s="33">
        <f t="shared" si="5"/>
        <v>0</v>
      </c>
      <c r="J19" s="80">
        <f t="shared" si="7"/>
        <v>4117.7640000000001</v>
      </c>
    </row>
    <row r="20" spans="1:10" s="5" customFormat="1" ht="14.25" customHeight="1" x14ac:dyDescent="0.2">
      <c r="A20" s="82">
        <f>'$ VOLS'!B122</f>
        <v>5.16</v>
      </c>
      <c r="B20" s="21">
        <f t="shared" si="6"/>
        <v>36959</v>
      </c>
      <c r="C20" s="172">
        <v>995</v>
      </c>
      <c r="D20" s="6">
        <f t="shared" si="0"/>
        <v>995</v>
      </c>
      <c r="E20" s="6">
        <f t="shared" si="1"/>
        <v>0</v>
      </c>
      <c r="F20" s="6">
        <f t="shared" si="2"/>
        <v>0</v>
      </c>
      <c r="G20" s="67">
        <f t="shared" si="3"/>
        <v>5.069</v>
      </c>
      <c r="H20" s="40">
        <f t="shared" si="4"/>
        <v>0</v>
      </c>
      <c r="I20" s="33">
        <f t="shared" si="5"/>
        <v>0</v>
      </c>
      <c r="J20" s="80">
        <f t="shared" si="7"/>
        <v>1037.7849999999999</v>
      </c>
    </row>
    <row r="21" spans="1:10" s="5" customFormat="1" ht="14.25" customHeight="1" x14ac:dyDescent="0.2">
      <c r="A21" s="82">
        <f>'$ VOLS'!B123</f>
        <v>5.0599999999999996</v>
      </c>
      <c r="B21" s="21">
        <f t="shared" si="6"/>
        <v>36960</v>
      </c>
      <c r="C21" s="172">
        <v>2997</v>
      </c>
      <c r="D21" s="6">
        <f t="shared" si="0"/>
        <v>1122</v>
      </c>
      <c r="E21" s="6">
        <f t="shared" si="1"/>
        <v>1875</v>
      </c>
      <c r="F21" s="6">
        <f t="shared" si="2"/>
        <v>0</v>
      </c>
      <c r="G21" s="67">
        <f t="shared" si="3"/>
        <v>4.9694000000000003</v>
      </c>
      <c r="H21" s="40">
        <f t="shared" si="4"/>
        <v>9317.625</v>
      </c>
      <c r="I21" s="33">
        <f t="shared" si="5"/>
        <v>0</v>
      </c>
      <c r="J21" s="80">
        <f t="shared" si="7"/>
        <v>3125.8709999999996</v>
      </c>
    </row>
    <row r="22" spans="1:10" s="1" customFormat="1" ht="14.25" customHeight="1" x14ac:dyDescent="0.2">
      <c r="A22" s="82">
        <f>'$ VOLS'!B124</f>
        <v>5.0599999999999996</v>
      </c>
      <c r="B22" s="21">
        <f t="shared" si="6"/>
        <v>36961</v>
      </c>
      <c r="C22" s="172">
        <v>2975</v>
      </c>
      <c r="D22" s="6">
        <f t="shared" si="0"/>
        <v>1122</v>
      </c>
      <c r="E22" s="6">
        <f t="shared" si="1"/>
        <v>1853</v>
      </c>
      <c r="F22" s="6">
        <f t="shared" si="2"/>
        <v>0</v>
      </c>
      <c r="G22" s="67">
        <f t="shared" si="3"/>
        <v>4.9694000000000003</v>
      </c>
      <c r="H22" s="40">
        <f t="shared" si="4"/>
        <v>9208.2982000000011</v>
      </c>
      <c r="I22" s="33">
        <f t="shared" si="5"/>
        <v>0</v>
      </c>
      <c r="J22" s="80">
        <f t="shared" si="7"/>
        <v>3102.9249999999997</v>
      </c>
    </row>
    <row r="23" spans="1:10" s="1" customFormat="1" ht="14.25" customHeight="1" x14ac:dyDescent="0.2">
      <c r="A23" s="82">
        <f>'$ VOLS'!B125</f>
        <v>5.0599999999999996</v>
      </c>
      <c r="B23" s="21">
        <f t="shared" si="6"/>
        <v>36962</v>
      </c>
      <c r="C23" s="172">
        <v>2824</v>
      </c>
      <c r="D23" s="6">
        <f t="shared" si="0"/>
        <v>1122</v>
      </c>
      <c r="E23" s="6">
        <f t="shared" si="1"/>
        <v>1702</v>
      </c>
      <c r="F23" s="6">
        <f t="shared" si="2"/>
        <v>0</v>
      </c>
      <c r="G23" s="67">
        <f t="shared" si="3"/>
        <v>4.9694000000000003</v>
      </c>
      <c r="H23" s="40">
        <f t="shared" si="4"/>
        <v>8457.9188000000013</v>
      </c>
      <c r="I23" s="33">
        <v>0</v>
      </c>
      <c r="J23" s="80">
        <f t="shared" si="7"/>
        <v>2945.4319999999998</v>
      </c>
    </row>
    <row r="24" spans="1:10" s="5" customFormat="1" ht="14.25" customHeight="1" x14ac:dyDescent="0.2">
      <c r="A24" s="82">
        <f>'$ VOLS'!B126</f>
        <v>4.8899999999999997</v>
      </c>
      <c r="B24" s="21">
        <f t="shared" si="6"/>
        <v>36963</v>
      </c>
      <c r="C24" s="172">
        <v>2615</v>
      </c>
      <c r="D24" s="6">
        <f t="shared" si="0"/>
        <v>1122</v>
      </c>
      <c r="E24" s="6">
        <f t="shared" si="1"/>
        <v>1493</v>
      </c>
      <c r="F24" s="6">
        <f t="shared" si="2"/>
        <v>0</v>
      </c>
      <c r="G24" s="67">
        <f t="shared" si="3"/>
        <v>4.8002000000000002</v>
      </c>
      <c r="H24" s="40">
        <f t="shared" si="4"/>
        <v>7166.6986000000006</v>
      </c>
      <c r="I24" s="33">
        <v>0</v>
      </c>
      <c r="J24" s="80">
        <f t="shared" si="7"/>
        <v>2727.4449999999997</v>
      </c>
    </row>
    <row r="25" spans="1:10" s="1" customFormat="1" ht="14.25" customHeight="1" x14ac:dyDescent="0.2">
      <c r="A25" s="82">
        <f>'$ VOLS'!B127</f>
        <v>4.9800000000000004</v>
      </c>
      <c r="B25" s="21">
        <f t="shared" si="6"/>
        <v>36964</v>
      </c>
      <c r="C25" s="172">
        <v>4015</v>
      </c>
      <c r="D25" s="6">
        <f t="shared" si="0"/>
        <v>1122</v>
      </c>
      <c r="E25" s="6">
        <f t="shared" si="1"/>
        <v>2893</v>
      </c>
      <c r="F25" s="6">
        <f t="shared" si="2"/>
        <v>0</v>
      </c>
      <c r="G25" s="67">
        <f t="shared" si="3"/>
        <v>4.8898000000000001</v>
      </c>
      <c r="H25" s="40">
        <f t="shared" si="4"/>
        <v>14146.1914</v>
      </c>
      <c r="I25" s="33">
        <v>0</v>
      </c>
      <c r="J25" s="80">
        <f t="shared" si="7"/>
        <v>4187.6449999999995</v>
      </c>
    </row>
    <row r="26" spans="1:10" s="1" customFormat="1" ht="14.25" customHeight="1" x14ac:dyDescent="0.2">
      <c r="A26" s="82">
        <f>'$ VOLS'!B128</f>
        <v>4.8849999999999998</v>
      </c>
      <c r="B26" s="21">
        <f t="shared" si="6"/>
        <v>36965</v>
      </c>
      <c r="C26" s="172">
        <v>2751</v>
      </c>
      <c r="D26" s="6">
        <f t="shared" si="0"/>
        <v>1122</v>
      </c>
      <c r="E26" s="6">
        <f t="shared" si="1"/>
        <v>1629</v>
      </c>
      <c r="F26" s="6">
        <f t="shared" si="2"/>
        <v>0</v>
      </c>
      <c r="G26" s="67">
        <f t="shared" si="3"/>
        <v>4.7952000000000004</v>
      </c>
      <c r="H26" s="40">
        <f t="shared" si="4"/>
        <v>7811.3808000000008</v>
      </c>
      <c r="I26" s="33">
        <v>0</v>
      </c>
      <c r="J26" s="80">
        <f t="shared" si="7"/>
        <v>2869.2929999999997</v>
      </c>
    </row>
    <row r="27" spans="1:10" s="1" customFormat="1" ht="14.25" customHeight="1" x14ac:dyDescent="0.2">
      <c r="A27" s="82">
        <f>'$ VOLS'!B129</f>
        <v>4.8049999999999997</v>
      </c>
      <c r="B27" s="21">
        <f t="shared" si="6"/>
        <v>36966</v>
      </c>
      <c r="C27" s="172">
        <v>3906</v>
      </c>
      <c r="D27" s="6">
        <f t="shared" si="0"/>
        <v>1122</v>
      </c>
      <c r="E27" s="6">
        <f t="shared" si="1"/>
        <v>2784</v>
      </c>
      <c r="F27" s="6">
        <f t="shared" si="2"/>
        <v>0</v>
      </c>
      <c r="G27" s="67">
        <f t="shared" si="3"/>
        <v>4.7156000000000002</v>
      </c>
      <c r="H27" s="40">
        <f t="shared" si="4"/>
        <v>13128.2304</v>
      </c>
      <c r="I27" s="33">
        <f t="shared" si="5"/>
        <v>0</v>
      </c>
      <c r="J27" s="80">
        <f t="shared" si="7"/>
        <v>4073.9579999999996</v>
      </c>
    </row>
    <row r="28" spans="1:10" s="1" customFormat="1" ht="14.25" customHeight="1" x14ac:dyDescent="0.2">
      <c r="A28" s="82">
        <f>'$ VOLS'!B130</f>
        <v>4.8600000000000003</v>
      </c>
      <c r="B28" s="21">
        <f t="shared" si="6"/>
        <v>36967</v>
      </c>
      <c r="C28" s="172">
        <v>4204</v>
      </c>
      <c r="D28" s="6">
        <f t="shared" si="0"/>
        <v>1122</v>
      </c>
      <c r="E28" s="6">
        <f t="shared" si="1"/>
        <v>3082</v>
      </c>
      <c r="F28" s="6">
        <f t="shared" si="2"/>
        <v>0</v>
      </c>
      <c r="G28" s="67">
        <f t="shared" si="3"/>
        <v>4.7704000000000004</v>
      </c>
      <c r="H28" s="40">
        <f t="shared" si="4"/>
        <v>14702.372800000001</v>
      </c>
      <c r="I28" s="33">
        <f t="shared" si="5"/>
        <v>0</v>
      </c>
      <c r="J28" s="80">
        <f t="shared" si="7"/>
        <v>4384.7719999999999</v>
      </c>
    </row>
    <row r="29" spans="1:10" s="1" customFormat="1" ht="14.25" customHeight="1" x14ac:dyDescent="0.2">
      <c r="A29" s="82">
        <f>'$ VOLS'!B131</f>
        <v>4.8600000000000003</v>
      </c>
      <c r="B29" s="21">
        <f t="shared" si="6"/>
        <v>36968</v>
      </c>
      <c r="C29" s="172">
        <v>4451</v>
      </c>
      <c r="D29" s="6">
        <f t="shared" si="0"/>
        <v>1122</v>
      </c>
      <c r="E29" s="6">
        <f t="shared" si="1"/>
        <v>3329</v>
      </c>
      <c r="F29" s="6">
        <v>0</v>
      </c>
      <c r="G29" s="67">
        <f t="shared" si="3"/>
        <v>4.7704000000000004</v>
      </c>
      <c r="H29" s="40">
        <f t="shared" si="4"/>
        <v>15880.661600000001</v>
      </c>
      <c r="I29" s="67">
        <v>0</v>
      </c>
      <c r="J29" s="80">
        <f t="shared" si="7"/>
        <v>4642.393</v>
      </c>
    </row>
    <row r="30" spans="1:10" s="1" customFormat="1" ht="14.25" customHeight="1" x14ac:dyDescent="0.2">
      <c r="A30" s="82">
        <f>'$ VOLS'!B132</f>
        <v>4.8600000000000003</v>
      </c>
      <c r="B30" s="21">
        <f t="shared" si="6"/>
        <v>36969</v>
      </c>
      <c r="C30" s="172">
        <v>4171</v>
      </c>
      <c r="D30" s="6">
        <f t="shared" si="0"/>
        <v>1122</v>
      </c>
      <c r="E30" s="6">
        <f t="shared" si="1"/>
        <v>3049</v>
      </c>
      <c r="F30" s="6">
        <f t="shared" si="2"/>
        <v>0</v>
      </c>
      <c r="G30" s="67">
        <f t="shared" si="3"/>
        <v>4.7704000000000004</v>
      </c>
      <c r="H30" s="40">
        <f t="shared" si="4"/>
        <v>14544.949600000002</v>
      </c>
      <c r="I30" s="67">
        <v>0</v>
      </c>
      <c r="J30" s="80">
        <f t="shared" si="7"/>
        <v>4350.3530000000001</v>
      </c>
    </row>
    <row r="31" spans="1:10" s="1" customFormat="1" ht="14.25" customHeight="1" x14ac:dyDescent="0.2">
      <c r="A31" s="82">
        <f>'$ VOLS'!B133</f>
        <v>4.95</v>
      </c>
      <c r="B31" s="21">
        <f t="shared" si="6"/>
        <v>36970</v>
      </c>
      <c r="C31" s="172">
        <v>3774</v>
      </c>
      <c r="D31" s="6">
        <f t="shared" si="0"/>
        <v>1122</v>
      </c>
      <c r="E31" s="6">
        <f t="shared" si="1"/>
        <v>2652</v>
      </c>
      <c r="F31" s="6">
        <f t="shared" si="2"/>
        <v>0</v>
      </c>
      <c r="G31" s="67">
        <f t="shared" si="3"/>
        <v>4.8598999999999997</v>
      </c>
      <c r="H31" s="40">
        <f t="shared" si="4"/>
        <v>12888.4548</v>
      </c>
      <c r="I31" s="67">
        <v>0</v>
      </c>
      <c r="J31" s="80">
        <f t="shared" si="7"/>
        <v>3936.2819999999997</v>
      </c>
    </row>
    <row r="32" spans="1:10" s="1" customFormat="1" ht="14.25" customHeight="1" x14ac:dyDescent="0.2">
      <c r="A32" s="82">
        <f>'$ VOLS'!B134</f>
        <v>5.0250000000000004</v>
      </c>
      <c r="B32" s="21">
        <f t="shared" si="6"/>
        <v>36971</v>
      </c>
      <c r="C32" s="172">
        <v>4142</v>
      </c>
      <c r="D32" s="6">
        <f t="shared" si="0"/>
        <v>1122</v>
      </c>
      <c r="E32" s="6">
        <f t="shared" si="1"/>
        <v>3020</v>
      </c>
      <c r="F32" s="6">
        <f t="shared" si="2"/>
        <v>0</v>
      </c>
      <c r="G32" s="67">
        <f t="shared" si="3"/>
        <v>4.9345999999999997</v>
      </c>
      <c r="H32" s="40">
        <f t="shared" si="4"/>
        <v>14902.491999999998</v>
      </c>
      <c r="I32" s="67">
        <v>0</v>
      </c>
      <c r="J32" s="80">
        <f t="shared" si="7"/>
        <v>4320.1059999999998</v>
      </c>
    </row>
    <row r="33" spans="1:10" s="1" customFormat="1" ht="14.25" customHeight="1" x14ac:dyDescent="0.2">
      <c r="A33" s="82">
        <f>'$ VOLS'!B135</f>
        <v>5.07</v>
      </c>
      <c r="B33" s="21">
        <f t="shared" si="6"/>
        <v>36972</v>
      </c>
      <c r="C33" s="172">
        <v>4510</v>
      </c>
      <c r="D33" s="6">
        <f t="shared" si="0"/>
        <v>1122</v>
      </c>
      <c r="E33" s="6">
        <f t="shared" si="1"/>
        <v>3388</v>
      </c>
      <c r="F33" s="6">
        <f t="shared" si="2"/>
        <v>0</v>
      </c>
      <c r="G33" s="67">
        <f t="shared" si="3"/>
        <v>4.9794</v>
      </c>
      <c r="H33" s="40">
        <f t="shared" si="4"/>
        <v>16870.207200000001</v>
      </c>
      <c r="I33" s="67">
        <v>0</v>
      </c>
      <c r="J33" s="80">
        <f t="shared" si="7"/>
        <v>4703.9299999999994</v>
      </c>
    </row>
    <row r="34" spans="1:10" s="1" customFormat="1" ht="14.25" customHeight="1" x14ac:dyDescent="0.2">
      <c r="A34" s="82">
        <f>'$ VOLS'!B136</f>
        <v>5.94</v>
      </c>
      <c r="B34" s="21">
        <f t="shared" si="6"/>
        <v>36973</v>
      </c>
      <c r="C34" s="172">
        <v>4524</v>
      </c>
      <c r="D34" s="6">
        <f t="shared" si="0"/>
        <v>1122</v>
      </c>
      <c r="E34" s="6">
        <f t="shared" si="1"/>
        <v>3402</v>
      </c>
      <c r="F34" s="6">
        <f t="shared" si="2"/>
        <v>0</v>
      </c>
      <c r="G34" s="67">
        <f t="shared" si="3"/>
        <v>5.8453999999999997</v>
      </c>
      <c r="H34" s="40">
        <f t="shared" si="4"/>
        <v>19886.050799999997</v>
      </c>
      <c r="I34" s="67">
        <v>0</v>
      </c>
      <c r="J34" s="80">
        <f t="shared" si="7"/>
        <v>4718.5319999999992</v>
      </c>
    </row>
    <row r="35" spans="1:10" s="1" customFormat="1" ht="14.25" customHeight="1" x14ac:dyDescent="0.2">
      <c r="A35" s="82">
        <f>'$ VOLS'!B137</f>
        <v>5.1150000000000002</v>
      </c>
      <c r="B35" s="21">
        <f t="shared" si="6"/>
        <v>36974</v>
      </c>
      <c r="C35" s="172">
        <v>3404</v>
      </c>
      <c r="D35" s="6">
        <f t="shared" si="0"/>
        <v>1122</v>
      </c>
      <c r="E35" s="6">
        <f t="shared" si="1"/>
        <v>2282</v>
      </c>
      <c r="F35" s="6">
        <f t="shared" si="2"/>
        <v>0</v>
      </c>
      <c r="G35" s="67">
        <f t="shared" si="3"/>
        <v>5.0242000000000004</v>
      </c>
      <c r="H35" s="40">
        <f t="shared" si="4"/>
        <v>11465.224400000001</v>
      </c>
      <c r="I35" s="67">
        <v>0</v>
      </c>
      <c r="J35" s="80">
        <f t="shared" si="7"/>
        <v>3550.3719999999998</v>
      </c>
    </row>
    <row r="36" spans="1:10" s="1" customFormat="1" ht="14.25" customHeight="1" x14ac:dyDescent="0.2">
      <c r="A36" s="82">
        <f>'$ VOLS'!B138</f>
        <v>5.1150000000000002</v>
      </c>
      <c r="B36" s="21">
        <f t="shared" si="6"/>
        <v>36975</v>
      </c>
      <c r="C36" s="172">
        <v>4629</v>
      </c>
      <c r="D36" s="6">
        <f t="shared" si="0"/>
        <v>1122</v>
      </c>
      <c r="E36" s="6">
        <f t="shared" si="1"/>
        <v>3507</v>
      </c>
      <c r="F36" s="6">
        <f t="shared" si="2"/>
        <v>0</v>
      </c>
      <c r="G36" s="67">
        <f t="shared" si="3"/>
        <v>5.0242000000000004</v>
      </c>
      <c r="H36" s="40">
        <f t="shared" si="4"/>
        <v>17619.869400000003</v>
      </c>
      <c r="I36" s="67">
        <v>0</v>
      </c>
      <c r="J36" s="80">
        <f t="shared" si="7"/>
        <v>4828.0469999999996</v>
      </c>
    </row>
    <row r="37" spans="1:10" s="1" customFormat="1" ht="14.25" customHeight="1" x14ac:dyDescent="0.2">
      <c r="A37" s="82">
        <f>'$ VOLS'!B139</f>
        <v>5.1150000000000002</v>
      </c>
      <c r="B37" s="21">
        <f t="shared" si="6"/>
        <v>36976</v>
      </c>
      <c r="C37" s="172">
        <v>4584</v>
      </c>
      <c r="D37" s="6">
        <f t="shared" si="0"/>
        <v>1122</v>
      </c>
      <c r="E37" s="6">
        <f t="shared" si="1"/>
        <v>3462</v>
      </c>
      <c r="F37" s="6">
        <f t="shared" si="2"/>
        <v>0</v>
      </c>
      <c r="G37" s="67">
        <f t="shared" si="3"/>
        <v>5.0242000000000004</v>
      </c>
      <c r="H37" s="40">
        <f t="shared" si="4"/>
        <v>17393.780400000003</v>
      </c>
      <c r="I37" s="67">
        <v>0</v>
      </c>
      <c r="J37" s="80">
        <f t="shared" si="7"/>
        <v>4781.1120000000001</v>
      </c>
    </row>
    <row r="38" spans="1:10" s="1" customFormat="1" ht="14.25" customHeight="1" x14ac:dyDescent="0.2">
      <c r="A38" s="82">
        <f>'$ VOLS'!B140</f>
        <v>5.0650000000000004</v>
      </c>
      <c r="B38" s="21">
        <f t="shared" si="6"/>
        <v>36977</v>
      </c>
      <c r="C38" s="172">
        <v>4538</v>
      </c>
      <c r="D38" s="6">
        <f t="shared" si="0"/>
        <v>1122</v>
      </c>
      <c r="E38" s="6">
        <f t="shared" si="1"/>
        <v>3416</v>
      </c>
      <c r="F38" s="6">
        <f t="shared" si="2"/>
        <v>0</v>
      </c>
      <c r="G38" s="67">
        <f t="shared" si="3"/>
        <v>4.9744000000000002</v>
      </c>
      <c r="H38" s="40">
        <f t="shared" si="4"/>
        <v>16992.5504</v>
      </c>
      <c r="I38" s="67">
        <v>0</v>
      </c>
      <c r="J38" s="80">
        <f t="shared" si="7"/>
        <v>4733.134</v>
      </c>
    </row>
    <row r="39" spans="1:10" s="1" customFormat="1" ht="14.25" customHeight="1" x14ac:dyDescent="0.2">
      <c r="A39" s="82">
        <f>'$ VOLS'!B141</f>
        <v>5.1550000000000002</v>
      </c>
      <c r="B39" s="21">
        <f t="shared" si="6"/>
        <v>36978</v>
      </c>
      <c r="C39" s="172">
        <v>4514</v>
      </c>
      <c r="D39" s="6">
        <f t="shared" si="0"/>
        <v>1122</v>
      </c>
      <c r="E39" s="6">
        <f t="shared" si="1"/>
        <v>3392</v>
      </c>
      <c r="F39" s="6">
        <f t="shared" si="2"/>
        <v>0</v>
      </c>
      <c r="G39" s="67">
        <f t="shared" si="3"/>
        <v>5.0640000000000001</v>
      </c>
      <c r="H39" s="40">
        <f t="shared" si="4"/>
        <v>17177.088</v>
      </c>
      <c r="I39" s="67">
        <v>0</v>
      </c>
      <c r="J39" s="80">
        <f t="shared" si="7"/>
        <v>4708.1019999999999</v>
      </c>
    </row>
    <row r="40" spans="1:10" s="1" customFormat="1" ht="14.25" customHeight="1" x14ac:dyDescent="0.2">
      <c r="A40" s="82">
        <f>'$ VOLS'!B142</f>
        <v>5.3849999999999998</v>
      </c>
      <c r="B40" s="21">
        <f t="shared" si="6"/>
        <v>36979</v>
      </c>
      <c r="C40" s="172">
        <v>4504</v>
      </c>
      <c r="D40" s="6">
        <f t="shared" si="0"/>
        <v>1122</v>
      </c>
      <c r="E40" s="6">
        <f t="shared" si="1"/>
        <v>3382</v>
      </c>
      <c r="F40" s="6">
        <f t="shared" si="2"/>
        <v>0</v>
      </c>
      <c r="G40" s="67">
        <f t="shared" si="3"/>
        <v>5.2929000000000004</v>
      </c>
      <c r="H40" s="40">
        <f t="shared" si="4"/>
        <v>17900.587800000001</v>
      </c>
      <c r="I40" s="67">
        <v>0</v>
      </c>
      <c r="J40" s="80">
        <f t="shared" si="7"/>
        <v>4697.6719999999996</v>
      </c>
    </row>
    <row r="41" spans="1:10" s="1" customFormat="1" ht="14.25" customHeight="1" x14ac:dyDescent="0.2">
      <c r="A41" s="82">
        <f>'$ VOLS'!B143</f>
        <v>5.1449999999999996</v>
      </c>
      <c r="B41" s="21">
        <f>+B40+1</f>
        <v>36980</v>
      </c>
      <c r="C41" s="172">
        <v>4491</v>
      </c>
      <c r="D41" s="6">
        <f t="shared" si="0"/>
        <v>1122</v>
      </c>
      <c r="E41" s="6">
        <f t="shared" si="1"/>
        <v>3369</v>
      </c>
      <c r="F41" s="6">
        <f t="shared" si="2"/>
        <v>0</v>
      </c>
      <c r="G41" s="67">
        <f t="shared" si="3"/>
        <v>5.0540000000000003</v>
      </c>
      <c r="H41" s="40">
        <f t="shared" si="4"/>
        <v>17026.925999999999</v>
      </c>
      <c r="I41" s="67">
        <v>0</v>
      </c>
      <c r="J41" s="80">
        <f t="shared" si="7"/>
        <v>4684.1129999999994</v>
      </c>
    </row>
    <row r="42" spans="1:10" s="1" customFormat="1" ht="14.25" customHeight="1" x14ac:dyDescent="0.2">
      <c r="A42" s="82">
        <f>'$ VOLS'!B144</f>
        <v>5.1449999999999996</v>
      </c>
      <c r="B42" s="21">
        <f>+B41+1</f>
        <v>36981</v>
      </c>
      <c r="C42" s="172">
        <v>4212</v>
      </c>
      <c r="D42" s="6">
        <f t="shared" si="0"/>
        <v>1122</v>
      </c>
      <c r="E42" s="6">
        <f t="shared" si="1"/>
        <v>3090</v>
      </c>
      <c r="F42" s="6">
        <v>0</v>
      </c>
      <c r="G42" s="67">
        <f t="shared" si="3"/>
        <v>5.0540000000000003</v>
      </c>
      <c r="H42" s="40">
        <f t="shared" si="4"/>
        <v>15616.86</v>
      </c>
      <c r="I42" s="67"/>
      <c r="J42" s="80">
        <f t="shared" si="7"/>
        <v>4393.116</v>
      </c>
    </row>
    <row r="43" spans="1:10" s="1" customFormat="1" ht="14.25" x14ac:dyDescent="0.2">
      <c r="A43" s="85">
        <f>AVERAGE(A12:A42)</f>
        <v>5.063548387096775</v>
      </c>
      <c r="B43" s="21" t="s">
        <v>104</v>
      </c>
      <c r="C43" s="175">
        <f>SUM(C12:C42)</f>
        <v>97473</v>
      </c>
      <c r="D43" s="30">
        <f>SUM(D12:D42)</f>
        <v>29045</v>
      </c>
      <c r="E43" s="30">
        <f>SUM(E12:E42)</f>
        <v>68428</v>
      </c>
      <c r="F43" s="30">
        <f>SUM(F12:F42)</f>
        <v>4590</v>
      </c>
      <c r="G43" s="85">
        <f>AVERAGE(G12:G42)</f>
        <v>4.9729677419354834</v>
      </c>
      <c r="H43" s="112">
        <f>SUM(H12:H42)</f>
        <v>342387.04139999993</v>
      </c>
      <c r="I43" s="79">
        <f>SUM(I12:I42)</f>
        <v>-22.76639999999994</v>
      </c>
      <c r="J43" s="5"/>
    </row>
    <row r="44" spans="1:10" s="1" customFormat="1" ht="12.75" x14ac:dyDescent="0.2">
      <c r="B44" s="2"/>
      <c r="C44" s="171">
        <f>D43+E43</f>
        <v>97473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29045</v>
      </c>
      <c r="F47" s="24">
        <f>'$ VOLS'!E17</f>
        <v>4.9047999999999998</v>
      </c>
      <c r="G47" s="17">
        <f>+F47*D43</f>
        <v>142459.916</v>
      </c>
      <c r="H47" s="45" t="s">
        <v>22</v>
      </c>
      <c r="I47" s="46">
        <f>+'$ VOLS'!C28</f>
        <v>6.7599999999999993E-2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68428</v>
      </c>
      <c r="F48" s="3"/>
      <c r="G48" s="17">
        <f>+H43</f>
        <v>342387.04139999993</v>
      </c>
      <c r="H48" s="31" t="s">
        <v>23</v>
      </c>
      <c r="I48" s="47">
        <f>+'$ VOLS'!C29</f>
        <v>4.5999999999999999E-3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-22.76639999999994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97473</v>
      </c>
      <c r="F50" s="41">
        <f>+G50/E50</f>
        <v>4.9739332020149165</v>
      </c>
      <c r="G50" s="26">
        <f>SUM(G47:G49)</f>
        <v>484824.19099999993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42" workbookViewId="0">
      <selection activeCell="E20" sqref="E1:E65536"/>
    </sheetView>
  </sheetViews>
  <sheetFormatPr defaultRowHeight="12" x14ac:dyDescent="0.15"/>
  <cols>
    <col min="1" max="1" width="10.25" style="86" bestFit="1" customWidth="1"/>
    <col min="2" max="2" width="9" style="22"/>
    <col min="3" max="4" width="9" style="22" hidden="1" customWidth="1"/>
    <col min="5" max="5" width="15.375" style="180" customWidth="1"/>
    <col min="6" max="6" width="14.75" customWidth="1"/>
    <col min="7" max="7" width="16.25" customWidth="1"/>
    <col min="8" max="8" width="15.5" customWidth="1"/>
    <col min="9" max="9" width="15.75" customWidth="1"/>
    <col min="10" max="10" width="15.375" customWidth="1"/>
    <col min="11" max="11" width="14.625" style="49" customWidth="1"/>
    <col min="12" max="12" width="11.75" customWidth="1"/>
  </cols>
  <sheetData>
    <row r="1" spans="1:12" s="1" customFormat="1" ht="15" customHeight="1" x14ac:dyDescent="0.2">
      <c r="A1" s="83"/>
      <c r="B1" s="2"/>
      <c r="C1" s="2"/>
      <c r="D1" s="2"/>
      <c r="E1" s="171"/>
      <c r="K1" s="31"/>
    </row>
    <row r="2" spans="1:12" s="10" customFormat="1" ht="22.5" x14ac:dyDescent="0.3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5" x14ac:dyDescent="0.3">
      <c r="A3" s="84"/>
      <c r="B3" s="19" t="s">
        <v>132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5" x14ac:dyDescent="0.3">
      <c r="A4" s="84"/>
      <c r="B4" s="81">
        <f>+'$ VOLS'!B6</f>
        <v>36951</v>
      </c>
      <c r="C4" s="50"/>
      <c r="D4" s="50"/>
      <c r="E4" s="172"/>
      <c r="F4" s="5"/>
      <c r="G4" s="5"/>
      <c r="H4" s="5"/>
      <c r="I4" s="5" t="s">
        <v>0</v>
      </c>
      <c r="K4" s="38"/>
    </row>
    <row r="5" spans="1:12" s="10" customFormat="1" ht="9" customHeight="1" x14ac:dyDescent="0.2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ht="12.75" x14ac:dyDescent="0.2">
      <c r="A6" s="8"/>
      <c r="B6" s="5" t="s">
        <v>10</v>
      </c>
      <c r="E6" s="172"/>
      <c r="F6" s="9">
        <f>'$ VOLS'!G18</f>
        <v>48</v>
      </c>
      <c r="I6"/>
      <c r="K6" s="34"/>
    </row>
    <row r="7" spans="1:12" s="5" customFormat="1" ht="12.75" x14ac:dyDescent="0.2">
      <c r="A7" s="8"/>
      <c r="B7" s="5" t="s">
        <v>11</v>
      </c>
      <c r="E7" s="172"/>
      <c r="F7" s="9">
        <f>+F6*1.1</f>
        <v>52.800000000000004</v>
      </c>
      <c r="I7"/>
      <c r="K7" s="34"/>
    </row>
    <row r="8" spans="1:12" s="5" customFormat="1" ht="12.75" x14ac:dyDescent="0.2">
      <c r="A8" s="8"/>
      <c r="B8" s="5" t="s">
        <v>12</v>
      </c>
      <c r="E8" s="172"/>
      <c r="F8" s="9">
        <f>+F6*0.9</f>
        <v>43.2</v>
      </c>
      <c r="H8" s="11" t="s">
        <v>3</v>
      </c>
      <c r="I8" s="12" t="s">
        <v>36</v>
      </c>
      <c r="K8" s="34"/>
      <c r="L8" s="77" t="s">
        <v>86</v>
      </c>
    </row>
    <row r="9" spans="1:12" s="5" customFormat="1" ht="13.5" customHeight="1" x14ac:dyDescent="0.2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2</v>
      </c>
      <c r="J9" s="12"/>
      <c r="L9" s="77" t="s">
        <v>87</v>
      </c>
    </row>
    <row r="10" spans="1:12" s="5" customFormat="1" ht="12.75" x14ac:dyDescent="0.2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0" t="s">
        <v>16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2.75" x14ac:dyDescent="0.2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15</v>
      </c>
      <c r="J11" s="39" t="str">
        <f>+K11</f>
        <v>AMOUNT</v>
      </c>
      <c r="K11" s="34" t="s">
        <v>7</v>
      </c>
      <c r="L11" s="77">
        <v>1.0509999999999999</v>
      </c>
    </row>
    <row r="12" spans="1:12" s="5" customFormat="1" ht="14.25" customHeight="1" x14ac:dyDescent="0.2">
      <c r="A12" s="82">
        <f>'$ VOLS'!G114</f>
        <v>5.14</v>
      </c>
      <c r="B12" s="21">
        <v>36951</v>
      </c>
      <c r="C12" s="9">
        <v>1512</v>
      </c>
      <c r="D12" s="9">
        <v>1512</v>
      </c>
      <c r="E12" s="172">
        <v>523</v>
      </c>
      <c r="F12" s="6">
        <f t="shared" ref="F12:F42" si="0">IF(E12&gt;$F$7,$F$7,E12)</f>
        <v>52.800000000000004</v>
      </c>
      <c r="G12" s="6">
        <f t="shared" ref="G12:G42" si="1">IF(E12&gt;$F$7,E12-F12,0)</f>
        <v>470.2</v>
      </c>
      <c r="H12" s="6">
        <f t="shared" ref="H12:H41" si="2">IF(E12&lt;$F$8,$F$8-E12,0)</f>
        <v>0</v>
      </c>
      <c r="I12" s="67">
        <f t="shared" ref="I12:I42" si="3">ROUND(A12-$K$47-(A12-$K$47)*$K$48,4)</f>
        <v>5.0180999999999996</v>
      </c>
      <c r="J12" s="40">
        <f t="shared" ref="J12:J42" si="4">+I12*G12</f>
        <v>2359.5106199999996</v>
      </c>
      <c r="K12" s="33">
        <f t="shared" ref="K12:K42" si="5">IF(I12&gt;$H$47,($H$47-I12)*H12,0)</f>
        <v>0</v>
      </c>
      <c r="L12" s="80">
        <f>E12*$L$11</f>
        <v>549.673</v>
      </c>
    </row>
    <row r="13" spans="1:12" s="5" customFormat="1" ht="14.25" customHeight="1" x14ac:dyDescent="0.2">
      <c r="A13" s="82">
        <f>'$ VOLS'!G115</f>
        <v>5.085</v>
      </c>
      <c r="B13" s="21">
        <f t="shared" ref="B13:B40" si="6">+B12+1</f>
        <v>36952</v>
      </c>
      <c r="C13" s="9">
        <v>1512</v>
      </c>
      <c r="D13" s="9">
        <v>1512</v>
      </c>
      <c r="E13" s="172">
        <v>633</v>
      </c>
      <c r="F13" s="6">
        <f t="shared" si="0"/>
        <v>52.800000000000004</v>
      </c>
      <c r="G13" s="6">
        <f t="shared" si="1"/>
        <v>580.20000000000005</v>
      </c>
      <c r="H13" s="6">
        <f t="shared" si="2"/>
        <v>0</v>
      </c>
      <c r="I13" s="67">
        <f t="shared" si="3"/>
        <v>4.9642999999999997</v>
      </c>
      <c r="J13" s="40">
        <f t="shared" si="4"/>
        <v>2880.2868600000002</v>
      </c>
      <c r="K13" s="33">
        <f t="shared" si="5"/>
        <v>0</v>
      </c>
      <c r="L13" s="80">
        <f t="shared" ref="L13:L42" si="7">E13*$L$11</f>
        <v>665.2829999999999</v>
      </c>
    </row>
    <row r="14" spans="1:12" s="5" customFormat="1" ht="14.25" customHeight="1" x14ac:dyDescent="0.2">
      <c r="A14" s="82">
        <f>'$ VOLS'!G116</f>
        <v>5.08</v>
      </c>
      <c r="B14" s="21">
        <f t="shared" si="6"/>
        <v>36953</v>
      </c>
      <c r="C14" s="9">
        <v>1512</v>
      </c>
      <c r="D14" s="9">
        <v>1512</v>
      </c>
      <c r="E14" s="172">
        <v>716</v>
      </c>
      <c r="F14" s="6">
        <f t="shared" si="0"/>
        <v>52.800000000000004</v>
      </c>
      <c r="G14" s="6">
        <f t="shared" si="1"/>
        <v>663.2</v>
      </c>
      <c r="H14" s="6">
        <f t="shared" si="2"/>
        <v>0</v>
      </c>
      <c r="I14" s="67">
        <f t="shared" si="3"/>
        <v>4.9593999999999996</v>
      </c>
      <c r="J14" s="40">
        <f t="shared" si="4"/>
        <v>3289.0740799999999</v>
      </c>
      <c r="K14" s="33">
        <f t="shared" si="5"/>
        <v>0</v>
      </c>
      <c r="L14" s="80">
        <f t="shared" si="7"/>
        <v>752.51599999999996</v>
      </c>
    </row>
    <row r="15" spans="1:12" s="5" customFormat="1" ht="14.25" customHeight="1" x14ac:dyDescent="0.2">
      <c r="A15" s="82">
        <f>'$ VOLS'!G117</f>
        <v>5.08</v>
      </c>
      <c r="B15" s="21">
        <f t="shared" si="6"/>
        <v>36954</v>
      </c>
      <c r="C15" s="9">
        <v>1512</v>
      </c>
      <c r="D15" s="9">
        <v>1512</v>
      </c>
      <c r="E15" s="172">
        <v>775</v>
      </c>
      <c r="F15" s="6">
        <f t="shared" si="0"/>
        <v>52.800000000000004</v>
      </c>
      <c r="G15" s="6">
        <f t="shared" si="1"/>
        <v>722.2</v>
      </c>
      <c r="H15" s="6">
        <f t="shared" si="2"/>
        <v>0</v>
      </c>
      <c r="I15" s="67">
        <f t="shared" si="3"/>
        <v>4.9593999999999996</v>
      </c>
      <c r="J15" s="40">
        <f t="shared" si="4"/>
        <v>3581.67868</v>
      </c>
      <c r="K15" s="33">
        <f t="shared" si="5"/>
        <v>0</v>
      </c>
      <c r="L15" s="80">
        <f t="shared" si="7"/>
        <v>814.52499999999998</v>
      </c>
    </row>
    <row r="16" spans="1:12" s="5" customFormat="1" ht="14.25" customHeight="1" x14ac:dyDescent="0.2">
      <c r="A16" s="82">
        <f>'$ VOLS'!G118</f>
        <v>5.08</v>
      </c>
      <c r="B16" s="21">
        <f t="shared" si="6"/>
        <v>36955</v>
      </c>
      <c r="C16" s="9">
        <v>1512</v>
      </c>
      <c r="D16" s="9">
        <v>1512</v>
      </c>
      <c r="E16" s="172">
        <v>784</v>
      </c>
      <c r="F16" s="6">
        <f t="shared" si="0"/>
        <v>52.800000000000004</v>
      </c>
      <c r="G16" s="6">
        <f t="shared" si="1"/>
        <v>731.2</v>
      </c>
      <c r="H16" s="6">
        <f t="shared" si="2"/>
        <v>0</v>
      </c>
      <c r="I16" s="67">
        <f t="shared" si="3"/>
        <v>4.9593999999999996</v>
      </c>
      <c r="J16" s="40">
        <f t="shared" si="4"/>
        <v>3626.3132799999998</v>
      </c>
      <c r="K16" s="33">
        <f t="shared" si="5"/>
        <v>0</v>
      </c>
      <c r="L16" s="80">
        <f t="shared" si="7"/>
        <v>823.98399999999992</v>
      </c>
    </row>
    <row r="17" spans="1:12" s="5" customFormat="1" ht="14.25" customHeight="1" x14ac:dyDescent="0.2">
      <c r="A17" s="82">
        <f>'$ VOLS'!G119</f>
        <v>5.2949999999999999</v>
      </c>
      <c r="B17" s="21">
        <f t="shared" si="6"/>
        <v>36956</v>
      </c>
      <c r="C17" s="9">
        <v>1512</v>
      </c>
      <c r="D17" s="9">
        <v>1512</v>
      </c>
      <c r="E17" s="172">
        <v>648</v>
      </c>
      <c r="F17" s="6">
        <f t="shared" si="0"/>
        <v>52.800000000000004</v>
      </c>
      <c r="G17" s="6">
        <f t="shared" si="1"/>
        <v>595.20000000000005</v>
      </c>
      <c r="H17" s="6">
        <f t="shared" si="2"/>
        <v>0</v>
      </c>
      <c r="I17" s="67">
        <f t="shared" si="3"/>
        <v>5.1698000000000004</v>
      </c>
      <c r="J17" s="40">
        <f t="shared" si="4"/>
        <v>3077.0649600000006</v>
      </c>
      <c r="K17" s="33">
        <f t="shared" si="5"/>
        <v>0</v>
      </c>
      <c r="L17" s="80">
        <f t="shared" si="7"/>
        <v>681.048</v>
      </c>
    </row>
    <row r="18" spans="1:12" s="5" customFormat="1" ht="14.25" customHeight="1" x14ac:dyDescent="0.2">
      <c r="A18" s="82">
        <f>'$ VOLS'!G120</f>
        <v>5.24</v>
      </c>
      <c r="B18" s="21">
        <f t="shared" si="6"/>
        <v>36957</v>
      </c>
      <c r="C18" s="9">
        <v>1512</v>
      </c>
      <c r="D18" s="9">
        <v>1512</v>
      </c>
      <c r="E18" s="172">
        <v>591</v>
      </c>
      <c r="F18" s="6">
        <f t="shared" si="0"/>
        <v>52.800000000000004</v>
      </c>
      <c r="G18" s="6">
        <f t="shared" si="1"/>
        <v>538.20000000000005</v>
      </c>
      <c r="H18" s="6">
        <f t="shared" si="2"/>
        <v>0</v>
      </c>
      <c r="I18" s="67">
        <f t="shared" si="3"/>
        <v>5.1159999999999997</v>
      </c>
      <c r="J18" s="40">
        <f t="shared" si="4"/>
        <v>2753.4312</v>
      </c>
      <c r="K18" s="33">
        <f t="shared" si="5"/>
        <v>0</v>
      </c>
      <c r="L18" s="80">
        <f t="shared" si="7"/>
        <v>621.14099999999996</v>
      </c>
    </row>
    <row r="19" spans="1:12" s="5" customFormat="1" ht="14.25" customHeight="1" x14ac:dyDescent="0.2">
      <c r="A19" s="82">
        <f>'$ VOLS'!G121</f>
        <v>5.1849999999999996</v>
      </c>
      <c r="B19" s="21">
        <f t="shared" si="6"/>
        <v>36958</v>
      </c>
      <c r="C19" s="9">
        <v>1512</v>
      </c>
      <c r="D19" s="9">
        <v>1512</v>
      </c>
      <c r="E19" s="172">
        <v>673</v>
      </c>
      <c r="F19" s="6">
        <f t="shared" si="0"/>
        <v>52.800000000000004</v>
      </c>
      <c r="G19" s="6">
        <f t="shared" si="1"/>
        <v>620.20000000000005</v>
      </c>
      <c r="H19" s="6">
        <f t="shared" si="2"/>
        <v>0</v>
      </c>
      <c r="I19" s="67">
        <f t="shared" si="3"/>
        <v>5.0621999999999998</v>
      </c>
      <c r="J19" s="40">
        <f t="shared" si="4"/>
        <v>3139.5764400000003</v>
      </c>
      <c r="K19" s="33">
        <f t="shared" si="5"/>
        <v>0</v>
      </c>
      <c r="L19" s="80">
        <f t="shared" si="7"/>
        <v>707.32299999999998</v>
      </c>
    </row>
    <row r="20" spans="1:12" s="5" customFormat="1" ht="14.25" customHeight="1" x14ac:dyDescent="0.2">
      <c r="A20" s="82">
        <f>'$ VOLS'!G122</f>
        <v>5.22</v>
      </c>
      <c r="B20" s="21">
        <f t="shared" si="6"/>
        <v>36959</v>
      </c>
      <c r="C20" s="9">
        <v>1512</v>
      </c>
      <c r="D20" s="9">
        <v>1512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43.2</v>
      </c>
      <c r="I20" s="67">
        <f t="shared" si="3"/>
        <v>5.0964</v>
      </c>
      <c r="J20" s="40">
        <f t="shared" si="4"/>
        <v>0</v>
      </c>
      <c r="K20" s="33">
        <f t="shared" si="5"/>
        <v>-12.99024</v>
      </c>
      <c r="L20" s="80">
        <f t="shared" si="7"/>
        <v>0</v>
      </c>
    </row>
    <row r="21" spans="1:12" s="5" customFormat="1" ht="14.25" customHeight="1" x14ac:dyDescent="0.2">
      <c r="A21" s="82">
        <f>'$ VOLS'!G123</f>
        <v>5.0999999999999996</v>
      </c>
      <c r="B21" s="21">
        <f t="shared" si="6"/>
        <v>36960</v>
      </c>
      <c r="C21" s="9">
        <v>0</v>
      </c>
      <c r="D21" s="9">
        <v>0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43.2</v>
      </c>
      <c r="I21" s="67">
        <f t="shared" si="3"/>
        <v>4.9790000000000001</v>
      </c>
      <c r="J21" s="40">
        <f t="shared" si="4"/>
        <v>0</v>
      </c>
      <c r="K21" s="33">
        <f t="shared" si="5"/>
        <v>-7.9185600000000012</v>
      </c>
      <c r="L21" s="80">
        <f t="shared" si="7"/>
        <v>0</v>
      </c>
    </row>
    <row r="22" spans="1:12" s="1" customFormat="1" ht="14.25" customHeight="1" x14ac:dyDescent="0.2">
      <c r="A22" s="82">
        <f>'$ VOLS'!G124</f>
        <v>5.0999999999999996</v>
      </c>
      <c r="B22" s="21">
        <f t="shared" si="6"/>
        <v>36961</v>
      </c>
      <c r="C22" s="9">
        <v>0</v>
      </c>
      <c r="D22" s="9">
        <v>0</v>
      </c>
      <c r="E22" s="172">
        <v>1</v>
      </c>
      <c r="F22" s="6">
        <f t="shared" si="0"/>
        <v>1</v>
      </c>
      <c r="G22" s="6">
        <f t="shared" si="1"/>
        <v>0</v>
      </c>
      <c r="H22" s="6">
        <f t="shared" si="2"/>
        <v>42.2</v>
      </c>
      <c r="I22" s="67">
        <f t="shared" si="3"/>
        <v>4.9790000000000001</v>
      </c>
      <c r="J22" s="40">
        <f t="shared" si="4"/>
        <v>0</v>
      </c>
      <c r="K22" s="33">
        <f t="shared" si="5"/>
        <v>-7.7352600000000011</v>
      </c>
      <c r="L22" s="80">
        <f t="shared" si="7"/>
        <v>1.0509999999999999</v>
      </c>
    </row>
    <row r="23" spans="1:12" s="1" customFormat="1" ht="14.25" customHeight="1" x14ac:dyDescent="0.2">
      <c r="A23" s="82">
        <f>'$ VOLS'!G125</f>
        <v>5.0999999999999996</v>
      </c>
      <c r="B23" s="21">
        <f t="shared" si="6"/>
        <v>36962</v>
      </c>
      <c r="C23" s="9">
        <v>0</v>
      </c>
      <c r="D23" s="9">
        <v>0</v>
      </c>
      <c r="E23" s="172">
        <v>1</v>
      </c>
      <c r="F23" s="6">
        <f t="shared" si="0"/>
        <v>1</v>
      </c>
      <c r="G23" s="6">
        <f t="shared" si="1"/>
        <v>0</v>
      </c>
      <c r="H23" s="6">
        <f t="shared" si="2"/>
        <v>42.2</v>
      </c>
      <c r="I23" s="67">
        <f t="shared" si="3"/>
        <v>4.9790000000000001</v>
      </c>
      <c r="J23" s="40">
        <f t="shared" si="4"/>
        <v>0</v>
      </c>
      <c r="K23" s="33">
        <f t="shared" si="5"/>
        <v>-7.7352600000000011</v>
      </c>
      <c r="L23" s="80">
        <f t="shared" si="7"/>
        <v>1.0509999999999999</v>
      </c>
    </row>
    <row r="24" spans="1:12" s="5" customFormat="1" ht="14.25" customHeight="1" x14ac:dyDescent="0.2">
      <c r="A24" s="82">
        <f>'$ VOLS'!G126</f>
        <v>4.95</v>
      </c>
      <c r="B24" s="21">
        <f t="shared" si="6"/>
        <v>36963</v>
      </c>
      <c r="C24" s="9">
        <v>0</v>
      </c>
      <c r="D24" s="9">
        <v>0</v>
      </c>
      <c r="E24" s="172">
        <v>1</v>
      </c>
      <c r="F24" s="6">
        <f t="shared" si="0"/>
        <v>1</v>
      </c>
      <c r="G24" s="6">
        <f t="shared" si="1"/>
        <v>0</v>
      </c>
      <c r="H24" s="6">
        <f t="shared" si="2"/>
        <v>42.2</v>
      </c>
      <c r="I24" s="67">
        <f t="shared" si="3"/>
        <v>4.8320999999999996</v>
      </c>
      <c r="J24" s="40">
        <f t="shared" si="4"/>
        <v>0</v>
      </c>
      <c r="K24" s="33">
        <f t="shared" si="5"/>
        <v>-1.5360799999999808</v>
      </c>
      <c r="L24" s="80">
        <f t="shared" si="7"/>
        <v>1.0509999999999999</v>
      </c>
    </row>
    <row r="25" spans="1:12" s="1" customFormat="1" ht="14.25" customHeight="1" x14ac:dyDescent="0.2">
      <c r="A25" s="82">
        <f>'$ VOLS'!G127</f>
        <v>5.05</v>
      </c>
      <c r="B25" s="21">
        <f t="shared" si="6"/>
        <v>36964</v>
      </c>
      <c r="C25" s="9">
        <v>0</v>
      </c>
      <c r="D25" s="9">
        <v>0</v>
      </c>
      <c r="E25" s="172">
        <v>637</v>
      </c>
      <c r="F25" s="6">
        <f t="shared" si="0"/>
        <v>52.800000000000004</v>
      </c>
      <c r="G25" s="6">
        <f t="shared" si="1"/>
        <v>584.20000000000005</v>
      </c>
      <c r="H25" s="6">
        <f t="shared" si="2"/>
        <v>0</v>
      </c>
      <c r="I25" s="67">
        <f t="shared" si="3"/>
        <v>4.93</v>
      </c>
      <c r="J25" s="40">
        <f t="shared" si="4"/>
        <v>2880.1060000000002</v>
      </c>
      <c r="K25" s="33">
        <f t="shared" si="5"/>
        <v>0</v>
      </c>
      <c r="L25" s="80">
        <f t="shared" si="7"/>
        <v>669.48699999999997</v>
      </c>
    </row>
    <row r="26" spans="1:12" s="1" customFormat="1" ht="14.25" customHeight="1" x14ac:dyDescent="0.2">
      <c r="A26" s="82">
        <f>'$ VOLS'!G128</f>
        <v>4.95</v>
      </c>
      <c r="B26" s="21">
        <f t="shared" si="6"/>
        <v>36965</v>
      </c>
      <c r="C26" s="9">
        <v>0</v>
      </c>
      <c r="D26" s="9">
        <v>0</v>
      </c>
      <c r="E26" s="172">
        <v>630</v>
      </c>
      <c r="F26" s="6">
        <f t="shared" si="0"/>
        <v>52.800000000000004</v>
      </c>
      <c r="G26" s="6">
        <f t="shared" si="1"/>
        <v>577.20000000000005</v>
      </c>
      <c r="H26" s="6">
        <f t="shared" si="2"/>
        <v>0</v>
      </c>
      <c r="I26" s="67">
        <f t="shared" si="3"/>
        <v>4.8320999999999996</v>
      </c>
      <c r="J26" s="40">
        <f t="shared" si="4"/>
        <v>2789.0881199999999</v>
      </c>
      <c r="K26" s="33">
        <f t="shared" si="5"/>
        <v>0</v>
      </c>
      <c r="L26" s="80">
        <f t="shared" si="7"/>
        <v>662.13</v>
      </c>
    </row>
    <row r="27" spans="1:12" s="1" customFormat="1" ht="14.25" customHeight="1" x14ac:dyDescent="0.2">
      <c r="A27" s="82">
        <f>'$ VOLS'!G129</f>
        <v>4.8949999999999996</v>
      </c>
      <c r="B27" s="21">
        <f t="shared" si="6"/>
        <v>36966</v>
      </c>
      <c r="C27" s="9">
        <v>0</v>
      </c>
      <c r="D27" s="9">
        <v>0</v>
      </c>
      <c r="E27" s="172">
        <v>624</v>
      </c>
      <c r="F27" s="6">
        <f t="shared" si="0"/>
        <v>52.800000000000004</v>
      </c>
      <c r="G27" s="6">
        <f t="shared" si="1"/>
        <v>571.20000000000005</v>
      </c>
      <c r="H27" s="6">
        <f t="shared" si="2"/>
        <v>0</v>
      </c>
      <c r="I27" s="67">
        <f t="shared" si="3"/>
        <v>4.7782999999999998</v>
      </c>
      <c r="J27" s="40">
        <f t="shared" si="4"/>
        <v>2729.3649599999999</v>
      </c>
      <c r="K27" s="33">
        <f t="shared" si="5"/>
        <v>0</v>
      </c>
      <c r="L27" s="80">
        <f t="shared" si="7"/>
        <v>655.82399999999996</v>
      </c>
    </row>
    <row r="28" spans="1:12" s="1" customFormat="1" ht="14.25" customHeight="1" x14ac:dyDescent="0.2">
      <c r="A28" s="82">
        <f>'$ VOLS'!G130</f>
        <v>4.9550000000000001</v>
      </c>
      <c r="B28" s="21">
        <f t="shared" si="6"/>
        <v>36967</v>
      </c>
      <c r="C28" s="9">
        <v>0</v>
      </c>
      <c r="D28" s="9">
        <v>0</v>
      </c>
      <c r="E28" s="172">
        <v>623</v>
      </c>
      <c r="F28" s="6">
        <f t="shared" si="0"/>
        <v>52.800000000000004</v>
      </c>
      <c r="G28" s="6">
        <f t="shared" si="1"/>
        <v>570.20000000000005</v>
      </c>
      <c r="H28" s="6">
        <f t="shared" si="2"/>
        <v>0</v>
      </c>
      <c r="I28" s="67">
        <f t="shared" si="3"/>
        <v>4.8369999999999997</v>
      </c>
      <c r="J28" s="40">
        <f t="shared" si="4"/>
        <v>2758.0574000000001</v>
      </c>
      <c r="K28" s="33">
        <f t="shared" si="5"/>
        <v>0</v>
      </c>
      <c r="L28" s="80">
        <f t="shared" si="7"/>
        <v>654.77299999999991</v>
      </c>
    </row>
    <row r="29" spans="1:12" s="1" customFormat="1" ht="14.25" customHeight="1" x14ac:dyDescent="0.2">
      <c r="A29" s="82">
        <f>'$ VOLS'!G131</f>
        <v>4.9550000000000001</v>
      </c>
      <c r="B29" s="21">
        <f t="shared" si="6"/>
        <v>36968</v>
      </c>
      <c r="C29" s="9">
        <v>1240</v>
      </c>
      <c r="D29" s="9">
        <v>1240</v>
      </c>
      <c r="E29" s="172">
        <v>617</v>
      </c>
      <c r="F29" s="6">
        <f t="shared" si="0"/>
        <v>52.800000000000004</v>
      </c>
      <c r="G29" s="6">
        <f t="shared" si="1"/>
        <v>564.20000000000005</v>
      </c>
      <c r="H29" s="6">
        <f t="shared" si="2"/>
        <v>0</v>
      </c>
      <c r="I29" s="67">
        <f t="shared" si="3"/>
        <v>4.8369999999999997</v>
      </c>
      <c r="J29" s="40">
        <f t="shared" si="4"/>
        <v>2729.0354000000002</v>
      </c>
      <c r="K29" s="33">
        <f t="shared" si="5"/>
        <v>0</v>
      </c>
      <c r="L29" s="80">
        <f t="shared" si="7"/>
        <v>648.46699999999998</v>
      </c>
    </row>
    <row r="30" spans="1:12" s="1" customFormat="1" ht="14.25" customHeight="1" x14ac:dyDescent="0.2">
      <c r="A30" s="82">
        <f>'$ VOLS'!G132</f>
        <v>4.9550000000000001</v>
      </c>
      <c r="B30" s="21">
        <f t="shared" si="6"/>
        <v>36969</v>
      </c>
      <c r="C30" s="9">
        <v>1217</v>
      </c>
      <c r="D30" s="9">
        <v>1217</v>
      </c>
      <c r="E30" s="172">
        <v>616</v>
      </c>
      <c r="F30" s="6">
        <f t="shared" si="0"/>
        <v>52.800000000000004</v>
      </c>
      <c r="G30" s="6">
        <f t="shared" si="1"/>
        <v>563.20000000000005</v>
      </c>
      <c r="H30" s="6">
        <f t="shared" si="2"/>
        <v>0</v>
      </c>
      <c r="I30" s="67">
        <f t="shared" si="3"/>
        <v>4.8369999999999997</v>
      </c>
      <c r="J30" s="40">
        <f t="shared" si="4"/>
        <v>2724.1984000000002</v>
      </c>
      <c r="K30" s="33">
        <f t="shared" si="5"/>
        <v>0</v>
      </c>
      <c r="L30" s="80">
        <f t="shared" si="7"/>
        <v>647.41599999999994</v>
      </c>
    </row>
    <row r="31" spans="1:12" s="1" customFormat="1" ht="14.25" customHeight="1" x14ac:dyDescent="0.2">
      <c r="A31" s="82">
        <f>'$ VOLS'!G133</f>
        <v>5.0350000000000001</v>
      </c>
      <c r="B31" s="21">
        <f t="shared" si="6"/>
        <v>36970</v>
      </c>
      <c r="C31" s="9">
        <v>1225</v>
      </c>
      <c r="D31" s="9">
        <v>1225</v>
      </c>
      <c r="E31" s="172">
        <v>603</v>
      </c>
      <c r="F31" s="6">
        <f t="shared" si="0"/>
        <v>52.800000000000004</v>
      </c>
      <c r="G31" s="6">
        <f t="shared" si="1"/>
        <v>550.20000000000005</v>
      </c>
      <c r="H31" s="6">
        <f t="shared" si="2"/>
        <v>0</v>
      </c>
      <c r="I31" s="67">
        <f t="shared" si="3"/>
        <v>4.9153000000000002</v>
      </c>
      <c r="J31" s="40">
        <f t="shared" si="4"/>
        <v>2704.3980600000004</v>
      </c>
      <c r="K31" s="33">
        <f t="shared" si="5"/>
        <v>0</v>
      </c>
      <c r="L31" s="80">
        <f t="shared" si="7"/>
        <v>633.75299999999993</v>
      </c>
    </row>
    <row r="32" spans="1:12" s="1" customFormat="1" ht="14.25" customHeight="1" x14ac:dyDescent="0.2">
      <c r="A32" s="82">
        <f>'$ VOLS'!G134</f>
        <v>5.0250000000000004</v>
      </c>
      <c r="B32" s="21">
        <f t="shared" si="6"/>
        <v>36971</v>
      </c>
      <c r="C32" s="9">
        <v>1208</v>
      </c>
      <c r="D32" s="9">
        <v>1208</v>
      </c>
      <c r="E32" s="172">
        <v>592</v>
      </c>
      <c r="F32" s="6">
        <f t="shared" si="0"/>
        <v>52.800000000000004</v>
      </c>
      <c r="G32" s="6">
        <f t="shared" si="1"/>
        <v>539.20000000000005</v>
      </c>
      <c r="H32" s="6">
        <f t="shared" si="2"/>
        <v>0</v>
      </c>
      <c r="I32" s="67">
        <f t="shared" si="3"/>
        <v>4.9055</v>
      </c>
      <c r="J32" s="40">
        <f t="shared" si="4"/>
        <v>2645.0456000000004</v>
      </c>
      <c r="K32" s="33">
        <f t="shared" si="5"/>
        <v>0</v>
      </c>
      <c r="L32" s="80">
        <f t="shared" si="7"/>
        <v>622.19200000000001</v>
      </c>
    </row>
    <row r="33" spans="1:12" s="1" customFormat="1" ht="14.25" customHeight="1" x14ac:dyDescent="0.2">
      <c r="A33" s="82">
        <f>'$ VOLS'!G135</f>
        <v>5.13</v>
      </c>
      <c r="B33" s="21">
        <f t="shared" si="6"/>
        <v>36972</v>
      </c>
      <c r="C33" s="9">
        <v>1189</v>
      </c>
      <c r="D33" s="9">
        <v>1188</v>
      </c>
      <c r="E33" s="172">
        <v>564</v>
      </c>
      <c r="F33" s="6">
        <f t="shared" si="0"/>
        <v>52.800000000000004</v>
      </c>
      <c r="G33" s="6">
        <f t="shared" si="1"/>
        <v>511.2</v>
      </c>
      <c r="H33" s="6">
        <f t="shared" si="2"/>
        <v>0</v>
      </c>
      <c r="I33" s="67">
        <f t="shared" si="3"/>
        <v>5.0083000000000002</v>
      </c>
      <c r="J33" s="40">
        <f t="shared" si="4"/>
        <v>2560.24296</v>
      </c>
      <c r="K33" s="33">
        <f t="shared" si="5"/>
        <v>0</v>
      </c>
      <c r="L33" s="80">
        <f t="shared" si="7"/>
        <v>592.76400000000001</v>
      </c>
    </row>
    <row r="34" spans="1:12" s="1" customFormat="1" ht="14.25" customHeight="1" x14ac:dyDescent="0.2">
      <c r="A34" s="82">
        <f>'$ VOLS'!G136</f>
        <v>4.9749999999999996</v>
      </c>
      <c r="B34" s="21">
        <f t="shared" si="6"/>
        <v>36973</v>
      </c>
      <c r="C34" s="9">
        <v>2624</v>
      </c>
      <c r="D34" s="9">
        <v>2624</v>
      </c>
      <c r="E34" s="172">
        <v>566</v>
      </c>
      <c r="F34" s="6">
        <f t="shared" si="0"/>
        <v>52.800000000000004</v>
      </c>
      <c r="G34" s="6">
        <f t="shared" si="1"/>
        <v>513.20000000000005</v>
      </c>
      <c r="H34" s="6">
        <f t="shared" si="2"/>
        <v>0</v>
      </c>
      <c r="I34" s="67">
        <f t="shared" si="3"/>
        <v>4.8566000000000003</v>
      </c>
      <c r="J34" s="40">
        <f t="shared" si="4"/>
        <v>2492.4071200000003</v>
      </c>
      <c r="K34" s="33">
        <f t="shared" si="5"/>
        <v>0</v>
      </c>
      <c r="L34" s="80">
        <f t="shared" si="7"/>
        <v>594.86599999999999</v>
      </c>
    </row>
    <row r="35" spans="1:12" s="1" customFormat="1" ht="14.25" customHeight="1" x14ac:dyDescent="0.2">
      <c r="A35" s="82">
        <f>'$ VOLS'!G137</f>
        <v>5.2</v>
      </c>
      <c r="B35" s="21">
        <f t="shared" si="6"/>
        <v>36974</v>
      </c>
      <c r="C35" s="9">
        <v>2579</v>
      </c>
      <c r="D35" s="9">
        <v>2578</v>
      </c>
      <c r="E35" s="172">
        <v>568</v>
      </c>
      <c r="F35" s="6">
        <f t="shared" si="0"/>
        <v>52.800000000000004</v>
      </c>
      <c r="G35" s="6">
        <f t="shared" si="1"/>
        <v>515.20000000000005</v>
      </c>
      <c r="H35" s="6">
        <f t="shared" si="2"/>
        <v>0</v>
      </c>
      <c r="I35" s="67">
        <f t="shared" si="3"/>
        <v>5.0768000000000004</v>
      </c>
      <c r="J35" s="40">
        <f t="shared" si="4"/>
        <v>2615.5673600000005</v>
      </c>
      <c r="K35" s="33">
        <f t="shared" si="5"/>
        <v>0</v>
      </c>
      <c r="L35" s="80">
        <f t="shared" si="7"/>
        <v>596.96799999999996</v>
      </c>
    </row>
    <row r="36" spans="1:12" s="1" customFormat="1" ht="14.25" customHeight="1" x14ac:dyDescent="0.2">
      <c r="A36" s="82">
        <f>'$ VOLS'!G138</f>
        <v>5.2</v>
      </c>
      <c r="B36" s="21">
        <f t="shared" si="6"/>
        <v>36975</v>
      </c>
      <c r="C36" s="9">
        <v>2559</v>
      </c>
      <c r="D36" s="9">
        <v>2558</v>
      </c>
      <c r="E36" s="172">
        <v>562</v>
      </c>
      <c r="F36" s="6">
        <f t="shared" si="0"/>
        <v>52.800000000000004</v>
      </c>
      <c r="G36" s="6">
        <f t="shared" si="1"/>
        <v>509.2</v>
      </c>
      <c r="H36" s="6">
        <f t="shared" si="2"/>
        <v>0</v>
      </c>
      <c r="I36" s="67">
        <f t="shared" si="3"/>
        <v>5.0768000000000004</v>
      </c>
      <c r="J36" s="40">
        <f t="shared" si="4"/>
        <v>2585.1065600000002</v>
      </c>
      <c r="K36" s="33">
        <f t="shared" si="5"/>
        <v>0</v>
      </c>
      <c r="L36" s="80">
        <f t="shared" si="7"/>
        <v>590.66199999999992</v>
      </c>
    </row>
    <row r="37" spans="1:12" s="1" customFormat="1" ht="14.25" customHeight="1" x14ac:dyDescent="0.2">
      <c r="A37" s="82">
        <f>'$ VOLS'!G139</f>
        <v>5.2</v>
      </c>
      <c r="B37" s="21">
        <f t="shared" si="6"/>
        <v>36976</v>
      </c>
      <c r="C37" s="9">
        <v>2430</v>
      </c>
      <c r="D37" s="9">
        <v>2430</v>
      </c>
      <c r="E37" s="172">
        <v>557</v>
      </c>
      <c r="F37" s="6">
        <f t="shared" si="0"/>
        <v>52.800000000000004</v>
      </c>
      <c r="G37" s="6">
        <f t="shared" si="1"/>
        <v>504.2</v>
      </c>
      <c r="H37" s="6">
        <f t="shared" si="2"/>
        <v>0</v>
      </c>
      <c r="I37" s="67">
        <f t="shared" si="3"/>
        <v>5.0768000000000004</v>
      </c>
      <c r="J37" s="40">
        <f t="shared" si="4"/>
        <v>2559.7225600000002</v>
      </c>
      <c r="K37" s="33">
        <f t="shared" si="5"/>
        <v>0</v>
      </c>
      <c r="L37" s="80">
        <f t="shared" si="7"/>
        <v>585.40699999999993</v>
      </c>
    </row>
    <row r="38" spans="1:12" s="1" customFormat="1" ht="14.25" customHeight="1" x14ac:dyDescent="0.2">
      <c r="A38" s="82">
        <f>'$ VOLS'!G140</f>
        <v>5.1749999999999998</v>
      </c>
      <c r="B38" s="21">
        <f t="shared" si="6"/>
        <v>36977</v>
      </c>
      <c r="C38" s="9">
        <v>2405</v>
      </c>
      <c r="D38" s="9">
        <v>2404</v>
      </c>
      <c r="E38" s="172">
        <v>513</v>
      </c>
      <c r="F38" s="6">
        <f t="shared" si="0"/>
        <v>52.800000000000004</v>
      </c>
      <c r="G38" s="6">
        <f t="shared" si="1"/>
        <v>460.2</v>
      </c>
      <c r="H38" s="6">
        <f t="shared" si="2"/>
        <v>0</v>
      </c>
      <c r="I38" s="67">
        <f t="shared" si="3"/>
        <v>5.0523999999999996</v>
      </c>
      <c r="J38" s="40">
        <f t="shared" si="4"/>
        <v>2325.1144799999997</v>
      </c>
      <c r="K38" s="33">
        <f t="shared" si="5"/>
        <v>0</v>
      </c>
      <c r="L38" s="80">
        <f t="shared" si="7"/>
        <v>539.16300000000001</v>
      </c>
    </row>
    <row r="39" spans="1:12" s="1" customFormat="1" ht="14.25" customHeight="1" x14ac:dyDescent="0.2">
      <c r="A39" s="82">
        <f>'$ VOLS'!G141</f>
        <v>5.3650000000000002</v>
      </c>
      <c r="B39" s="21">
        <f t="shared" si="6"/>
        <v>36978</v>
      </c>
      <c r="C39" s="9">
        <v>2384</v>
      </c>
      <c r="D39" s="9">
        <v>2384</v>
      </c>
      <c r="E39" s="172">
        <v>504</v>
      </c>
      <c r="F39" s="6">
        <f t="shared" si="0"/>
        <v>52.800000000000004</v>
      </c>
      <c r="G39" s="6">
        <f t="shared" si="1"/>
        <v>451.2</v>
      </c>
      <c r="H39" s="6">
        <f t="shared" si="2"/>
        <v>0</v>
      </c>
      <c r="I39" s="67">
        <f t="shared" si="3"/>
        <v>5.2382999999999997</v>
      </c>
      <c r="J39" s="40">
        <f t="shared" si="4"/>
        <v>2363.5209599999998</v>
      </c>
      <c r="K39" s="33">
        <f t="shared" si="5"/>
        <v>0</v>
      </c>
      <c r="L39" s="80">
        <f t="shared" si="7"/>
        <v>529.70399999999995</v>
      </c>
    </row>
    <row r="40" spans="1:12" s="1" customFormat="1" ht="14.25" customHeight="1" x14ac:dyDescent="0.2">
      <c r="A40" s="82">
        <f>'$ VOLS'!G142</f>
        <v>5.5449999999999999</v>
      </c>
      <c r="B40" s="21">
        <f t="shared" si="6"/>
        <v>36979</v>
      </c>
      <c r="C40" s="9">
        <v>2412</v>
      </c>
      <c r="D40" s="9">
        <v>2412</v>
      </c>
      <c r="E40" s="172">
        <v>559</v>
      </c>
      <c r="F40" s="6">
        <f t="shared" si="0"/>
        <v>52.800000000000004</v>
      </c>
      <c r="G40" s="6">
        <f t="shared" si="1"/>
        <v>506.2</v>
      </c>
      <c r="H40" s="6">
        <f t="shared" si="2"/>
        <v>0</v>
      </c>
      <c r="I40" s="67">
        <f t="shared" si="3"/>
        <v>5.4145000000000003</v>
      </c>
      <c r="J40" s="40">
        <f t="shared" si="4"/>
        <v>2740.8199</v>
      </c>
      <c r="K40" s="33">
        <f t="shared" si="5"/>
        <v>0</v>
      </c>
      <c r="L40" s="80">
        <f t="shared" si="7"/>
        <v>587.50900000000001</v>
      </c>
    </row>
    <row r="41" spans="1:12" s="1" customFormat="1" ht="14.25" customHeight="1" x14ac:dyDescent="0.2">
      <c r="A41" s="82">
        <f>'$ VOLS'!G143</f>
        <v>5.3</v>
      </c>
      <c r="B41" s="21">
        <f>+B40+1</f>
        <v>36980</v>
      </c>
      <c r="C41" s="9"/>
      <c r="D41" s="9"/>
      <c r="E41" s="172">
        <v>553</v>
      </c>
      <c r="F41" s="6">
        <f t="shared" si="0"/>
        <v>52.800000000000004</v>
      </c>
      <c r="G41" s="6">
        <f t="shared" si="1"/>
        <v>500.2</v>
      </c>
      <c r="H41" s="6">
        <f t="shared" si="2"/>
        <v>0</v>
      </c>
      <c r="I41" s="67">
        <f t="shared" si="3"/>
        <v>5.1746999999999996</v>
      </c>
      <c r="J41" s="40">
        <f t="shared" si="4"/>
        <v>2588.3849399999999</v>
      </c>
      <c r="K41" s="33">
        <f t="shared" si="5"/>
        <v>0</v>
      </c>
      <c r="L41" s="80">
        <f t="shared" si="7"/>
        <v>581.20299999999997</v>
      </c>
    </row>
    <row r="42" spans="1:12" s="1" customFormat="1" ht="14.25" customHeight="1" x14ac:dyDescent="0.2">
      <c r="A42" s="82">
        <f>'$ VOLS'!G144</f>
        <v>5.3</v>
      </c>
      <c r="B42" s="21">
        <f>+B41+1</f>
        <v>36981</v>
      </c>
      <c r="C42" s="9"/>
      <c r="D42" s="9"/>
      <c r="E42" s="183">
        <v>509</v>
      </c>
      <c r="F42" s="6">
        <f t="shared" si="0"/>
        <v>52.800000000000004</v>
      </c>
      <c r="G42" s="6">
        <f t="shared" si="1"/>
        <v>456.2</v>
      </c>
      <c r="H42" s="6">
        <f>IF(E41&lt;$F$8,$F$8-E41,0)</f>
        <v>0</v>
      </c>
      <c r="I42" s="67">
        <f t="shared" si="3"/>
        <v>5.1746999999999996</v>
      </c>
      <c r="J42" s="40">
        <f t="shared" si="4"/>
        <v>2360.69814</v>
      </c>
      <c r="K42" s="33">
        <f t="shared" si="5"/>
        <v>0</v>
      </c>
      <c r="L42" s="80">
        <f t="shared" si="7"/>
        <v>534.95899999999995</v>
      </c>
    </row>
    <row r="43" spans="1:12" s="1" customFormat="1" ht="14.25" x14ac:dyDescent="0.2">
      <c r="A43" s="85">
        <f>AVERAGE(A12:A42)</f>
        <v>5.124677419354839</v>
      </c>
      <c r="B43" s="21" t="s">
        <v>104</v>
      </c>
      <c r="C43" s="30">
        <f>SUM(C12:C40)</f>
        <v>37080</v>
      </c>
      <c r="D43" s="30">
        <f>SUM(D12:D40)</f>
        <v>37076</v>
      </c>
      <c r="E43" s="175">
        <f>SUM(E12:E42)</f>
        <v>15743</v>
      </c>
      <c r="F43" s="30">
        <f>SUM(F12:F42)</f>
        <v>1375.7999999999993</v>
      </c>
      <c r="G43" s="30">
        <f>SUM(G12:G42)</f>
        <v>14367.200000000008</v>
      </c>
      <c r="H43" s="30">
        <f>SUM(H12:H42)</f>
        <v>213</v>
      </c>
      <c r="I43" s="85">
        <f>AVERAGE(I12:I42)</f>
        <v>5.0031032258064529</v>
      </c>
      <c r="J43" s="112">
        <f>SUM(J12:J42)</f>
        <v>71857.815040000001</v>
      </c>
      <c r="K43" s="79">
        <f>SUM(K12:K42)</f>
        <v>-37.915399999999984</v>
      </c>
      <c r="L43" s="5"/>
    </row>
    <row r="44" spans="1:12" s="1" customFormat="1" ht="12.75" x14ac:dyDescent="0.2">
      <c r="A44" s="83"/>
      <c r="B44" s="2"/>
      <c r="C44" s="28">
        <v>37080</v>
      </c>
      <c r="D44" s="28">
        <v>37076</v>
      </c>
      <c r="E44" s="171">
        <f>F43+G43</f>
        <v>15743.000000000007</v>
      </c>
      <c r="F44" s="42" t="s">
        <v>0</v>
      </c>
      <c r="G44" s="14" t="s">
        <v>0</v>
      </c>
      <c r="H44" s="28" t="s">
        <v>0</v>
      </c>
      <c r="I44" s="43" t="s">
        <v>0</v>
      </c>
      <c r="K44" s="31"/>
    </row>
    <row r="45" spans="1:12" s="1" customFormat="1" ht="14.25" x14ac:dyDescent="0.2">
      <c r="A45" s="83"/>
      <c r="B45" s="2" t="s">
        <v>0</v>
      </c>
      <c r="C45" s="28">
        <f>+C44-C43</f>
        <v>0</v>
      </c>
      <c r="D45" s="28">
        <f>+D44-D43</f>
        <v>0</v>
      </c>
      <c r="E45" s="171">
        <f>+E44-E43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">
      <c r="A46" s="83"/>
      <c r="E46" s="171"/>
      <c r="K46" s="31"/>
    </row>
    <row r="47" spans="1:12" s="1" customFormat="1" ht="14.25" x14ac:dyDescent="0.2">
      <c r="A47" s="83"/>
      <c r="B47" s="2"/>
      <c r="C47" s="2"/>
      <c r="D47" s="2"/>
      <c r="E47" s="175" t="s">
        <v>6</v>
      </c>
      <c r="F47" s="3"/>
      <c r="G47" s="23">
        <f>+F43</f>
        <v>1375.7999999999993</v>
      </c>
      <c r="H47" s="24">
        <f>'$ VOLS'!E18</f>
        <v>4.7957000000000001</v>
      </c>
      <c r="I47" s="17">
        <f>+H47*F43</f>
        <v>6597.9240599999966</v>
      </c>
      <c r="J47" s="45" t="s">
        <v>22</v>
      </c>
      <c r="K47" s="46">
        <f>+'$ VOLS'!C74</f>
        <v>1.32E-2</v>
      </c>
    </row>
    <row r="48" spans="1:12" s="1" customFormat="1" ht="14.25" x14ac:dyDescent="0.2">
      <c r="A48" s="83"/>
      <c r="B48" s="2"/>
      <c r="C48" s="2"/>
      <c r="D48" s="2"/>
      <c r="E48" s="175" t="s">
        <v>17</v>
      </c>
      <c r="F48" s="3"/>
      <c r="G48" s="23">
        <f>+G43</f>
        <v>14367.200000000008</v>
      </c>
      <c r="H48" s="3"/>
      <c r="I48" s="17">
        <f>+J43</f>
        <v>71857.815040000001</v>
      </c>
      <c r="J48" s="31" t="s">
        <v>23</v>
      </c>
      <c r="K48" s="47">
        <f>+'$ VOLS'!C75</f>
        <v>2.12E-2</v>
      </c>
    </row>
    <row r="49" spans="1:11" s="1" customFormat="1" ht="14.25" x14ac:dyDescent="0.2">
      <c r="A49" s="83"/>
      <c r="B49" s="2"/>
      <c r="C49" s="2"/>
      <c r="D49" s="2"/>
      <c r="E49" s="175" t="s">
        <v>19</v>
      </c>
      <c r="F49" s="3"/>
      <c r="G49" s="25"/>
      <c r="H49" s="3"/>
      <c r="I49" s="27">
        <f>+K43</f>
        <v>-37.915399999999984</v>
      </c>
      <c r="K49" s="31"/>
    </row>
    <row r="50" spans="1:11" s="1" customFormat="1" ht="15" thickBot="1" x14ac:dyDescent="0.25">
      <c r="A50" s="83"/>
      <c r="B50" s="2"/>
      <c r="C50" s="2"/>
      <c r="D50" s="2"/>
      <c r="E50" s="175"/>
      <c r="F50" s="3"/>
      <c r="G50" s="23">
        <f>SUM(G47:G49)</f>
        <v>15743.000000000007</v>
      </c>
      <c r="H50" s="41">
        <f>+I50/G50</f>
        <v>4.9811232738359879</v>
      </c>
      <c r="I50" s="26">
        <f>SUM(I47:I49)</f>
        <v>78417.823699999994</v>
      </c>
      <c r="J50" s="37"/>
      <c r="K50" s="31"/>
    </row>
    <row r="51" spans="1:11" s="1" customFormat="1" ht="13.5" thickTop="1" x14ac:dyDescent="0.2">
      <c r="A51" s="83"/>
      <c r="B51" s="2" t="s">
        <v>0</v>
      </c>
      <c r="C51" s="2"/>
      <c r="D51" s="2"/>
      <c r="E51" s="171"/>
      <c r="K51" s="31"/>
    </row>
    <row r="52" spans="1:11" s="8" customFormat="1" ht="12" customHeight="1" x14ac:dyDescent="0.2">
      <c r="B52" s="7"/>
      <c r="C52" s="7"/>
      <c r="D52" s="7"/>
      <c r="E52" s="172" t="s">
        <v>0</v>
      </c>
      <c r="F52" s="5"/>
      <c r="G52" s="5"/>
      <c r="H52" s="5"/>
      <c r="I52" s="44" t="s">
        <v>0</v>
      </c>
      <c r="K52" s="35"/>
    </row>
    <row r="53" spans="1:11" s="5" customFormat="1" ht="12" customHeight="1" x14ac:dyDescent="0.2">
      <c r="A53" s="8"/>
      <c r="B53" s="7"/>
      <c r="C53" s="7"/>
      <c r="D53" s="7"/>
      <c r="E53" s="172" t="s">
        <v>0</v>
      </c>
      <c r="I53" s="5" t="s">
        <v>0</v>
      </c>
      <c r="K53" s="34"/>
    </row>
    <row r="54" spans="1:11" x14ac:dyDescent="0.15">
      <c r="E54" s="180" t="s">
        <v>0</v>
      </c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" workbookViewId="0">
      <selection activeCell="C54" sqref="C54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25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A4" s="84"/>
      <c r="B4" s="81">
        <f>+'$ VOLS'!B6</f>
        <v>36951</v>
      </c>
      <c r="C4" s="172"/>
      <c r="D4" s="5"/>
      <c r="E4" s="68" t="s">
        <v>0</v>
      </c>
      <c r="F4" s="5"/>
      <c r="G4" s="5" t="s">
        <v>0</v>
      </c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VOLS'!G20</f>
        <v>1237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1360.7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1113.3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">
      <c r="A12" s="82">
        <f>'$ VOLS'!C114</f>
        <v>5.18</v>
      </c>
      <c r="B12" s="21">
        <v>36951</v>
      </c>
      <c r="C12" s="172">
        <v>2287</v>
      </c>
      <c r="D12" s="6">
        <f t="shared" ref="D12:D42" si="0">IF(C12&gt;$D$7,$D$7,C12)</f>
        <v>1360.7</v>
      </c>
      <c r="E12" s="6">
        <f t="shared" ref="E12:E42" si="1">IF(C12&gt;$D$7,C12-D12,0)</f>
        <v>926.3</v>
      </c>
      <c r="F12" s="6">
        <f t="shared" ref="F12:F41" si="2">IF(C12&lt;$D$8,$D$8-C12,0)</f>
        <v>0</v>
      </c>
      <c r="G12" s="67">
        <f t="shared" ref="G12:G42" si="3">ROUND(A12-$J$47-(A12-$J$47)*$J$48,4)</f>
        <v>5.0800999999999998</v>
      </c>
      <c r="H12" s="40">
        <f t="shared" ref="H12:H42" si="4">+G12*E12</f>
        <v>4705.6966299999995</v>
      </c>
      <c r="I12" s="33">
        <f t="shared" ref="I12:I42" si="5">IF(G12&gt;$F$47,($F$47-G12)*F12,0)</f>
        <v>0</v>
      </c>
      <c r="J12" s="80">
        <f>C12*$J$11</f>
        <v>2335.0269999999996</v>
      </c>
    </row>
    <row r="13" spans="1:10" s="5" customFormat="1" ht="14.25" customHeight="1" x14ac:dyDescent="0.2">
      <c r="A13" s="82">
        <f>'$ VOLS'!C115</f>
        <v>5.1050000000000004</v>
      </c>
      <c r="B13" s="21">
        <f t="shared" ref="B13:B40" si="6">+B12+1</f>
        <v>36952</v>
      </c>
      <c r="C13" s="172">
        <v>2931</v>
      </c>
      <c r="D13" s="6">
        <f t="shared" si="0"/>
        <v>1360.7</v>
      </c>
      <c r="E13" s="6">
        <f t="shared" si="1"/>
        <v>1570.3</v>
      </c>
      <c r="F13" s="6">
        <f t="shared" si="2"/>
        <v>0</v>
      </c>
      <c r="G13" s="67">
        <f t="shared" si="3"/>
        <v>5.0054999999999996</v>
      </c>
      <c r="H13" s="40">
        <f t="shared" si="4"/>
        <v>7860.1366499999995</v>
      </c>
      <c r="I13" s="33">
        <f t="shared" si="5"/>
        <v>0</v>
      </c>
      <c r="J13" s="80">
        <f t="shared" ref="J13:J42" si="7">C13*$J$11</f>
        <v>2992.5509999999999</v>
      </c>
    </row>
    <row r="14" spans="1:10" s="5" customFormat="1" ht="14.25" customHeight="1" x14ac:dyDescent="0.2">
      <c r="A14" s="82">
        <f>'$ VOLS'!C116</f>
        <v>5.13</v>
      </c>
      <c r="B14" s="21">
        <f t="shared" si="6"/>
        <v>36953</v>
      </c>
      <c r="C14" s="172">
        <v>2940</v>
      </c>
      <c r="D14" s="6">
        <f t="shared" si="0"/>
        <v>1360.7</v>
      </c>
      <c r="E14" s="6">
        <f t="shared" si="1"/>
        <v>1579.3</v>
      </c>
      <c r="F14" s="6">
        <f t="shared" si="2"/>
        <v>0</v>
      </c>
      <c r="G14" s="67">
        <f t="shared" si="3"/>
        <v>5.0304000000000002</v>
      </c>
      <c r="H14" s="40">
        <f t="shared" si="4"/>
        <v>7944.5107200000002</v>
      </c>
      <c r="I14" s="33">
        <f t="shared" si="5"/>
        <v>0</v>
      </c>
      <c r="J14" s="80">
        <f t="shared" si="7"/>
        <v>3001.74</v>
      </c>
    </row>
    <row r="15" spans="1:10" s="5" customFormat="1" ht="14.25" customHeight="1" x14ac:dyDescent="0.2">
      <c r="A15" s="82">
        <f>'$ VOLS'!C117</f>
        <v>5.13</v>
      </c>
      <c r="B15" s="21">
        <f t="shared" si="6"/>
        <v>36954</v>
      </c>
      <c r="C15" s="172">
        <v>4125</v>
      </c>
      <c r="D15" s="6">
        <f t="shared" si="0"/>
        <v>1360.7</v>
      </c>
      <c r="E15" s="6">
        <f t="shared" si="1"/>
        <v>2764.3</v>
      </c>
      <c r="F15" s="6">
        <f t="shared" si="2"/>
        <v>0</v>
      </c>
      <c r="G15" s="67">
        <f t="shared" si="3"/>
        <v>5.0304000000000002</v>
      </c>
      <c r="H15" s="40">
        <f t="shared" si="4"/>
        <v>13905.534720000001</v>
      </c>
      <c r="I15" s="33">
        <f t="shared" si="5"/>
        <v>0</v>
      </c>
      <c r="J15" s="80">
        <f t="shared" si="7"/>
        <v>4211.625</v>
      </c>
    </row>
    <row r="16" spans="1:10" s="5" customFormat="1" ht="14.25" customHeight="1" x14ac:dyDescent="0.2">
      <c r="A16" s="82">
        <f>'$ VOLS'!C118</f>
        <v>5.13</v>
      </c>
      <c r="B16" s="21">
        <f t="shared" si="6"/>
        <v>36955</v>
      </c>
      <c r="C16" s="172">
        <v>4125</v>
      </c>
      <c r="D16" s="6">
        <f t="shared" si="0"/>
        <v>1360.7</v>
      </c>
      <c r="E16" s="6">
        <f t="shared" si="1"/>
        <v>2764.3</v>
      </c>
      <c r="F16" s="6">
        <f t="shared" si="2"/>
        <v>0</v>
      </c>
      <c r="G16" s="67">
        <f t="shared" si="3"/>
        <v>5.0304000000000002</v>
      </c>
      <c r="H16" s="40">
        <f t="shared" si="4"/>
        <v>13905.534720000001</v>
      </c>
      <c r="I16" s="33">
        <f t="shared" si="5"/>
        <v>0</v>
      </c>
      <c r="J16" s="80">
        <f t="shared" si="7"/>
        <v>4211.625</v>
      </c>
    </row>
    <row r="17" spans="1:10" s="5" customFormat="1" ht="14.25" customHeight="1" x14ac:dyDescent="0.2">
      <c r="A17" s="82">
        <f>'$ VOLS'!C119</f>
        <v>5.3150000000000004</v>
      </c>
      <c r="B17" s="21">
        <f t="shared" si="6"/>
        <v>36956</v>
      </c>
      <c r="C17" s="172">
        <v>2791</v>
      </c>
      <c r="D17" s="6">
        <f t="shared" si="0"/>
        <v>1360.7</v>
      </c>
      <c r="E17" s="6">
        <f t="shared" si="1"/>
        <v>1430.3</v>
      </c>
      <c r="F17" s="6">
        <f t="shared" si="2"/>
        <v>0</v>
      </c>
      <c r="G17" s="67">
        <f t="shared" si="3"/>
        <v>5.2145000000000001</v>
      </c>
      <c r="H17" s="40">
        <f t="shared" si="4"/>
        <v>7458.2993500000002</v>
      </c>
      <c r="I17" s="33">
        <f t="shared" si="5"/>
        <v>0</v>
      </c>
      <c r="J17" s="80">
        <f t="shared" si="7"/>
        <v>2849.6109999999999</v>
      </c>
    </row>
    <row r="18" spans="1:10" s="5" customFormat="1" ht="14.25" customHeight="1" x14ac:dyDescent="0.2">
      <c r="A18" s="82">
        <f>'$ VOLS'!C120</f>
        <v>5.3150000000000004</v>
      </c>
      <c r="B18" s="21">
        <f t="shared" si="6"/>
        <v>36957</v>
      </c>
      <c r="C18" s="172">
        <v>2791</v>
      </c>
      <c r="D18" s="6">
        <f t="shared" si="0"/>
        <v>1360.7</v>
      </c>
      <c r="E18" s="6">
        <f t="shared" si="1"/>
        <v>1430.3</v>
      </c>
      <c r="F18" s="6">
        <f t="shared" si="2"/>
        <v>0</v>
      </c>
      <c r="G18" s="67">
        <f t="shared" si="3"/>
        <v>5.2145000000000001</v>
      </c>
      <c r="H18" s="40">
        <f t="shared" si="4"/>
        <v>7458.2993500000002</v>
      </c>
      <c r="I18" s="33">
        <f t="shared" si="5"/>
        <v>0</v>
      </c>
      <c r="J18" s="80">
        <f t="shared" si="7"/>
        <v>2849.6109999999999</v>
      </c>
    </row>
    <row r="19" spans="1:10" s="5" customFormat="1" ht="14.25" customHeight="1" x14ac:dyDescent="0.2">
      <c r="A19" s="82">
        <f>'$ VOLS'!C121</f>
        <v>5.28</v>
      </c>
      <c r="B19" s="21">
        <f t="shared" si="6"/>
        <v>36958</v>
      </c>
      <c r="C19" s="172">
        <v>2791</v>
      </c>
      <c r="D19" s="6">
        <f t="shared" si="0"/>
        <v>1360.7</v>
      </c>
      <c r="E19" s="6">
        <f t="shared" si="1"/>
        <v>1430.3</v>
      </c>
      <c r="F19" s="6">
        <f t="shared" si="2"/>
        <v>0</v>
      </c>
      <c r="G19" s="67">
        <f t="shared" si="3"/>
        <v>5.1797000000000004</v>
      </c>
      <c r="H19" s="40">
        <f t="shared" si="4"/>
        <v>7408.5249100000001</v>
      </c>
      <c r="I19" s="33">
        <f t="shared" si="5"/>
        <v>0</v>
      </c>
      <c r="J19" s="80">
        <f t="shared" si="7"/>
        <v>2849.6109999999999</v>
      </c>
    </row>
    <row r="20" spans="1:10" s="5" customFormat="1" ht="14.25" customHeight="1" x14ac:dyDescent="0.2">
      <c r="A20" s="82">
        <f>'$ VOLS'!C122</f>
        <v>5.3</v>
      </c>
      <c r="B20" s="21">
        <f t="shared" si="6"/>
        <v>36959</v>
      </c>
      <c r="C20" s="172">
        <v>2791</v>
      </c>
      <c r="D20" s="6">
        <f t="shared" si="0"/>
        <v>1360.7</v>
      </c>
      <c r="E20" s="6">
        <f t="shared" si="1"/>
        <v>1430.3</v>
      </c>
      <c r="F20" s="6">
        <f t="shared" si="2"/>
        <v>0</v>
      </c>
      <c r="G20" s="67">
        <f t="shared" si="3"/>
        <v>5.1996000000000002</v>
      </c>
      <c r="H20" s="40">
        <f t="shared" si="4"/>
        <v>7436.9878799999997</v>
      </c>
      <c r="I20" s="33">
        <f t="shared" si="5"/>
        <v>0</v>
      </c>
      <c r="J20" s="80">
        <f t="shared" si="7"/>
        <v>2849.6109999999999</v>
      </c>
    </row>
    <row r="21" spans="1:10" s="5" customFormat="1" ht="14.25" customHeight="1" x14ac:dyDescent="0.2">
      <c r="A21" s="82">
        <f>'$ VOLS'!C123</f>
        <v>5.19</v>
      </c>
      <c r="B21" s="21">
        <f t="shared" si="6"/>
        <v>36960</v>
      </c>
      <c r="C21" s="172">
        <v>2791</v>
      </c>
      <c r="D21" s="6">
        <f t="shared" si="0"/>
        <v>1360.7</v>
      </c>
      <c r="E21" s="6">
        <f t="shared" si="1"/>
        <v>1430.3</v>
      </c>
      <c r="F21" s="6">
        <f t="shared" si="2"/>
        <v>0</v>
      </c>
      <c r="G21" s="67">
        <f t="shared" si="3"/>
        <v>5.0900999999999996</v>
      </c>
      <c r="H21" s="40">
        <f t="shared" si="4"/>
        <v>7280.3700299999991</v>
      </c>
      <c r="I21" s="33">
        <f t="shared" si="5"/>
        <v>0</v>
      </c>
      <c r="J21" s="80">
        <f t="shared" si="7"/>
        <v>2849.6109999999999</v>
      </c>
    </row>
    <row r="22" spans="1:10" s="1" customFormat="1" ht="14.25" customHeight="1" x14ac:dyDescent="0.2">
      <c r="A22" s="82">
        <f>'$ VOLS'!C124</f>
        <v>5.19</v>
      </c>
      <c r="B22" s="21">
        <f t="shared" si="6"/>
        <v>36961</v>
      </c>
      <c r="C22" s="172">
        <v>2791</v>
      </c>
      <c r="D22" s="6">
        <f t="shared" si="0"/>
        <v>1360.7</v>
      </c>
      <c r="E22" s="6">
        <f t="shared" si="1"/>
        <v>1430.3</v>
      </c>
      <c r="F22" s="6">
        <f t="shared" si="2"/>
        <v>0</v>
      </c>
      <c r="G22" s="67">
        <f t="shared" si="3"/>
        <v>5.0900999999999996</v>
      </c>
      <c r="H22" s="40">
        <f t="shared" si="4"/>
        <v>7280.3700299999991</v>
      </c>
      <c r="I22" s="33">
        <f t="shared" si="5"/>
        <v>0</v>
      </c>
      <c r="J22" s="80">
        <f t="shared" si="7"/>
        <v>2849.6109999999999</v>
      </c>
    </row>
    <row r="23" spans="1:10" s="1" customFormat="1" ht="14.25" customHeight="1" x14ac:dyDescent="0.2">
      <c r="A23" s="82">
        <f>'$ VOLS'!C125</f>
        <v>5.19</v>
      </c>
      <c r="B23" s="21">
        <f t="shared" si="6"/>
        <v>36962</v>
      </c>
      <c r="C23" s="172">
        <v>2791</v>
      </c>
      <c r="D23" s="6">
        <f t="shared" si="0"/>
        <v>1360.7</v>
      </c>
      <c r="E23" s="6">
        <f t="shared" si="1"/>
        <v>1430.3</v>
      </c>
      <c r="F23" s="6">
        <f t="shared" si="2"/>
        <v>0</v>
      </c>
      <c r="G23" s="67">
        <f t="shared" si="3"/>
        <v>5.0900999999999996</v>
      </c>
      <c r="H23" s="40">
        <f t="shared" si="4"/>
        <v>7280.3700299999991</v>
      </c>
      <c r="I23" s="33">
        <f t="shared" si="5"/>
        <v>0</v>
      </c>
      <c r="J23" s="80">
        <f t="shared" si="7"/>
        <v>2849.6109999999999</v>
      </c>
    </row>
    <row r="24" spans="1:10" s="5" customFormat="1" ht="14.25" customHeight="1" x14ac:dyDescent="0.2">
      <c r="A24" s="82">
        <f>'$ VOLS'!C126</f>
        <v>5.0199999999999996</v>
      </c>
      <c r="B24" s="21">
        <f t="shared" si="6"/>
        <v>36963</v>
      </c>
      <c r="C24" s="172">
        <v>2791</v>
      </c>
      <c r="D24" s="6">
        <f t="shared" si="0"/>
        <v>1360.7</v>
      </c>
      <c r="E24" s="6">
        <f t="shared" si="1"/>
        <v>1430.3</v>
      </c>
      <c r="F24" s="6">
        <f t="shared" si="2"/>
        <v>0</v>
      </c>
      <c r="G24" s="67">
        <f t="shared" si="3"/>
        <v>4.9208999999999996</v>
      </c>
      <c r="H24" s="40">
        <f t="shared" si="4"/>
        <v>7038.3632699999989</v>
      </c>
      <c r="I24" s="33">
        <f t="shared" si="5"/>
        <v>0</v>
      </c>
      <c r="J24" s="80">
        <f t="shared" si="7"/>
        <v>2849.6109999999999</v>
      </c>
    </row>
    <row r="25" spans="1:10" s="1" customFormat="1" ht="14.25" customHeight="1" x14ac:dyDescent="0.2">
      <c r="A25" s="82">
        <f>'$ VOLS'!C127</f>
        <v>5.125</v>
      </c>
      <c r="B25" s="21">
        <f t="shared" si="6"/>
        <v>36964</v>
      </c>
      <c r="C25" s="172">
        <v>2791</v>
      </c>
      <c r="D25" s="6">
        <f t="shared" si="0"/>
        <v>1360.7</v>
      </c>
      <c r="E25" s="6">
        <f t="shared" si="1"/>
        <v>1430.3</v>
      </c>
      <c r="F25" s="6">
        <f t="shared" si="2"/>
        <v>0</v>
      </c>
      <c r="G25" s="67">
        <f t="shared" si="3"/>
        <v>5.0254000000000003</v>
      </c>
      <c r="H25" s="40">
        <f t="shared" si="4"/>
        <v>7187.8296200000004</v>
      </c>
      <c r="I25" s="33">
        <f t="shared" si="5"/>
        <v>0</v>
      </c>
      <c r="J25" s="80">
        <f t="shared" si="7"/>
        <v>2849.6109999999999</v>
      </c>
    </row>
    <row r="26" spans="1:10" s="1" customFormat="1" ht="14.25" customHeight="1" x14ac:dyDescent="0.2">
      <c r="A26" s="82">
        <f>'$ VOLS'!C128</f>
        <v>5.0250000000000004</v>
      </c>
      <c r="B26" s="21">
        <f t="shared" si="6"/>
        <v>36965</v>
      </c>
      <c r="C26" s="172">
        <v>2791</v>
      </c>
      <c r="D26" s="6">
        <f t="shared" si="0"/>
        <v>1360.7</v>
      </c>
      <c r="E26" s="6">
        <f t="shared" si="1"/>
        <v>1430.3</v>
      </c>
      <c r="F26" s="6">
        <f t="shared" si="2"/>
        <v>0</v>
      </c>
      <c r="G26" s="67">
        <f t="shared" si="3"/>
        <v>4.9257999999999997</v>
      </c>
      <c r="H26" s="40">
        <f t="shared" si="4"/>
        <v>7045.3717399999996</v>
      </c>
      <c r="I26" s="33">
        <f t="shared" si="5"/>
        <v>0</v>
      </c>
      <c r="J26" s="80">
        <f t="shared" si="7"/>
        <v>2849.6109999999999</v>
      </c>
    </row>
    <row r="27" spans="1:10" s="1" customFormat="1" ht="14.25" customHeight="1" x14ac:dyDescent="0.2">
      <c r="A27" s="82">
        <f>'$ VOLS'!C129</f>
        <v>4.9400000000000004</v>
      </c>
      <c r="B27" s="21">
        <f t="shared" si="6"/>
        <v>36966</v>
      </c>
      <c r="C27" s="172">
        <v>2791</v>
      </c>
      <c r="D27" s="6">
        <f t="shared" si="0"/>
        <v>1360.7</v>
      </c>
      <c r="E27" s="6">
        <f t="shared" si="1"/>
        <v>1430.3</v>
      </c>
      <c r="F27" s="6">
        <f t="shared" si="2"/>
        <v>0</v>
      </c>
      <c r="G27" s="67">
        <f t="shared" si="3"/>
        <v>4.8411999999999997</v>
      </c>
      <c r="H27" s="40">
        <f t="shared" si="4"/>
        <v>6924.3683599999995</v>
      </c>
      <c r="I27" s="33">
        <f t="shared" si="5"/>
        <v>0</v>
      </c>
      <c r="J27" s="80">
        <f t="shared" si="7"/>
        <v>2849.6109999999999</v>
      </c>
    </row>
    <row r="28" spans="1:10" s="1" customFormat="1" ht="14.25" customHeight="1" x14ac:dyDescent="0.2">
      <c r="A28" s="82">
        <f>'$ VOLS'!C130</f>
        <v>4.9749999999999996</v>
      </c>
      <c r="B28" s="21">
        <f t="shared" si="6"/>
        <v>36967</v>
      </c>
      <c r="C28" s="172">
        <v>2729</v>
      </c>
      <c r="D28" s="6">
        <f t="shared" si="0"/>
        <v>1360.7</v>
      </c>
      <c r="E28" s="6">
        <f t="shared" si="1"/>
        <v>1368.3</v>
      </c>
      <c r="F28" s="6">
        <f t="shared" si="2"/>
        <v>0</v>
      </c>
      <c r="G28" s="67">
        <f t="shared" si="3"/>
        <v>4.8761000000000001</v>
      </c>
      <c r="H28" s="40">
        <f t="shared" si="4"/>
        <v>6671.9676300000001</v>
      </c>
      <c r="I28" s="33">
        <f t="shared" si="5"/>
        <v>0</v>
      </c>
      <c r="J28" s="80">
        <f t="shared" si="7"/>
        <v>2786.3089999999997</v>
      </c>
    </row>
    <row r="29" spans="1:10" s="1" customFormat="1" ht="14.25" customHeight="1" x14ac:dyDescent="0.2">
      <c r="A29" s="82">
        <f>'$ VOLS'!C131</f>
        <v>4.9749999999999996</v>
      </c>
      <c r="B29" s="21">
        <f t="shared" si="6"/>
        <v>36968</v>
      </c>
      <c r="C29" s="172">
        <v>2712</v>
      </c>
      <c r="D29" s="6">
        <f t="shared" si="0"/>
        <v>1360.7</v>
      </c>
      <c r="E29" s="6">
        <f t="shared" si="1"/>
        <v>1351.3</v>
      </c>
      <c r="F29" s="6">
        <f t="shared" si="2"/>
        <v>0</v>
      </c>
      <c r="G29" s="67">
        <f t="shared" si="3"/>
        <v>4.8761000000000001</v>
      </c>
      <c r="H29" s="40">
        <f t="shared" si="4"/>
        <v>6589.0739299999996</v>
      </c>
      <c r="I29" s="33">
        <f t="shared" si="5"/>
        <v>0</v>
      </c>
      <c r="J29" s="80">
        <f t="shared" si="7"/>
        <v>2768.9519999999998</v>
      </c>
    </row>
    <row r="30" spans="1:10" s="1" customFormat="1" ht="14.25" customHeight="1" x14ac:dyDescent="0.2">
      <c r="A30" s="82">
        <f>'$ VOLS'!C132</f>
        <v>4.9749999999999996</v>
      </c>
      <c r="B30" s="21">
        <f t="shared" si="6"/>
        <v>36969</v>
      </c>
      <c r="C30" s="172">
        <v>2791</v>
      </c>
      <c r="D30" s="6">
        <f t="shared" si="0"/>
        <v>1360.7</v>
      </c>
      <c r="E30" s="6">
        <f t="shared" si="1"/>
        <v>1430.3</v>
      </c>
      <c r="F30" s="6">
        <f t="shared" si="2"/>
        <v>0</v>
      </c>
      <c r="G30" s="67">
        <f t="shared" si="3"/>
        <v>4.8761000000000001</v>
      </c>
      <c r="H30" s="40">
        <f t="shared" si="4"/>
        <v>6974.2858299999998</v>
      </c>
      <c r="I30" s="33">
        <f t="shared" si="5"/>
        <v>0</v>
      </c>
      <c r="J30" s="80">
        <f t="shared" si="7"/>
        <v>2849.6109999999999</v>
      </c>
    </row>
    <row r="31" spans="1:10" s="1" customFormat="1" ht="14.25" customHeight="1" x14ac:dyDescent="0.2">
      <c r="A31" s="82">
        <f>'$ VOLS'!C133</f>
        <v>5.07</v>
      </c>
      <c r="B31" s="21">
        <f t="shared" si="6"/>
        <v>36970</v>
      </c>
      <c r="C31" s="172">
        <v>2805</v>
      </c>
      <c r="D31" s="6">
        <f t="shared" si="0"/>
        <v>1360.7</v>
      </c>
      <c r="E31" s="6">
        <f t="shared" si="1"/>
        <v>1444.3</v>
      </c>
      <c r="F31" s="6">
        <f>IF(C31&lt;$D$8,$D$8-C31,0)</f>
        <v>0</v>
      </c>
      <c r="G31" s="67">
        <f t="shared" si="3"/>
        <v>4.9706000000000001</v>
      </c>
      <c r="H31" s="40">
        <f t="shared" si="4"/>
        <v>7179.0375800000002</v>
      </c>
      <c r="I31" s="33">
        <f t="shared" si="5"/>
        <v>0</v>
      </c>
      <c r="J31" s="80">
        <f t="shared" si="7"/>
        <v>2863.9049999999997</v>
      </c>
    </row>
    <row r="32" spans="1:10" s="1" customFormat="1" ht="14.25" customHeight="1" x14ac:dyDescent="0.2">
      <c r="A32" s="82">
        <f>'$ VOLS'!C134</f>
        <v>5.0999999999999996</v>
      </c>
      <c r="B32" s="21">
        <f t="shared" si="6"/>
        <v>36971</v>
      </c>
      <c r="C32" s="172">
        <v>2805</v>
      </c>
      <c r="D32" s="6">
        <f t="shared" si="0"/>
        <v>1360.7</v>
      </c>
      <c r="E32" s="6">
        <f t="shared" si="1"/>
        <v>1444.3</v>
      </c>
      <c r="F32" s="6">
        <f t="shared" si="2"/>
        <v>0</v>
      </c>
      <c r="G32" s="67">
        <f t="shared" si="3"/>
        <v>5.0004999999999997</v>
      </c>
      <c r="H32" s="40">
        <f t="shared" si="4"/>
        <v>7222.2221499999996</v>
      </c>
      <c r="I32" s="33">
        <f t="shared" si="5"/>
        <v>0</v>
      </c>
      <c r="J32" s="80">
        <f t="shared" si="7"/>
        <v>2863.9049999999997</v>
      </c>
    </row>
    <row r="33" spans="1:10" s="1" customFormat="1" ht="14.25" customHeight="1" x14ac:dyDescent="0.2">
      <c r="A33" s="82">
        <f>'$ VOLS'!C135</f>
        <v>5.18</v>
      </c>
      <c r="B33" s="21">
        <f t="shared" si="6"/>
        <v>36972</v>
      </c>
      <c r="C33" s="172">
        <v>2805</v>
      </c>
      <c r="D33" s="6">
        <f t="shared" si="0"/>
        <v>1360.7</v>
      </c>
      <c r="E33" s="6">
        <f t="shared" si="1"/>
        <v>1444.3</v>
      </c>
      <c r="F33" s="6">
        <f t="shared" si="2"/>
        <v>0</v>
      </c>
      <c r="G33" s="67">
        <f t="shared" si="3"/>
        <v>5.0800999999999998</v>
      </c>
      <c r="H33" s="40">
        <f t="shared" si="4"/>
        <v>7337.1884299999992</v>
      </c>
      <c r="I33" s="33">
        <f t="shared" si="5"/>
        <v>0</v>
      </c>
      <c r="J33" s="80">
        <f t="shared" si="7"/>
        <v>2863.9049999999997</v>
      </c>
    </row>
    <row r="34" spans="1:10" s="1" customFormat="1" ht="14.25" customHeight="1" x14ac:dyDescent="0.2">
      <c r="A34" s="82">
        <f>'$ VOLS'!C136</f>
        <v>5.0449999999999999</v>
      </c>
      <c r="B34" s="21">
        <f t="shared" si="6"/>
        <v>36973</v>
      </c>
      <c r="C34" s="172">
        <v>2805</v>
      </c>
      <c r="D34" s="6">
        <f t="shared" si="0"/>
        <v>1360.7</v>
      </c>
      <c r="E34" s="6">
        <f t="shared" si="1"/>
        <v>1444.3</v>
      </c>
      <c r="F34" s="6">
        <f t="shared" si="2"/>
        <v>0</v>
      </c>
      <c r="G34" s="67">
        <f t="shared" si="3"/>
        <v>4.9457000000000004</v>
      </c>
      <c r="H34" s="40">
        <f t="shared" si="4"/>
        <v>7143.0745100000004</v>
      </c>
      <c r="I34" s="33">
        <f t="shared" si="5"/>
        <v>0</v>
      </c>
      <c r="J34" s="80">
        <f t="shared" si="7"/>
        <v>2863.9049999999997</v>
      </c>
    </row>
    <row r="35" spans="1:10" s="1" customFormat="1" ht="14.25" customHeight="1" x14ac:dyDescent="0.2">
      <c r="A35" s="82">
        <f>'$ VOLS'!C137</f>
        <v>5.2450000000000001</v>
      </c>
      <c r="B35" s="21">
        <f t="shared" si="6"/>
        <v>36974</v>
      </c>
      <c r="C35" s="172">
        <v>2805</v>
      </c>
      <c r="D35" s="6">
        <f t="shared" si="0"/>
        <v>1360.7</v>
      </c>
      <c r="E35" s="6">
        <f t="shared" si="1"/>
        <v>1444.3</v>
      </c>
      <c r="F35" s="6">
        <f t="shared" si="2"/>
        <v>0</v>
      </c>
      <c r="G35" s="67">
        <f t="shared" si="3"/>
        <v>5.1448</v>
      </c>
      <c r="H35" s="40">
        <f t="shared" si="4"/>
        <v>7430.6346400000002</v>
      </c>
      <c r="I35" s="33">
        <f t="shared" si="5"/>
        <v>0</v>
      </c>
      <c r="J35" s="80">
        <f t="shared" si="7"/>
        <v>2863.9049999999997</v>
      </c>
    </row>
    <row r="36" spans="1:10" s="1" customFormat="1" ht="14.25" customHeight="1" x14ac:dyDescent="0.2">
      <c r="A36" s="82">
        <f>'$ VOLS'!C138</f>
        <v>5.2450000000000001</v>
      </c>
      <c r="B36" s="21">
        <f t="shared" si="6"/>
        <v>36975</v>
      </c>
      <c r="C36" s="172">
        <v>2454</v>
      </c>
      <c r="D36" s="6">
        <f t="shared" si="0"/>
        <v>1360.7</v>
      </c>
      <c r="E36" s="6">
        <f t="shared" si="1"/>
        <v>1093.3</v>
      </c>
      <c r="F36" s="6">
        <f t="shared" si="2"/>
        <v>0</v>
      </c>
      <c r="G36" s="67">
        <f t="shared" si="3"/>
        <v>5.1448</v>
      </c>
      <c r="H36" s="40">
        <f t="shared" si="4"/>
        <v>5624.8098399999999</v>
      </c>
      <c r="I36" s="33">
        <f t="shared" si="5"/>
        <v>0</v>
      </c>
      <c r="J36" s="80">
        <f t="shared" si="7"/>
        <v>2505.5339999999997</v>
      </c>
    </row>
    <row r="37" spans="1:10" s="1" customFormat="1" ht="14.25" customHeight="1" x14ac:dyDescent="0.2">
      <c r="A37" s="82">
        <f>'$ VOLS'!C139</f>
        <v>5.2450000000000001</v>
      </c>
      <c r="B37" s="21">
        <f t="shared" si="6"/>
        <v>36976</v>
      </c>
      <c r="C37" s="172">
        <v>2805</v>
      </c>
      <c r="D37" s="6">
        <f t="shared" si="0"/>
        <v>1360.7</v>
      </c>
      <c r="E37" s="6">
        <f t="shared" si="1"/>
        <v>1444.3</v>
      </c>
      <c r="F37" s="6">
        <f t="shared" si="2"/>
        <v>0</v>
      </c>
      <c r="G37" s="67">
        <f t="shared" si="3"/>
        <v>5.1448</v>
      </c>
      <c r="H37" s="40">
        <f t="shared" si="4"/>
        <v>7430.6346400000002</v>
      </c>
      <c r="I37" s="33">
        <f t="shared" si="5"/>
        <v>0</v>
      </c>
      <c r="J37" s="80">
        <f t="shared" si="7"/>
        <v>2863.9049999999997</v>
      </c>
    </row>
    <row r="38" spans="1:10" s="1" customFormat="1" ht="14.25" customHeight="1" x14ac:dyDescent="0.2">
      <c r="A38" s="82">
        <f>'$ VOLS'!C140</f>
        <v>5.19</v>
      </c>
      <c r="B38" s="21">
        <f t="shared" si="6"/>
        <v>36977</v>
      </c>
      <c r="C38" s="172">
        <v>2555</v>
      </c>
      <c r="D38" s="6">
        <f t="shared" si="0"/>
        <v>1360.7</v>
      </c>
      <c r="E38" s="6">
        <f t="shared" si="1"/>
        <v>1194.3</v>
      </c>
      <c r="F38" s="6">
        <f t="shared" si="2"/>
        <v>0</v>
      </c>
      <c r="G38" s="67">
        <f t="shared" si="3"/>
        <v>5.0900999999999996</v>
      </c>
      <c r="H38" s="40">
        <f t="shared" si="4"/>
        <v>6079.1064299999989</v>
      </c>
      <c r="I38" s="33">
        <f t="shared" si="5"/>
        <v>0</v>
      </c>
      <c r="J38" s="80">
        <f t="shared" si="7"/>
        <v>2608.6549999999997</v>
      </c>
    </row>
    <row r="39" spans="1:10" s="1" customFormat="1" ht="14.25" customHeight="1" x14ac:dyDescent="0.2">
      <c r="A39" s="82">
        <f>'$ VOLS'!C141</f>
        <v>5.335</v>
      </c>
      <c r="B39" s="21">
        <f t="shared" si="6"/>
        <v>36978</v>
      </c>
      <c r="C39" s="172">
        <v>2222</v>
      </c>
      <c r="D39" s="6">
        <f t="shared" si="0"/>
        <v>1360.7</v>
      </c>
      <c r="E39" s="6">
        <f t="shared" si="1"/>
        <v>861.3</v>
      </c>
      <c r="F39" s="6">
        <f t="shared" si="2"/>
        <v>0</v>
      </c>
      <c r="G39" s="67">
        <f t="shared" si="3"/>
        <v>5.2343999999999999</v>
      </c>
      <c r="H39" s="40">
        <f t="shared" si="4"/>
        <v>4508.3887199999999</v>
      </c>
      <c r="I39" s="33">
        <f t="shared" si="5"/>
        <v>0</v>
      </c>
      <c r="J39" s="80">
        <f t="shared" si="7"/>
        <v>2268.6619999999998</v>
      </c>
    </row>
    <row r="40" spans="1:10" s="1" customFormat="1" ht="14.25" customHeight="1" x14ac:dyDescent="0.2">
      <c r="A40" s="82">
        <f>'$ VOLS'!C142</f>
        <v>5.5350000000000001</v>
      </c>
      <c r="B40" s="21">
        <f t="shared" si="6"/>
        <v>36979</v>
      </c>
      <c r="C40" s="172">
        <v>2471</v>
      </c>
      <c r="D40" s="6">
        <f t="shared" si="0"/>
        <v>1360.7</v>
      </c>
      <c r="E40" s="6">
        <f t="shared" si="1"/>
        <v>1110.3</v>
      </c>
      <c r="F40" s="6">
        <f t="shared" si="2"/>
        <v>0</v>
      </c>
      <c r="G40" s="67">
        <f t="shared" si="3"/>
        <v>5.4335000000000004</v>
      </c>
      <c r="H40" s="40">
        <f t="shared" si="4"/>
        <v>6032.8150500000002</v>
      </c>
      <c r="I40" s="33">
        <f t="shared" si="5"/>
        <v>0</v>
      </c>
      <c r="J40" s="80">
        <f t="shared" si="7"/>
        <v>2522.8909999999996</v>
      </c>
    </row>
    <row r="41" spans="1:10" s="1" customFormat="1" ht="14.25" customHeight="1" x14ac:dyDescent="0.2">
      <c r="A41" s="82">
        <f>'$ VOLS'!C143</f>
        <v>5.3049999999999997</v>
      </c>
      <c r="B41" s="21">
        <f>+B40+1</f>
        <v>36980</v>
      </c>
      <c r="C41" s="172">
        <v>2471</v>
      </c>
      <c r="D41" s="6">
        <f t="shared" si="0"/>
        <v>1360.7</v>
      </c>
      <c r="E41" s="6">
        <f t="shared" si="1"/>
        <v>1110.3</v>
      </c>
      <c r="F41" s="6">
        <f t="shared" si="2"/>
        <v>0</v>
      </c>
      <c r="G41" s="67">
        <f t="shared" si="3"/>
        <v>5.2046000000000001</v>
      </c>
      <c r="H41" s="40">
        <f t="shared" si="4"/>
        <v>5778.6673799999999</v>
      </c>
      <c r="I41" s="33">
        <f t="shared" si="5"/>
        <v>0</v>
      </c>
      <c r="J41" s="80">
        <f t="shared" si="7"/>
        <v>2522.8909999999996</v>
      </c>
    </row>
    <row r="42" spans="1:10" s="1" customFormat="1" ht="14.25" customHeight="1" x14ac:dyDescent="0.2">
      <c r="A42" s="82">
        <f>'$ VOLS'!C144</f>
        <v>5.35</v>
      </c>
      <c r="B42" s="21">
        <f>+B41+1</f>
        <v>36981</v>
      </c>
      <c r="C42" s="172">
        <v>2471</v>
      </c>
      <c r="D42" s="6">
        <f t="shared" si="0"/>
        <v>1360.7</v>
      </c>
      <c r="E42" s="6">
        <f t="shared" si="1"/>
        <v>1110.3</v>
      </c>
      <c r="F42" s="6">
        <v>0</v>
      </c>
      <c r="G42" s="67">
        <f t="shared" si="3"/>
        <v>5.2493999999999996</v>
      </c>
      <c r="H42" s="40">
        <f t="shared" si="4"/>
        <v>5828.4088199999997</v>
      </c>
      <c r="I42" s="33">
        <f t="shared" si="5"/>
        <v>0</v>
      </c>
      <c r="J42" s="80">
        <f t="shared" si="7"/>
        <v>2522.8909999999996</v>
      </c>
    </row>
    <row r="43" spans="1:10" s="1" customFormat="1" ht="14.25" x14ac:dyDescent="0.2">
      <c r="A43" s="85">
        <f>AVERAGE(A12:A42)</f>
        <v>5.1720967741935473</v>
      </c>
      <c r="B43" s="21" t="s">
        <v>104</v>
      </c>
      <c r="C43" s="175">
        <v>2471</v>
      </c>
      <c r="D43" s="30">
        <f>SUM(D12:D42)</f>
        <v>42181.69999999999</v>
      </c>
      <c r="E43" s="30">
        <f>SUM(E12:E42)</f>
        <v>44633.300000000017</v>
      </c>
      <c r="F43" s="30">
        <f>SUM(F12:F42)</f>
        <v>0</v>
      </c>
      <c r="G43" s="85">
        <f>AVERAGE(G12:G42)</f>
        <v>5.0722677419354847</v>
      </c>
      <c r="H43" s="79">
        <f>SUM(H12:H42)</f>
        <v>225950.88359000007</v>
      </c>
      <c r="I43" s="79">
        <f>SUM(I12:I42)</f>
        <v>0</v>
      </c>
      <c r="J43" s="5"/>
    </row>
    <row r="44" spans="1:10" s="1" customFormat="1" ht="12.75" x14ac:dyDescent="0.2">
      <c r="A44" s="83"/>
      <c r="B44" s="2"/>
      <c r="C44" s="171">
        <f>D43+E43</f>
        <v>86815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2">
        <f>C43-C44</f>
        <v>-84344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A46" s="83"/>
      <c r="C46" s="171"/>
      <c r="I46" s="31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42181.69999999999</v>
      </c>
      <c r="F47" s="24">
        <f>'$ VOLS'!C45</f>
        <v>4.9307999999999996</v>
      </c>
      <c r="G47" s="17">
        <f>+F47*D43</f>
        <v>207989.52635999993</v>
      </c>
      <c r="I47" s="45" t="s">
        <v>22</v>
      </c>
      <c r="J47" s="46">
        <f>+'$ VOLS'!C43</f>
        <v>7.6899999999999996E-2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44633.300000000017</v>
      </c>
      <c r="F48" s="3"/>
      <c r="G48" s="17">
        <f>+H43</f>
        <v>225950.88359000007</v>
      </c>
      <c r="I48" s="31" t="s">
        <v>23</v>
      </c>
      <c r="J48" s="47">
        <f>+'$ VOLS'!C44</f>
        <v>4.4999999999999997E-3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86815</v>
      </c>
      <c r="F50" s="41">
        <f>+G50/E50</f>
        <v>4.9984496912975871</v>
      </c>
      <c r="G50" s="26">
        <f>SUM(G47:G49)</f>
        <v>433940.40995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Recap</vt:lpstr>
      <vt:lpstr>$ VOLS</vt:lpstr>
      <vt:lpstr>GALV 249-L  250</vt:lpstr>
      <vt:lpstr>SP 18</vt:lpstr>
      <vt:lpstr>HI 235</vt:lpstr>
      <vt:lpstr>HI 235-flash</vt:lpstr>
      <vt:lpstr>WCAM 39</vt:lpstr>
      <vt:lpstr>WCAM 522-543</vt:lpstr>
      <vt:lpstr>VERM 84</vt:lpstr>
      <vt:lpstr>VERM376-375</vt:lpstr>
      <vt:lpstr>BRAZ 368</vt:lpstr>
      <vt:lpstr>HI 199</vt:lpstr>
      <vt:lpstr>GB-236-367</vt:lpstr>
      <vt:lpstr>ECAM 138-152</vt:lpstr>
      <vt:lpstr>'$ VOLS'!Print_Area</vt:lpstr>
      <vt:lpstr>'BRAZ 368'!Print_Area</vt:lpstr>
      <vt:lpstr>'ECAM 138-152'!Print_Area</vt:lpstr>
      <vt:lpstr>'GALV 249-L  250'!Print_Area</vt:lpstr>
      <vt:lpstr>'GB-236-367'!Print_Area</vt:lpstr>
      <vt:lpstr>'HI 199'!Print_Area</vt:lpstr>
      <vt:lpstr>'HI 235'!Print_Area</vt:lpstr>
      <vt:lpstr>'HI 235-flash'!Print_Area</vt:lpstr>
      <vt:lpstr>Recap!Print_Area</vt:lpstr>
      <vt:lpstr>'SP 18'!Print_Area</vt:lpstr>
      <vt:lpstr>'VERM 84'!Print_Area</vt:lpstr>
      <vt:lpstr>'VERM376-375'!Print_Area</vt:lpstr>
      <vt:lpstr>'WCAM 39'!Print_Area</vt:lpstr>
      <vt:lpstr>'WCAM 522-543'!Print_Area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2001-04-25T19:31:05Z</cp:lastPrinted>
  <dcterms:created xsi:type="dcterms:W3CDTF">1997-09-23T19:15:58Z</dcterms:created>
  <dcterms:modified xsi:type="dcterms:W3CDTF">2023-09-17T13:23:55Z</dcterms:modified>
</cp:coreProperties>
</file>