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C5BC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1700619-429E-4126-9176-9ACE46F2B45D}" xr6:coauthVersionLast="47" xr6:coauthVersionMax="47" xr10:uidLastSave="{00000000-0000-0000-0000-000000000000}"/>
  <bookViews>
    <workbookView xWindow="-120" yWindow="-120" windowWidth="38640" windowHeight="15720" tabRatio="602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</externalReferences>
  <definedNames>
    <definedName name="_xlnm.Print_Area" localSheetId="0">'AGA Storage'!$BU$1:$CV$61</definedName>
    <definedName name="_xlnm.Print_Titles" localSheetId="0">'AGA Storage'!$4:$8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I10" i="1"/>
  <c r="K10" i="1"/>
  <c r="M10" i="1"/>
  <c r="O10" i="1"/>
  <c r="R10" i="1"/>
  <c r="S10" i="1"/>
  <c r="T10" i="1"/>
  <c r="U10" i="1"/>
  <c r="V10" i="1"/>
  <c r="AE10" i="1"/>
  <c r="AG10" i="1"/>
  <c r="AI10" i="1"/>
  <c r="AK10" i="1"/>
  <c r="AM10" i="1"/>
  <c r="AP10" i="1"/>
  <c r="AQ10" i="1"/>
  <c r="AR10" i="1"/>
  <c r="AS10" i="1"/>
  <c r="AT10" i="1"/>
  <c r="BC10" i="1"/>
  <c r="BE10" i="1"/>
  <c r="BG10" i="1"/>
  <c r="BI10" i="1"/>
  <c r="BK10" i="1"/>
  <c r="BN10" i="1"/>
  <c r="BO10" i="1"/>
  <c r="BP10" i="1"/>
  <c r="BQ10" i="1"/>
  <c r="BR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DA10" i="1"/>
  <c r="G11" i="1"/>
  <c r="I11" i="1"/>
  <c r="K11" i="1"/>
  <c r="M11" i="1"/>
  <c r="O11" i="1"/>
  <c r="R11" i="1"/>
  <c r="S11" i="1"/>
  <c r="T11" i="1"/>
  <c r="U11" i="1"/>
  <c r="V11" i="1"/>
  <c r="AE11" i="1"/>
  <c r="AG11" i="1"/>
  <c r="AI11" i="1"/>
  <c r="AK11" i="1"/>
  <c r="AM11" i="1"/>
  <c r="AP11" i="1"/>
  <c r="AQ11" i="1"/>
  <c r="AR11" i="1"/>
  <c r="AS11" i="1"/>
  <c r="AT11" i="1"/>
  <c r="BC11" i="1"/>
  <c r="BE11" i="1"/>
  <c r="BG11" i="1"/>
  <c r="BI11" i="1"/>
  <c r="BK11" i="1"/>
  <c r="BN11" i="1"/>
  <c r="BO11" i="1"/>
  <c r="BP11" i="1"/>
  <c r="BQ11" i="1"/>
  <c r="BR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DA11" i="1"/>
  <c r="G12" i="1"/>
  <c r="I12" i="1"/>
  <c r="K12" i="1"/>
  <c r="M12" i="1"/>
  <c r="O12" i="1"/>
  <c r="R12" i="1"/>
  <c r="S12" i="1"/>
  <c r="T12" i="1"/>
  <c r="U12" i="1"/>
  <c r="V12" i="1"/>
  <c r="AE12" i="1"/>
  <c r="AG12" i="1"/>
  <c r="AI12" i="1"/>
  <c r="AK12" i="1"/>
  <c r="AM12" i="1"/>
  <c r="AP12" i="1"/>
  <c r="AQ12" i="1"/>
  <c r="AR12" i="1"/>
  <c r="AS12" i="1"/>
  <c r="AT12" i="1"/>
  <c r="BC12" i="1"/>
  <c r="BE12" i="1"/>
  <c r="BG12" i="1"/>
  <c r="BI12" i="1"/>
  <c r="BK12" i="1"/>
  <c r="BN12" i="1"/>
  <c r="BO12" i="1"/>
  <c r="BP12" i="1"/>
  <c r="BQ12" i="1"/>
  <c r="BR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DA12" i="1"/>
  <c r="G13" i="1"/>
  <c r="I13" i="1"/>
  <c r="K13" i="1"/>
  <c r="M13" i="1"/>
  <c r="O13" i="1"/>
  <c r="R13" i="1"/>
  <c r="S13" i="1"/>
  <c r="T13" i="1"/>
  <c r="U13" i="1"/>
  <c r="V13" i="1"/>
  <c r="AE13" i="1"/>
  <c r="AG13" i="1"/>
  <c r="AI13" i="1"/>
  <c r="AK13" i="1"/>
  <c r="AM13" i="1"/>
  <c r="AP13" i="1"/>
  <c r="AQ13" i="1"/>
  <c r="AR13" i="1"/>
  <c r="AS13" i="1"/>
  <c r="AT13" i="1"/>
  <c r="BC13" i="1"/>
  <c r="BE13" i="1"/>
  <c r="BG13" i="1"/>
  <c r="BI13" i="1"/>
  <c r="BK13" i="1"/>
  <c r="BN13" i="1"/>
  <c r="BO13" i="1"/>
  <c r="BP13" i="1"/>
  <c r="BQ13" i="1"/>
  <c r="BR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DA13" i="1"/>
  <c r="G14" i="1"/>
  <c r="I14" i="1"/>
  <c r="K14" i="1"/>
  <c r="M14" i="1"/>
  <c r="O14" i="1"/>
  <c r="R14" i="1"/>
  <c r="S14" i="1"/>
  <c r="T14" i="1"/>
  <c r="U14" i="1"/>
  <c r="V14" i="1"/>
  <c r="AE14" i="1"/>
  <c r="AG14" i="1"/>
  <c r="AI14" i="1"/>
  <c r="AK14" i="1"/>
  <c r="AM14" i="1"/>
  <c r="AP14" i="1"/>
  <c r="AQ14" i="1"/>
  <c r="AR14" i="1"/>
  <c r="AS14" i="1"/>
  <c r="AT14" i="1"/>
  <c r="BC14" i="1"/>
  <c r="BE14" i="1"/>
  <c r="BG14" i="1"/>
  <c r="BI14" i="1"/>
  <c r="BK14" i="1"/>
  <c r="BN14" i="1"/>
  <c r="BO14" i="1"/>
  <c r="BP14" i="1"/>
  <c r="BQ14" i="1"/>
  <c r="BR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DA14" i="1"/>
  <c r="G15" i="1"/>
  <c r="I15" i="1"/>
  <c r="K15" i="1"/>
  <c r="M15" i="1"/>
  <c r="O15" i="1"/>
  <c r="R15" i="1"/>
  <c r="S15" i="1"/>
  <c r="T15" i="1"/>
  <c r="U15" i="1"/>
  <c r="V15" i="1"/>
  <c r="AE15" i="1"/>
  <c r="AG15" i="1"/>
  <c r="AI15" i="1"/>
  <c r="AK15" i="1"/>
  <c r="AM15" i="1"/>
  <c r="AP15" i="1"/>
  <c r="AQ15" i="1"/>
  <c r="AR15" i="1"/>
  <c r="AS15" i="1"/>
  <c r="AT15" i="1"/>
  <c r="BC15" i="1"/>
  <c r="BE15" i="1"/>
  <c r="BG15" i="1"/>
  <c r="BI15" i="1"/>
  <c r="BK15" i="1"/>
  <c r="BN15" i="1"/>
  <c r="BO15" i="1"/>
  <c r="BP15" i="1"/>
  <c r="BQ15" i="1"/>
  <c r="BR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DA15" i="1"/>
  <c r="G16" i="1"/>
  <c r="I16" i="1"/>
  <c r="K16" i="1"/>
  <c r="M16" i="1"/>
  <c r="O16" i="1"/>
  <c r="R16" i="1"/>
  <c r="S16" i="1"/>
  <c r="T16" i="1"/>
  <c r="U16" i="1"/>
  <c r="V16" i="1"/>
  <c r="AE16" i="1"/>
  <c r="AG16" i="1"/>
  <c r="AI16" i="1"/>
  <c r="AK16" i="1"/>
  <c r="AM16" i="1"/>
  <c r="AP16" i="1"/>
  <c r="AQ16" i="1"/>
  <c r="AR16" i="1"/>
  <c r="AS16" i="1"/>
  <c r="AT16" i="1"/>
  <c r="BC16" i="1"/>
  <c r="BE16" i="1"/>
  <c r="BG16" i="1"/>
  <c r="BI16" i="1"/>
  <c r="BK16" i="1"/>
  <c r="BN16" i="1"/>
  <c r="BO16" i="1"/>
  <c r="BP16" i="1"/>
  <c r="BQ16" i="1"/>
  <c r="BR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DA16" i="1"/>
  <c r="G17" i="1"/>
  <c r="I17" i="1"/>
  <c r="K17" i="1"/>
  <c r="M17" i="1"/>
  <c r="O17" i="1"/>
  <c r="R17" i="1"/>
  <c r="S17" i="1"/>
  <c r="T17" i="1"/>
  <c r="U17" i="1"/>
  <c r="V17" i="1"/>
  <c r="AE17" i="1"/>
  <c r="AG17" i="1"/>
  <c r="AI17" i="1"/>
  <c r="AK17" i="1"/>
  <c r="AM17" i="1"/>
  <c r="AP17" i="1"/>
  <c r="AQ17" i="1"/>
  <c r="AR17" i="1"/>
  <c r="AS17" i="1"/>
  <c r="AT17" i="1"/>
  <c r="BC17" i="1"/>
  <c r="BE17" i="1"/>
  <c r="BG17" i="1"/>
  <c r="BI17" i="1"/>
  <c r="BK17" i="1"/>
  <c r="BN17" i="1"/>
  <c r="BO17" i="1"/>
  <c r="BP17" i="1"/>
  <c r="BQ17" i="1"/>
  <c r="BR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DA17" i="1"/>
  <c r="G18" i="1"/>
  <c r="I18" i="1"/>
  <c r="K18" i="1"/>
  <c r="M18" i="1"/>
  <c r="O18" i="1"/>
  <c r="R18" i="1"/>
  <c r="S18" i="1"/>
  <c r="U18" i="1"/>
  <c r="V18" i="1"/>
  <c r="AE18" i="1"/>
  <c r="AG18" i="1"/>
  <c r="AI18" i="1"/>
  <c r="AK18" i="1"/>
  <c r="AM18" i="1"/>
  <c r="AP18" i="1"/>
  <c r="AQ18" i="1"/>
  <c r="AS18" i="1"/>
  <c r="AT18" i="1"/>
  <c r="BC18" i="1"/>
  <c r="BE18" i="1"/>
  <c r="BG18" i="1"/>
  <c r="BI18" i="1"/>
  <c r="BK18" i="1"/>
  <c r="BN18" i="1"/>
  <c r="BO18" i="1"/>
  <c r="BQ18" i="1"/>
  <c r="BR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DA18" i="1"/>
  <c r="G19" i="1"/>
  <c r="I19" i="1"/>
  <c r="K19" i="1"/>
  <c r="M19" i="1"/>
  <c r="O19" i="1"/>
  <c r="R19" i="1"/>
  <c r="S19" i="1"/>
  <c r="U19" i="1"/>
  <c r="V19" i="1"/>
  <c r="AE19" i="1"/>
  <c r="AG19" i="1"/>
  <c r="AI19" i="1"/>
  <c r="AK19" i="1"/>
  <c r="AM19" i="1"/>
  <c r="AP19" i="1"/>
  <c r="AQ19" i="1"/>
  <c r="AS19" i="1"/>
  <c r="AT19" i="1"/>
  <c r="BC19" i="1"/>
  <c r="BE19" i="1"/>
  <c r="BG19" i="1"/>
  <c r="BI19" i="1"/>
  <c r="BK19" i="1"/>
  <c r="BN19" i="1"/>
  <c r="BO19" i="1"/>
  <c r="BQ19" i="1"/>
  <c r="BR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DA19" i="1"/>
  <c r="G20" i="1"/>
  <c r="I20" i="1"/>
  <c r="K20" i="1"/>
  <c r="M20" i="1"/>
  <c r="O20" i="1"/>
  <c r="R20" i="1"/>
  <c r="S20" i="1"/>
  <c r="U20" i="1"/>
  <c r="V20" i="1"/>
  <c r="AE20" i="1"/>
  <c r="AG20" i="1"/>
  <c r="AI20" i="1"/>
  <c r="AK20" i="1"/>
  <c r="AM20" i="1"/>
  <c r="AP20" i="1"/>
  <c r="AQ20" i="1"/>
  <c r="AS20" i="1"/>
  <c r="AT20" i="1"/>
  <c r="BC20" i="1"/>
  <c r="BE20" i="1"/>
  <c r="BG20" i="1"/>
  <c r="BI20" i="1"/>
  <c r="BK20" i="1"/>
  <c r="BN20" i="1"/>
  <c r="BO20" i="1"/>
  <c r="BQ20" i="1"/>
  <c r="BR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DA20" i="1"/>
  <c r="G21" i="1"/>
  <c r="I21" i="1"/>
  <c r="K21" i="1"/>
  <c r="M21" i="1"/>
  <c r="O21" i="1"/>
  <c r="R21" i="1"/>
  <c r="S21" i="1"/>
  <c r="U21" i="1"/>
  <c r="V21" i="1"/>
  <c r="AE21" i="1"/>
  <c r="AG21" i="1"/>
  <c r="AI21" i="1"/>
  <c r="AK21" i="1"/>
  <c r="AM21" i="1"/>
  <c r="AP21" i="1"/>
  <c r="AQ21" i="1"/>
  <c r="AS21" i="1"/>
  <c r="AT21" i="1"/>
  <c r="BC21" i="1"/>
  <c r="BE21" i="1"/>
  <c r="BG21" i="1"/>
  <c r="BI21" i="1"/>
  <c r="BK21" i="1"/>
  <c r="BN21" i="1"/>
  <c r="BO21" i="1"/>
  <c r="BQ21" i="1"/>
  <c r="BR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DA21" i="1"/>
  <c r="G22" i="1"/>
  <c r="I22" i="1"/>
  <c r="K22" i="1"/>
  <c r="M22" i="1"/>
  <c r="O22" i="1"/>
  <c r="R22" i="1"/>
  <c r="S22" i="1"/>
  <c r="U22" i="1"/>
  <c r="V22" i="1"/>
  <c r="AE22" i="1"/>
  <c r="AG22" i="1"/>
  <c r="AI22" i="1"/>
  <c r="AK22" i="1"/>
  <c r="AM22" i="1"/>
  <c r="AP22" i="1"/>
  <c r="AQ22" i="1"/>
  <c r="AS22" i="1"/>
  <c r="AT22" i="1"/>
  <c r="BC22" i="1"/>
  <c r="BE22" i="1"/>
  <c r="BG22" i="1"/>
  <c r="BI22" i="1"/>
  <c r="BK22" i="1"/>
  <c r="BN22" i="1"/>
  <c r="BO22" i="1"/>
  <c r="BQ22" i="1"/>
  <c r="BR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DA22" i="1"/>
  <c r="G23" i="1"/>
  <c r="I23" i="1"/>
  <c r="K23" i="1"/>
  <c r="M23" i="1"/>
  <c r="O23" i="1"/>
  <c r="R23" i="1"/>
  <c r="S23" i="1"/>
  <c r="U23" i="1"/>
  <c r="V23" i="1"/>
  <c r="AE23" i="1"/>
  <c r="AG23" i="1"/>
  <c r="AI23" i="1"/>
  <c r="AK23" i="1"/>
  <c r="AM23" i="1"/>
  <c r="AP23" i="1"/>
  <c r="AQ23" i="1"/>
  <c r="AS23" i="1"/>
  <c r="AT23" i="1"/>
  <c r="BC23" i="1"/>
  <c r="BE23" i="1"/>
  <c r="BG23" i="1"/>
  <c r="BI23" i="1"/>
  <c r="BK23" i="1"/>
  <c r="BN23" i="1"/>
  <c r="BO23" i="1"/>
  <c r="BQ23" i="1"/>
  <c r="BR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DA23" i="1"/>
  <c r="G24" i="1"/>
  <c r="I24" i="1"/>
  <c r="K24" i="1"/>
  <c r="M24" i="1"/>
  <c r="O24" i="1"/>
  <c r="R24" i="1"/>
  <c r="S24" i="1"/>
  <c r="U24" i="1"/>
  <c r="V24" i="1"/>
  <c r="AE24" i="1"/>
  <c r="AG24" i="1"/>
  <c r="AI24" i="1"/>
  <c r="AK24" i="1"/>
  <c r="AM24" i="1"/>
  <c r="AP24" i="1"/>
  <c r="AQ24" i="1"/>
  <c r="AS24" i="1"/>
  <c r="AT24" i="1"/>
  <c r="BC24" i="1"/>
  <c r="BE24" i="1"/>
  <c r="BG24" i="1"/>
  <c r="BI24" i="1"/>
  <c r="BK24" i="1"/>
  <c r="BN24" i="1"/>
  <c r="BO24" i="1"/>
  <c r="BQ24" i="1"/>
  <c r="BR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DA24" i="1"/>
  <c r="G25" i="1"/>
  <c r="I25" i="1"/>
  <c r="K25" i="1"/>
  <c r="M25" i="1"/>
  <c r="O25" i="1"/>
  <c r="R25" i="1"/>
  <c r="S25" i="1"/>
  <c r="U25" i="1"/>
  <c r="V25" i="1"/>
  <c r="AE25" i="1"/>
  <c r="AG25" i="1"/>
  <c r="AI25" i="1"/>
  <c r="AK25" i="1"/>
  <c r="AM25" i="1"/>
  <c r="AP25" i="1"/>
  <c r="AQ25" i="1"/>
  <c r="AS25" i="1"/>
  <c r="AT25" i="1"/>
  <c r="BC25" i="1"/>
  <c r="BE25" i="1"/>
  <c r="BG25" i="1"/>
  <c r="BI25" i="1"/>
  <c r="BK25" i="1"/>
  <c r="BN25" i="1"/>
  <c r="BO25" i="1"/>
  <c r="BQ25" i="1"/>
  <c r="BR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DA25" i="1"/>
  <c r="G26" i="1"/>
  <c r="I26" i="1"/>
  <c r="K26" i="1"/>
  <c r="M26" i="1"/>
  <c r="O26" i="1"/>
  <c r="R26" i="1"/>
  <c r="S26" i="1"/>
  <c r="U26" i="1"/>
  <c r="V26" i="1"/>
  <c r="AE26" i="1"/>
  <c r="AG26" i="1"/>
  <c r="AI26" i="1"/>
  <c r="AK26" i="1"/>
  <c r="AM26" i="1"/>
  <c r="AP26" i="1"/>
  <c r="AQ26" i="1"/>
  <c r="AS26" i="1"/>
  <c r="AT26" i="1"/>
  <c r="BC26" i="1"/>
  <c r="BE26" i="1"/>
  <c r="BG26" i="1"/>
  <c r="BI26" i="1"/>
  <c r="BK26" i="1"/>
  <c r="BN26" i="1"/>
  <c r="BO26" i="1"/>
  <c r="BQ26" i="1"/>
  <c r="BR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DA26" i="1"/>
  <c r="G27" i="1"/>
  <c r="I27" i="1"/>
  <c r="K27" i="1"/>
  <c r="M27" i="1"/>
  <c r="O27" i="1"/>
  <c r="R27" i="1"/>
  <c r="S27" i="1"/>
  <c r="U27" i="1"/>
  <c r="V27" i="1"/>
  <c r="AE27" i="1"/>
  <c r="AG27" i="1"/>
  <c r="AI27" i="1"/>
  <c r="AK27" i="1"/>
  <c r="AM27" i="1"/>
  <c r="AP27" i="1"/>
  <c r="AQ27" i="1"/>
  <c r="AS27" i="1"/>
  <c r="AT27" i="1"/>
  <c r="BC27" i="1"/>
  <c r="BE27" i="1"/>
  <c r="BG27" i="1"/>
  <c r="BI27" i="1"/>
  <c r="BK27" i="1"/>
  <c r="BN27" i="1"/>
  <c r="BO27" i="1"/>
  <c r="BQ27" i="1"/>
  <c r="BR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DA27" i="1"/>
  <c r="G28" i="1"/>
  <c r="I28" i="1"/>
  <c r="K28" i="1"/>
  <c r="M28" i="1"/>
  <c r="O28" i="1"/>
  <c r="R28" i="1"/>
  <c r="S28" i="1"/>
  <c r="U28" i="1"/>
  <c r="V28" i="1"/>
  <c r="AE28" i="1"/>
  <c r="AG28" i="1"/>
  <c r="AI28" i="1"/>
  <c r="AK28" i="1"/>
  <c r="AM28" i="1"/>
  <c r="AP28" i="1"/>
  <c r="AQ28" i="1"/>
  <c r="AS28" i="1"/>
  <c r="AT28" i="1"/>
  <c r="BC28" i="1"/>
  <c r="BE28" i="1"/>
  <c r="BG28" i="1"/>
  <c r="BI28" i="1"/>
  <c r="BK28" i="1"/>
  <c r="BN28" i="1"/>
  <c r="BO28" i="1"/>
  <c r="BQ28" i="1"/>
  <c r="BR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DA28" i="1"/>
  <c r="G29" i="1"/>
  <c r="I29" i="1"/>
  <c r="K29" i="1"/>
  <c r="M29" i="1"/>
  <c r="O29" i="1"/>
  <c r="R29" i="1"/>
  <c r="S29" i="1"/>
  <c r="U29" i="1"/>
  <c r="V29" i="1"/>
  <c r="AE29" i="1"/>
  <c r="AG29" i="1"/>
  <c r="AI29" i="1"/>
  <c r="AK29" i="1"/>
  <c r="AM29" i="1"/>
  <c r="AP29" i="1"/>
  <c r="AQ29" i="1"/>
  <c r="AS29" i="1"/>
  <c r="AT29" i="1"/>
  <c r="BC29" i="1"/>
  <c r="BE29" i="1"/>
  <c r="BG29" i="1"/>
  <c r="BI29" i="1"/>
  <c r="BK29" i="1"/>
  <c r="BN29" i="1"/>
  <c r="BO29" i="1"/>
  <c r="BQ29" i="1"/>
  <c r="BR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DA29" i="1"/>
  <c r="G30" i="1"/>
  <c r="I30" i="1"/>
  <c r="K30" i="1"/>
  <c r="M30" i="1"/>
  <c r="O30" i="1"/>
  <c r="R30" i="1"/>
  <c r="S30" i="1"/>
  <c r="U30" i="1"/>
  <c r="V30" i="1"/>
  <c r="AE30" i="1"/>
  <c r="AG30" i="1"/>
  <c r="AI30" i="1"/>
  <c r="AK30" i="1"/>
  <c r="AM30" i="1"/>
  <c r="AP30" i="1"/>
  <c r="AQ30" i="1"/>
  <c r="AS30" i="1"/>
  <c r="AT30" i="1"/>
  <c r="BC30" i="1"/>
  <c r="BE30" i="1"/>
  <c r="BG30" i="1"/>
  <c r="BI30" i="1"/>
  <c r="BK30" i="1"/>
  <c r="BN30" i="1"/>
  <c r="BO30" i="1"/>
  <c r="BQ30" i="1"/>
  <c r="BR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DA30" i="1"/>
  <c r="G31" i="1"/>
  <c r="I31" i="1"/>
  <c r="K31" i="1"/>
  <c r="M31" i="1"/>
  <c r="O31" i="1"/>
  <c r="R31" i="1"/>
  <c r="S31" i="1"/>
  <c r="U31" i="1"/>
  <c r="V31" i="1"/>
  <c r="AE31" i="1"/>
  <c r="AG31" i="1"/>
  <c r="AI31" i="1"/>
  <c r="AK31" i="1"/>
  <c r="AM31" i="1"/>
  <c r="AP31" i="1"/>
  <c r="AQ31" i="1"/>
  <c r="AS31" i="1"/>
  <c r="AT31" i="1"/>
  <c r="BC31" i="1"/>
  <c r="BE31" i="1"/>
  <c r="BG31" i="1"/>
  <c r="BI31" i="1"/>
  <c r="BK31" i="1"/>
  <c r="BN31" i="1"/>
  <c r="BO31" i="1"/>
  <c r="BQ31" i="1"/>
  <c r="BR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DA31" i="1"/>
  <c r="G32" i="1"/>
  <c r="I32" i="1"/>
  <c r="K32" i="1"/>
  <c r="M32" i="1"/>
  <c r="O32" i="1"/>
  <c r="R32" i="1"/>
  <c r="S32" i="1"/>
  <c r="U32" i="1"/>
  <c r="V32" i="1"/>
  <c r="AE32" i="1"/>
  <c r="AG32" i="1"/>
  <c r="AI32" i="1"/>
  <c r="AK32" i="1"/>
  <c r="AM32" i="1"/>
  <c r="AP32" i="1"/>
  <c r="AQ32" i="1"/>
  <c r="AS32" i="1"/>
  <c r="AT32" i="1"/>
  <c r="BC32" i="1"/>
  <c r="BE32" i="1"/>
  <c r="BG32" i="1"/>
  <c r="BI32" i="1"/>
  <c r="BK32" i="1"/>
  <c r="BN32" i="1"/>
  <c r="BO32" i="1"/>
  <c r="BQ32" i="1"/>
  <c r="BR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DA32" i="1"/>
  <c r="G33" i="1"/>
  <c r="I33" i="1"/>
  <c r="K33" i="1"/>
  <c r="M33" i="1"/>
  <c r="O33" i="1"/>
  <c r="R33" i="1"/>
  <c r="S33" i="1"/>
  <c r="U33" i="1"/>
  <c r="V33" i="1"/>
  <c r="AE33" i="1"/>
  <c r="AG33" i="1"/>
  <c r="AI33" i="1"/>
  <c r="AK33" i="1"/>
  <c r="AM33" i="1"/>
  <c r="AP33" i="1"/>
  <c r="AQ33" i="1"/>
  <c r="AS33" i="1"/>
  <c r="AT33" i="1"/>
  <c r="BC33" i="1"/>
  <c r="BE33" i="1"/>
  <c r="BG33" i="1"/>
  <c r="BI33" i="1"/>
  <c r="BK33" i="1"/>
  <c r="BN33" i="1"/>
  <c r="BO33" i="1"/>
  <c r="BQ33" i="1"/>
  <c r="BR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DA33" i="1"/>
  <c r="G34" i="1"/>
  <c r="I34" i="1"/>
  <c r="K34" i="1"/>
  <c r="M34" i="1"/>
  <c r="O34" i="1"/>
  <c r="R34" i="1"/>
  <c r="S34" i="1"/>
  <c r="U34" i="1"/>
  <c r="V34" i="1"/>
  <c r="AE34" i="1"/>
  <c r="AG34" i="1"/>
  <c r="AI34" i="1"/>
  <c r="AK34" i="1"/>
  <c r="AM34" i="1"/>
  <c r="AP34" i="1"/>
  <c r="AQ34" i="1"/>
  <c r="AS34" i="1"/>
  <c r="AT34" i="1"/>
  <c r="BC34" i="1"/>
  <c r="BE34" i="1"/>
  <c r="BG34" i="1"/>
  <c r="BI34" i="1"/>
  <c r="BK34" i="1"/>
  <c r="BN34" i="1"/>
  <c r="BO34" i="1"/>
  <c r="BQ34" i="1"/>
  <c r="BR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DA34" i="1"/>
  <c r="G35" i="1"/>
  <c r="I35" i="1"/>
  <c r="K35" i="1"/>
  <c r="M35" i="1"/>
  <c r="O35" i="1"/>
  <c r="R35" i="1"/>
  <c r="S35" i="1"/>
  <c r="U35" i="1"/>
  <c r="V35" i="1"/>
  <c r="AE35" i="1"/>
  <c r="AG35" i="1"/>
  <c r="AI35" i="1"/>
  <c r="AK35" i="1"/>
  <c r="AM35" i="1"/>
  <c r="AP35" i="1"/>
  <c r="AQ35" i="1"/>
  <c r="AS35" i="1"/>
  <c r="AT35" i="1"/>
  <c r="BC35" i="1"/>
  <c r="BE35" i="1"/>
  <c r="BG35" i="1"/>
  <c r="BI35" i="1"/>
  <c r="BK35" i="1"/>
  <c r="BN35" i="1"/>
  <c r="BO35" i="1"/>
  <c r="BQ35" i="1"/>
  <c r="BR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DA35" i="1"/>
  <c r="G36" i="1"/>
  <c r="I36" i="1"/>
  <c r="K36" i="1"/>
  <c r="M36" i="1"/>
  <c r="O36" i="1"/>
  <c r="R36" i="1"/>
  <c r="S36" i="1"/>
  <c r="U36" i="1"/>
  <c r="V36" i="1"/>
  <c r="AE36" i="1"/>
  <c r="AG36" i="1"/>
  <c r="AI36" i="1"/>
  <c r="AK36" i="1"/>
  <c r="AM36" i="1"/>
  <c r="AP36" i="1"/>
  <c r="AQ36" i="1"/>
  <c r="AS36" i="1"/>
  <c r="AT36" i="1"/>
  <c r="BC36" i="1"/>
  <c r="BE36" i="1"/>
  <c r="BG36" i="1"/>
  <c r="BI36" i="1"/>
  <c r="BK36" i="1"/>
  <c r="BN36" i="1"/>
  <c r="BO36" i="1"/>
  <c r="BQ36" i="1"/>
  <c r="BR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DA36" i="1"/>
  <c r="G37" i="1"/>
  <c r="I37" i="1"/>
  <c r="K37" i="1"/>
  <c r="M37" i="1"/>
  <c r="O37" i="1"/>
  <c r="R37" i="1"/>
  <c r="S37" i="1"/>
  <c r="U37" i="1"/>
  <c r="V37" i="1"/>
  <c r="AE37" i="1"/>
  <c r="AG37" i="1"/>
  <c r="AI37" i="1"/>
  <c r="AK37" i="1"/>
  <c r="AM37" i="1"/>
  <c r="AP37" i="1"/>
  <c r="AQ37" i="1"/>
  <c r="AS37" i="1"/>
  <c r="AT37" i="1"/>
  <c r="BC37" i="1"/>
  <c r="BE37" i="1"/>
  <c r="BG37" i="1"/>
  <c r="BI37" i="1"/>
  <c r="BK37" i="1"/>
  <c r="BN37" i="1"/>
  <c r="BO37" i="1"/>
  <c r="BQ37" i="1"/>
  <c r="BR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DA37" i="1"/>
  <c r="G38" i="1"/>
  <c r="I38" i="1"/>
  <c r="K38" i="1"/>
  <c r="M38" i="1"/>
  <c r="O38" i="1"/>
  <c r="R38" i="1"/>
  <c r="S38" i="1"/>
  <c r="U38" i="1"/>
  <c r="V38" i="1"/>
  <c r="AE38" i="1"/>
  <c r="AG38" i="1"/>
  <c r="AI38" i="1"/>
  <c r="AK38" i="1"/>
  <c r="AM38" i="1"/>
  <c r="AP38" i="1"/>
  <c r="AQ38" i="1"/>
  <c r="AS38" i="1"/>
  <c r="AT38" i="1"/>
  <c r="BC38" i="1"/>
  <c r="BE38" i="1"/>
  <c r="BG38" i="1"/>
  <c r="BI38" i="1"/>
  <c r="BK38" i="1"/>
  <c r="BN38" i="1"/>
  <c r="BO38" i="1"/>
  <c r="BQ38" i="1"/>
  <c r="BR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DA38" i="1"/>
  <c r="G39" i="1"/>
  <c r="I39" i="1"/>
  <c r="K39" i="1"/>
  <c r="M39" i="1"/>
  <c r="O39" i="1"/>
  <c r="R39" i="1"/>
  <c r="S39" i="1"/>
  <c r="U39" i="1"/>
  <c r="V39" i="1"/>
  <c r="AE39" i="1"/>
  <c r="AG39" i="1"/>
  <c r="AI39" i="1"/>
  <c r="AK39" i="1"/>
  <c r="AM39" i="1"/>
  <c r="AP39" i="1"/>
  <c r="AQ39" i="1"/>
  <c r="AS39" i="1"/>
  <c r="AT39" i="1"/>
  <c r="BC39" i="1"/>
  <c r="BE39" i="1"/>
  <c r="BG39" i="1"/>
  <c r="BI39" i="1"/>
  <c r="BK39" i="1"/>
  <c r="BN39" i="1"/>
  <c r="BO39" i="1"/>
  <c r="BQ39" i="1"/>
  <c r="BR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DA39" i="1"/>
  <c r="G40" i="1"/>
  <c r="I40" i="1"/>
  <c r="K40" i="1"/>
  <c r="M40" i="1"/>
  <c r="R40" i="1"/>
  <c r="S40" i="1"/>
  <c r="V40" i="1"/>
  <c r="AE40" i="1"/>
  <c r="AG40" i="1"/>
  <c r="AI40" i="1"/>
  <c r="AK40" i="1"/>
  <c r="AP40" i="1"/>
  <c r="AQ40" i="1"/>
  <c r="AT40" i="1"/>
  <c r="BC40" i="1"/>
  <c r="BE40" i="1"/>
  <c r="BG40" i="1"/>
  <c r="BI40" i="1"/>
  <c r="BN40" i="1"/>
  <c r="BO40" i="1"/>
  <c r="BR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T40" i="1"/>
  <c r="DA40" i="1"/>
  <c r="G41" i="1"/>
  <c r="I41" i="1"/>
  <c r="K41" i="1"/>
  <c r="M41" i="1"/>
  <c r="O41" i="1"/>
  <c r="R41" i="1"/>
  <c r="S41" i="1"/>
  <c r="T41" i="1"/>
  <c r="V41" i="1"/>
  <c r="AE41" i="1"/>
  <c r="AG41" i="1"/>
  <c r="AI41" i="1"/>
  <c r="AK41" i="1"/>
  <c r="AM41" i="1"/>
  <c r="AP41" i="1"/>
  <c r="AQ41" i="1"/>
  <c r="AR41" i="1"/>
  <c r="AT41" i="1"/>
  <c r="BC41" i="1"/>
  <c r="BE41" i="1"/>
  <c r="BG41" i="1"/>
  <c r="BI41" i="1"/>
  <c r="BK41" i="1"/>
  <c r="BN41" i="1"/>
  <c r="BO41" i="1"/>
  <c r="BP41" i="1"/>
  <c r="BR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DA41" i="1"/>
  <c r="G42" i="1"/>
  <c r="I42" i="1"/>
  <c r="K42" i="1"/>
  <c r="M42" i="1"/>
  <c r="O42" i="1"/>
  <c r="R42" i="1"/>
  <c r="S42" i="1"/>
  <c r="T42" i="1"/>
  <c r="V42" i="1"/>
  <c r="AE42" i="1"/>
  <c r="AG42" i="1"/>
  <c r="AI42" i="1"/>
  <c r="AK42" i="1"/>
  <c r="AM42" i="1"/>
  <c r="AP42" i="1"/>
  <c r="AQ42" i="1"/>
  <c r="AR42" i="1"/>
  <c r="AT42" i="1"/>
  <c r="BC42" i="1"/>
  <c r="BE42" i="1"/>
  <c r="BG42" i="1"/>
  <c r="BI42" i="1"/>
  <c r="BK42" i="1"/>
  <c r="BN42" i="1"/>
  <c r="BO42" i="1"/>
  <c r="BP42" i="1"/>
  <c r="BR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DA42" i="1"/>
  <c r="R43" i="1"/>
  <c r="S43" i="1"/>
  <c r="V43" i="1"/>
  <c r="AP43" i="1"/>
  <c r="AQ43" i="1"/>
  <c r="AT43" i="1"/>
  <c r="BN43" i="1"/>
  <c r="BO43" i="1"/>
  <c r="BR43" i="1"/>
  <c r="BU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DA43" i="1"/>
  <c r="G44" i="1"/>
  <c r="I44" i="1"/>
  <c r="K44" i="1"/>
  <c r="M44" i="1"/>
  <c r="O44" i="1"/>
  <c r="R44" i="1"/>
  <c r="S44" i="1"/>
  <c r="V44" i="1"/>
  <c r="AE44" i="1"/>
  <c r="AG44" i="1"/>
  <c r="AI44" i="1"/>
  <c r="AK44" i="1"/>
  <c r="AM44" i="1"/>
  <c r="AP44" i="1"/>
  <c r="AQ44" i="1"/>
  <c r="AT44" i="1"/>
  <c r="BC44" i="1"/>
  <c r="BE44" i="1"/>
  <c r="BG44" i="1"/>
  <c r="BI44" i="1"/>
  <c r="BK44" i="1"/>
  <c r="BN44" i="1"/>
  <c r="BO44" i="1"/>
  <c r="BR44" i="1"/>
  <c r="BU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DA44" i="1"/>
  <c r="G45" i="1"/>
  <c r="I45" i="1"/>
  <c r="K45" i="1"/>
  <c r="M45" i="1"/>
  <c r="O45" i="1"/>
  <c r="R45" i="1"/>
  <c r="S45" i="1"/>
  <c r="V45" i="1"/>
  <c r="AE45" i="1"/>
  <c r="AG45" i="1"/>
  <c r="AI45" i="1"/>
  <c r="AK45" i="1"/>
  <c r="AL45" i="1"/>
  <c r="AM45" i="1"/>
  <c r="AP45" i="1"/>
  <c r="AQ45" i="1"/>
  <c r="AT45" i="1"/>
  <c r="BC45" i="1"/>
  <c r="BE45" i="1"/>
  <c r="BG45" i="1"/>
  <c r="BI45" i="1"/>
  <c r="BJ45" i="1"/>
  <c r="BK45" i="1"/>
  <c r="BN45" i="1"/>
  <c r="BO45" i="1"/>
  <c r="BR45" i="1"/>
  <c r="BU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DA45" i="1"/>
  <c r="G46" i="1"/>
  <c r="I46" i="1"/>
  <c r="K46" i="1"/>
  <c r="M46" i="1"/>
  <c r="O46" i="1"/>
  <c r="R46" i="1"/>
  <c r="S46" i="1"/>
  <c r="V46" i="1"/>
  <c r="AE46" i="1"/>
  <c r="AG46" i="1"/>
  <c r="AI46" i="1"/>
  <c r="AK46" i="1"/>
  <c r="AL46" i="1"/>
  <c r="AM46" i="1"/>
  <c r="AP46" i="1"/>
  <c r="AQ46" i="1"/>
  <c r="AT46" i="1"/>
  <c r="BC46" i="1"/>
  <c r="BE46" i="1"/>
  <c r="BG46" i="1"/>
  <c r="BI46" i="1"/>
  <c r="BJ46" i="1"/>
  <c r="BK46" i="1"/>
  <c r="BN46" i="1"/>
  <c r="BO46" i="1"/>
  <c r="BR46" i="1"/>
  <c r="BU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DA46" i="1"/>
  <c r="G47" i="1"/>
  <c r="I47" i="1"/>
  <c r="K47" i="1"/>
  <c r="M47" i="1"/>
  <c r="O47" i="1"/>
  <c r="R47" i="1"/>
  <c r="S47" i="1"/>
  <c r="V47" i="1"/>
  <c r="AE47" i="1"/>
  <c r="AG47" i="1"/>
  <c r="AI47" i="1"/>
  <c r="AK47" i="1"/>
  <c r="AL47" i="1"/>
  <c r="AM47" i="1"/>
  <c r="AP47" i="1"/>
  <c r="AQ47" i="1"/>
  <c r="AT47" i="1"/>
  <c r="BC47" i="1"/>
  <c r="BE47" i="1"/>
  <c r="BG47" i="1"/>
  <c r="BI47" i="1"/>
  <c r="BJ47" i="1"/>
  <c r="BK47" i="1"/>
  <c r="BN47" i="1"/>
  <c r="BO47" i="1"/>
  <c r="BR47" i="1"/>
  <c r="BU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DA47" i="1"/>
  <c r="G48" i="1"/>
  <c r="I48" i="1"/>
  <c r="K48" i="1"/>
  <c r="M48" i="1"/>
  <c r="O48" i="1"/>
  <c r="R48" i="1"/>
  <c r="S48" i="1"/>
  <c r="V48" i="1"/>
  <c r="AE48" i="1"/>
  <c r="AG48" i="1"/>
  <c r="AI48" i="1"/>
  <c r="AL48" i="1"/>
  <c r="AM48" i="1"/>
  <c r="AP48" i="1"/>
  <c r="AQ48" i="1"/>
  <c r="AT48" i="1"/>
  <c r="BC48" i="1"/>
  <c r="BE48" i="1"/>
  <c r="BG48" i="1"/>
  <c r="BI48" i="1"/>
  <c r="BJ48" i="1"/>
  <c r="BK48" i="1"/>
  <c r="BN48" i="1"/>
  <c r="BO48" i="1"/>
  <c r="BR48" i="1"/>
  <c r="BU48" i="1"/>
  <c r="BW48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DA48" i="1"/>
  <c r="E49" i="1"/>
  <c r="G49" i="1"/>
  <c r="I49" i="1"/>
  <c r="K49" i="1"/>
  <c r="M49" i="1"/>
  <c r="O49" i="1"/>
  <c r="R49" i="1"/>
  <c r="S49" i="1"/>
  <c r="V49" i="1"/>
  <c r="AC49" i="1"/>
  <c r="AE49" i="1"/>
  <c r="AG49" i="1"/>
  <c r="AI49" i="1"/>
  <c r="AL49" i="1"/>
  <c r="AM49" i="1"/>
  <c r="AP49" i="1"/>
  <c r="AQ49" i="1"/>
  <c r="AT49" i="1"/>
  <c r="BA49" i="1"/>
  <c r="BC49" i="1"/>
  <c r="BE49" i="1"/>
  <c r="BG49" i="1"/>
  <c r="BI49" i="1"/>
  <c r="BJ49" i="1"/>
  <c r="BK49" i="1"/>
  <c r="BN49" i="1"/>
  <c r="BO49" i="1"/>
  <c r="BR49" i="1"/>
  <c r="BU49" i="1"/>
  <c r="BW49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DA49" i="1"/>
  <c r="E50" i="1"/>
  <c r="G50" i="1"/>
  <c r="I50" i="1"/>
  <c r="K50" i="1"/>
  <c r="M50" i="1"/>
  <c r="O50" i="1"/>
  <c r="R50" i="1"/>
  <c r="S50" i="1"/>
  <c r="V50" i="1"/>
  <c r="AC50" i="1"/>
  <c r="AE50" i="1"/>
  <c r="AG50" i="1"/>
  <c r="AI50" i="1"/>
  <c r="AK50" i="1"/>
  <c r="AL50" i="1"/>
  <c r="AM50" i="1"/>
  <c r="AP50" i="1"/>
  <c r="AQ50" i="1"/>
  <c r="AT50" i="1"/>
  <c r="BA50" i="1"/>
  <c r="BC50" i="1"/>
  <c r="BE50" i="1"/>
  <c r="BG50" i="1"/>
  <c r="BI50" i="1"/>
  <c r="BJ50" i="1"/>
  <c r="BK50" i="1"/>
  <c r="BN50" i="1"/>
  <c r="BO50" i="1"/>
  <c r="BR50" i="1"/>
  <c r="BU50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DA50" i="1"/>
  <c r="E51" i="1"/>
  <c r="G51" i="1"/>
  <c r="I51" i="1"/>
  <c r="K51" i="1"/>
  <c r="M51" i="1"/>
  <c r="O51" i="1"/>
  <c r="R51" i="1"/>
  <c r="S51" i="1"/>
  <c r="V51" i="1"/>
  <c r="AC51" i="1"/>
  <c r="AE51" i="1"/>
  <c r="AG51" i="1"/>
  <c r="AI51" i="1"/>
  <c r="AK51" i="1"/>
  <c r="AL51" i="1"/>
  <c r="AM51" i="1"/>
  <c r="AP51" i="1"/>
  <c r="AQ51" i="1"/>
  <c r="AT51" i="1"/>
  <c r="BA51" i="1"/>
  <c r="BC51" i="1"/>
  <c r="BE51" i="1"/>
  <c r="BG51" i="1"/>
  <c r="BI51" i="1"/>
  <c r="BJ51" i="1"/>
  <c r="BK51" i="1"/>
  <c r="BN51" i="1"/>
  <c r="BO51" i="1"/>
  <c r="BR51" i="1"/>
  <c r="BU51" i="1"/>
  <c r="BW51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DA51" i="1"/>
  <c r="E52" i="1"/>
  <c r="G52" i="1"/>
  <c r="I52" i="1"/>
  <c r="K52" i="1"/>
  <c r="M52" i="1"/>
  <c r="O52" i="1"/>
  <c r="R52" i="1"/>
  <c r="S52" i="1"/>
  <c r="V52" i="1"/>
  <c r="AC52" i="1"/>
  <c r="AE52" i="1"/>
  <c r="AG52" i="1"/>
  <c r="AI52" i="1"/>
  <c r="AK52" i="1"/>
  <c r="AL52" i="1"/>
  <c r="AM52" i="1"/>
  <c r="AP52" i="1"/>
  <c r="AQ52" i="1"/>
  <c r="AT52" i="1"/>
  <c r="BA52" i="1"/>
  <c r="BC52" i="1"/>
  <c r="BE52" i="1"/>
  <c r="BG52" i="1"/>
  <c r="BI52" i="1"/>
  <c r="BJ52" i="1"/>
  <c r="BK52" i="1"/>
  <c r="BN52" i="1"/>
  <c r="BO52" i="1"/>
  <c r="BR52" i="1"/>
  <c r="BU52" i="1"/>
  <c r="BW52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DA52" i="1"/>
  <c r="E53" i="1"/>
  <c r="G53" i="1"/>
  <c r="I53" i="1"/>
  <c r="K53" i="1"/>
  <c r="M53" i="1"/>
  <c r="O53" i="1"/>
  <c r="R53" i="1"/>
  <c r="S53" i="1"/>
  <c r="V53" i="1"/>
  <c r="AC53" i="1"/>
  <c r="AE53" i="1"/>
  <c r="AG53" i="1"/>
  <c r="AI53" i="1"/>
  <c r="AK53" i="1"/>
  <c r="AL53" i="1"/>
  <c r="AM53" i="1"/>
  <c r="AP53" i="1"/>
  <c r="AQ53" i="1"/>
  <c r="AT53" i="1"/>
  <c r="BA53" i="1"/>
  <c r="BC53" i="1"/>
  <c r="BE53" i="1"/>
  <c r="BG53" i="1"/>
  <c r="BI53" i="1"/>
  <c r="BJ53" i="1"/>
  <c r="BK53" i="1"/>
  <c r="BN53" i="1"/>
  <c r="BO53" i="1"/>
  <c r="BR53" i="1"/>
  <c r="BU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DA53" i="1"/>
  <c r="E54" i="1"/>
  <c r="G54" i="1"/>
  <c r="I54" i="1"/>
  <c r="K54" i="1"/>
  <c r="M54" i="1"/>
  <c r="O54" i="1"/>
  <c r="R54" i="1"/>
  <c r="S54" i="1"/>
  <c r="V54" i="1"/>
  <c r="AC54" i="1"/>
  <c r="AE54" i="1"/>
  <c r="AG54" i="1"/>
  <c r="AI54" i="1"/>
  <c r="AK54" i="1"/>
  <c r="AL54" i="1"/>
  <c r="AM54" i="1"/>
  <c r="AP54" i="1"/>
  <c r="AQ54" i="1"/>
  <c r="AT54" i="1"/>
  <c r="BA54" i="1"/>
  <c r="BC54" i="1"/>
  <c r="BE54" i="1"/>
  <c r="BG54" i="1"/>
  <c r="BI54" i="1"/>
  <c r="BJ54" i="1"/>
  <c r="BK54" i="1"/>
  <c r="BN54" i="1"/>
  <c r="BO54" i="1"/>
  <c r="BR54" i="1"/>
  <c r="BU54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DA54" i="1"/>
  <c r="E55" i="1"/>
  <c r="G55" i="1"/>
  <c r="I55" i="1"/>
  <c r="K55" i="1"/>
  <c r="M55" i="1"/>
  <c r="O55" i="1"/>
  <c r="R55" i="1"/>
  <c r="S55" i="1"/>
  <c r="V55" i="1"/>
  <c r="AC55" i="1"/>
  <c r="AE55" i="1"/>
  <c r="AG55" i="1"/>
  <c r="AI55" i="1"/>
  <c r="AK55" i="1"/>
  <c r="AL55" i="1"/>
  <c r="AM55" i="1"/>
  <c r="AP55" i="1"/>
  <c r="AQ55" i="1"/>
  <c r="AT55" i="1"/>
  <c r="BA55" i="1"/>
  <c r="BC55" i="1"/>
  <c r="BE55" i="1"/>
  <c r="BG55" i="1"/>
  <c r="BI55" i="1"/>
  <c r="BJ55" i="1"/>
  <c r="BK55" i="1"/>
  <c r="BN55" i="1"/>
  <c r="BO55" i="1"/>
  <c r="BR55" i="1"/>
  <c r="BU55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DA55" i="1"/>
  <c r="E56" i="1"/>
  <c r="G56" i="1"/>
  <c r="I56" i="1"/>
  <c r="K56" i="1"/>
  <c r="M56" i="1"/>
  <c r="O56" i="1"/>
  <c r="R56" i="1"/>
  <c r="S56" i="1"/>
  <c r="V56" i="1"/>
  <c r="AC56" i="1"/>
  <c r="AE56" i="1"/>
  <c r="AG56" i="1"/>
  <c r="AI56" i="1"/>
  <c r="AK56" i="1"/>
  <c r="AL56" i="1"/>
  <c r="AM56" i="1"/>
  <c r="AP56" i="1"/>
  <c r="AQ56" i="1"/>
  <c r="AT56" i="1"/>
  <c r="BA56" i="1"/>
  <c r="BC56" i="1"/>
  <c r="BE56" i="1"/>
  <c r="BG56" i="1"/>
  <c r="BI56" i="1"/>
  <c r="BJ56" i="1"/>
  <c r="BK56" i="1"/>
  <c r="BN56" i="1"/>
  <c r="BO56" i="1"/>
  <c r="BR56" i="1"/>
  <c r="BU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DA56" i="1"/>
  <c r="E57" i="1"/>
  <c r="G57" i="1"/>
  <c r="I57" i="1"/>
  <c r="K57" i="1"/>
  <c r="M57" i="1"/>
  <c r="O57" i="1"/>
  <c r="R57" i="1"/>
  <c r="S57" i="1"/>
  <c r="V57" i="1"/>
  <c r="AC57" i="1"/>
  <c r="AE57" i="1"/>
  <c r="AG57" i="1"/>
  <c r="AI57" i="1"/>
  <c r="AK57" i="1"/>
  <c r="AL57" i="1"/>
  <c r="AM57" i="1"/>
  <c r="AP57" i="1"/>
  <c r="AQ57" i="1"/>
  <c r="AT57" i="1"/>
  <c r="BA57" i="1"/>
  <c r="BC57" i="1"/>
  <c r="BE57" i="1"/>
  <c r="BG57" i="1"/>
  <c r="BI57" i="1"/>
  <c r="BJ57" i="1"/>
  <c r="BK57" i="1"/>
  <c r="BN57" i="1"/>
  <c r="BO57" i="1"/>
  <c r="BR57" i="1"/>
  <c r="BU57" i="1"/>
  <c r="BW57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DA57" i="1"/>
  <c r="E58" i="1"/>
  <c r="G58" i="1"/>
  <c r="I58" i="1"/>
  <c r="K58" i="1"/>
  <c r="M58" i="1"/>
  <c r="O58" i="1"/>
  <c r="R58" i="1"/>
  <c r="S58" i="1"/>
  <c r="V58" i="1"/>
  <c r="AC58" i="1"/>
  <c r="AE58" i="1"/>
  <c r="AG58" i="1"/>
  <c r="AI58" i="1"/>
  <c r="AK58" i="1"/>
  <c r="AL58" i="1"/>
  <c r="AM58" i="1"/>
  <c r="AP58" i="1"/>
  <c r="AQ58" i="1"/>
  <c r="AT58" i="1"/>
  <c r="BA58" i="1"/>
  <c r="BC58" i="1"/>
  <c r="BE58" i="1"/>
  <c r="BG58" i="1"/>
  <c r="BI58" i="1"/>
  <c r="BJ58" i="1"/>
  <c r="BK58" i="1"/>
  <c r="BN58" i="1"/>
  <c r="BO58" i="1"/>
  <c r="BR58" i="1"/>
  <c r="BU58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DA58" i="1"/>
  <c r="E59" i="1"/>
  <c r="G59" i="1"/>
  <c r="I59" i="1"/>
  <c r="K59" i="1"/>
  <c r="M59" i="1"/>
  <c r="O59" i="1"/>
  <c r="R59" i="1"/>
  <c r="S59" i="1"/>
  <c r="V59" i="1"/>
  <c r="AC59" i="1"/>
  <c r="AE59" i="1"/>
  <c r="AG59" i="1"/>
  <c r="AI59" i="1"/>
  <c r="AK59" i="1"/>
  <c r="AL59" i="1"/>
  <c r="AM59" i="1"/>
  <c r="AP59" i="1"/>
  <c r="AQ59" i="1"/>
  <c r="AT59" i="1"/>
  <c r="BA59" i="1"/>
  <c r="BC59" i="1"/>
  <c r="BE59" i="1"/>
  <c r="BG59" i="1"/>
  <c r="BI59" i="1"/>
  <c r="BJ59" i="1"/>
  <c r="BK59" i="1"/>
  <c r="BN59" i="1"/>
  <c r="BO59" i="1"/>
  <c r="BR59" i="1"/>
  <c r="BU59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DA59" i="1"/>
  <c r="E60" i="1"/>
  <c r="G60" i="1"/>
  <c r="I60" i="1"/>
  <c r="K60" i="1"/>
  <c r="M60" i="1"/>
  <c r="O60" i="1"/>
  <c r="R60" i="1"/>
  <c r="S60" i="1"/>
  <c r="V60" i="1"/>
  <c r="AC60" i="1"/>
  <c r="AE60" i="1"/>
  <c r="AG60" i="1"/>
  <c r="AI60" i="1"/>
  <c r="AK60" i="1"/>
  <c r="AL60" i="1"/>
  <c r="AM60" i="1"/>
  <c r="AP60" i="1"/>
  <c r="AQ60" i="1"/>
  <c r="AT60" i="1"/>
  <c r="BA60" i="1"/>
  <c r="BC60" i="1"/>
  <c r="BE60" i="1"/>
  <c r="BG60" i="1"/>
  <c r="BI60" i="1"/>
  <c r="BJ60" i="1"/>
  <c r="BK60" i="1"/>
  <c r="BN60" i="1"/>
  <c r="BO60" i="1"/>
  <c r="BR60" i="1"/>
  <c r="BU60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DA60" i="1"/>
  <c r="E61" i="1"/>
  <c r="G61" i="1"/>
  <c r="I61" i="1"/>
  <c r="K61" i="1"/>
  <c r="M61" i="1"/>
  <c r="O61" i="1"/>
  <c r="R61" i="1"/>
  <c r="S61" i="1"/>
  <c r="V61" i="1"/>
  <c r="AC61" i="1"/>
  <c r="AE61" i="1"/>
  <c r="AG61" i="1"/>
  <c r="AI61" i="1"/>
  <c r="AK61" i="1"/>
  <c r="AL61" i="1"/>
  <c r="AM61" i="1"/>
  <c r="AP61" i="1"/>
  <c r="AQ61" i="1"/>
  <c r="AT61" i="1"/>
  <c r="BA61" i="1"/>
  <c r="BC61" i="1"/>
  <c r="BE61" i="1"/>
  <c r="BG61" i="1"/>
  <c r="BI61" i="1"/>
  <c r="BJ61" i="1"/>
  <c r="BK61" i="1"/>
  <c r="BN61" i="1"/>
  <c r="BO61" i="1"/>
  <c r="BR61" i="1"/>
  <c r="BU61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DA61" i="1"/>
  <c r="BY63" i="1"/>
  <c r="CA63" i="1"/>
  <c r="CC63" i="1"/>
  <c r="CE63" i="1"/>
  <c r="CG63" i="1"/>
  <c r="CI63" i="1"/>
  <c r="CK63" i="1"/>
  <c r="CO63" i="1"/>
  <c r="BY64" i="1"/>
  <c r="CA64" i="1"/>
  <c r="CC64" i="1"/>
  <c r="CE64" i="1"/>
  <c r="CG64" i="1"/>
  <c r="CI64" i="1"/>
  <c r="CK64" i="1"/>
  <c r="CO64" i="1"/>
  <c r="BY65" i="1"/>
  <c r="CA65" i="1"/>
  <c r="CC65" i="1"/>
  <c r="CE65" i="1"/>
  <c r="CG65" i="1"/>
  <c r="CI65" i="1"/>
  <c r="CK65" i="1"/>
  <c r="CO65" i="1"/>
  <c r="BW66" i="1"/>
  <c r="BY66" i="1"/>
  <c r="CA66" i="1"/>
  <c r="CC66" i="1"/>
  <c r="CE66" i="1"/>
  <c r="CG66" i="1"/>
  <c r="CI66" i="1"/>
  <c r="CK66" i="1"/>
  <c r="CO66" i="1"/>
  <c r="BW67" i="1"/>
  <c r="BY67" i="1"/>
  <c r="CA67" i="1"/>
  <c r="CC67" i="1"/>
  <c r="CE67" i="1"/>
  <c r="CG67" i="1"/>
  <c r="CI67" i="1"/>
  <c r="CK67" i="1"/>
  <c r="CO67" i="1"/>
  <c r="A68" i="1"/>
  <c r="B68" i="1"/>
  <c r="C68" i="1"/>
  <c r="F68" i="1"/>
  <c r="G68" i="1"/>
  <c r="H68" i="1"/>
  <c r="BW68" i="1"/>
  <c r="BY68" i="1"/>
  <c r="CA68" i="1"/>
  <c r="CC68" i="1"/>
  <c r="CE68" i="1"/>
  <c r="CG68" i="1"/>
  <c r="CI68" i="1"/>
  <c r="CK68" i="1"/>
  <c r="CO68" i="1"/>
  <c r="A69" i="1"/>
  <c r="B69" i="1"/>
  <c r="C69" i="1"/>
  <c r="F69" i="1"/>
  <c r="G69" i="1"/>
  <c r="H69" i="1"/>
  <c r="BW69" i="1"/>
  <c r="BY69" i="1"/>
  <c r="CA69" i="1"/>
  <c r="CC69" i="1"/>
  <c r="CE69" i="1"/>
  <c r="CG69" i="1"/>
  <c r="CI69" i="1"/>
  <c r="CK69" i="1"/>
  <c r="CO69" i="1"/>
  <c r="A70" i="1"/>
  <c r="B70" i="1"/>
  <c r="C70" i="1"/>
  <c r="F70" i="1"/>
  <c r="G70" i="1"/>
  <c r="H70" i="1"/>
  <c r="A71" i="1"/>
  <c r="B71" i="1"/>
  <c r="C71" i="1"/>
  <c r="F71" i="1"/>
  <c r="G71" i="1"/>
  <c r="H71" i="1"/>
  <c r="A72" i="1"/>
  <c r="B72" i="1"/>
  <c r="C72" i="1"/>
  <c r="F72" i="1"/>
  <c r="G72" i="1"/>
  <c r="H72" i="1"/>
  <c r="A73" i="1"/>
  <c r="B73" i="1"/>
  <c r="C73" i="1"/>
  <c r="F73" i="1"/>
  <c r="G73" i="1"/>
  <c r="H73" i="1"/>
  <c r="A74" i="1"/>
  <c r="B74" i="1"/>
  <c r="C74" i="1"/>
  <c r="F74" i="1"/>
  <c r="G74" i="1"/>
  <c r="H74" i="1"/>
  <c r="A75" i="1"/>
  <c r="B75" i="1"/>
  <c r="C75" i="1"/>
  <c r="F75" i="1"/>
  <c r="G75" i="1"/>
  <c r="H75" i="1"/>
  <c r="A76" i="1"/>
  <c r="B76" i="1"/>
  <c r="C76" i="1"/>
  <c r="F76" i="1"/>
  <c r="G76" i="1"/>
  <c r="H76" i="1"/>
  <c r="A77" i="1"/>
  <c r="B77" i="1"/>
  <c r="C77" i="1"/>
  <c r="F77" i="1"/>
  <c r="G77" i="1"/>
  <c r="H77" i="1"/>
  <c r="A78" i="1"/>
  <c r="B78" i="1"/>
  <c r="C78" i="1"/>
  <c r="F78" i="1"/>
  <c r="G78" i="1"/>
  <c r="H78" i="1"/>
  <c r="A79" i="1"/>
  <c r="B79" i="1"/>
  <c r="C79" i="1"/>
  <c r="F79" i="1"/>
  <c r="G79" i="1"/>
  <c r="H79" i="1"/>
  <c r="A80" i="1"/>
  <c r="B80" i="1"/>
  <c r="C80" i="1"/>
  <c r="F80" i="1"/>
  <c r="G80" i="1"/>
  <c r="H80" i="1"/>
  <c r="A81" i="1"/>
  <c r="B81" i="1"/>
  <c r="C81" i="1"/>
  <c r="F81" i="1"/>
  <c r="G81" i="1"/>
  <c r="H81" i="1"/>
  <c r="A82" i="1"/>
  <c r="B82" i="1"/>
  <c r="C82" i="1"/>
  <c r="F82" i="1"/>
  <c r="G82" i="1"/>
  <c r="H82" i="1"/>
  <c r="A83" i="1"/>
  <c r="B83" i="1"/>
  <c r="C83" i="1"/>
  <c r="F83" i="1"/>
  <c r="G83" i="1"/>
  <c r="H83" i="1"/>
  <c r="A84" i="1"/>
  <c r="B84" i="1"/>
  <c r="C84" i="1"/>
  <c r="F84" i="1"/>
  <c r="G84" i="1"/>
  <c r="H84" i="1"/>
  <c r="A85" i="1"/>
  <c r="B85" i="1"/>
  <c r="C85" i="1"/>
  <c r="F85" i="1"/>
  <c r="G85" i="1"/>
  <c r="H85" i="1"/>
  <c r="A86" i="1"/>
  <c r="B86" i="1"/>
  <c r="C86" i="1"/>
  <c r="F86" i="1"/>
  <c r="G86" i="1"/>
  <c r="H86" i="1"/>
  <c r="A87" i="1"/>
  <c r="B87" i="1"/>
  <c r="C87" i="1"/>
  <c r="F87" i="1"/>
  <c r="G87" i="1"/>
  <c r="H87" i="1"/>
  <c r="A88" i="1"/>
  <c r="B88" i="1"/>
  <c r="C88" i="1"/>
  <c r="F88" i="1"/>
  <c r="G88" i="1"/>
  <c r="H88" i="1"/>
  <c r="A89" i="1"/>
  <c r="B89" i="1"/>
  <c r="C89" i="1"/>
  <c r="F89" i="1"/>
  <c r="G89" i="1"/>
  <c r="H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</calcChain>
</file>

<file path=xl/sharedStrings.xml><?xml version="1.0" encoding="utf-8"?>
<sst xmlns="http://schemas.openxmlformats.org/spreadsheetml/2006/main" count="158" uniqueCount="53">
  <si>
    <t>1995/1996</t>
  </si>
  <si>
    <t>1996/1997</t>
  </si>
  <si>
    <t>1997/1998</t>
  </si>
  <si>
    <t>TOTAL</t>
  </si>
  <si>
    <t>1994/1995</t>
  </si>
  <si>
    <t>PRODUCING</t>
  </si>
  <si>
    <t>AVG</t>
  </si>
  <si>
    <t>1998/1999</t>
  </si>
  <si>
    <t>EAST</t>
  </si>
  <si>
    <t>WEST</t>
  </si>
  <si>
    <t>LOW</t>
  </si>
  <si>
    <t>HIGH</t>
  </si>
  <si>
    <t>1993 - 1998</t>
  </si>
  <si>
    <t>GIP BALANCES</t>
  </si>
  <si>
    <t xml:space="preserve">           WEEKLY</t>
  </si>
  <si>
    <t xml:space="preserve">       WITHDRAWALS</t>
  </si>
  <si>
    <t>AGA STORAGE REPORT      QUANTITIES IN BCF        GREY SHADED AREAS ARE ESTIMATES</t>
  </si>
  <si>
    <t>PRODUCTION AREA STORAGE</t>
  </si>
  <si>
    <t>MARKET AREA - EAST STORAGE</t>
  </si>
  <si>
    <t>MARKET AREA - WEST STORAGE</t>
  </si>
  <si>
    <t>TOTAL ALL AREAS STORAGE</t>
  </si>
  <si>
    <t>1999/2000</t>
  </si>
  <si>
    <t>1994</t>
  </si>
  <si>
    <t>2000/2001</t>
  </si>
  <si>
    <t>High</t>
  </si>
  <si>
    <t>Low</t>
  </si>
  <si>
    <t>Average</t>
  </si>
  <si>
    <t xml:space="preserve"> 6 - 7 Year Average</t>
  </si>
  <si>
    <t>Year</t>
  </si>
  <si>
    <t>1997</t>
  </si>
  <si>
    <t>1999</t>
  </si>
  <si>
    <t>1995</t>
  </si>
  <si>
    <t>1996</t>
  </si>
  <si>
    <t>1998</t>
  </si>
  <si>
    <t>G.I.P.</t>
  </si>
  <si>
    <t>Over</t>
  </si>
  <si>
    <t>(Under)</t>
  </si>
  <si>
    <t>Pr Year</t>
  </si>
  <si>
    <t>Per Week</t>
  </si>
  <si>
    <t>Per Day</t>
  </si>
  <si>
    <t>Make up Required</t>
  </si>
  <si>
    <t>To Get To 1999</t>
  </si>
  <si>
    <t>GIP Level By Nov 1,</t>
  </si>
  <si>
    <t>Injection</t>
  </si>
  <si>
    <t>Plus Make</t>
  </si>
  <si>
    <t>Up Volume</t>
  </si>
  <si>
    <t>Vol Withdrawn From Highest To Lowest level</t>
  </si>
  <si>
    <t>2001/2002</t>
  </si>
  <si>
    <t>Nov</t>
  </si>
  <si>
    <t>Dec</t>
  </si>
  <si>
    <t>Jan</t>
  </si>
  <si>
    <t>Febr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</si>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</sst>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dd\-mmm\-yy"/>
  </numFmts>
  <fonts count="4" x14ac:knownFonts="1">
    <font>
      <sz val="10"/>
      <name val="Arial"/>
    </font>
    <font>
      <b/>
      <sz val="14"/>
      <name val="Arial"/>
      <family val="2"/>
    </font>
    <font>
      <sz val="11"/>
      <name val="Arial"/>
      <family val="2"/>
    </font>
    <font>
      <b/>
      <sz val="1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DashDotDot">
        <color indexed="64"/>
      </left>
      <right/>
      <top style="mediumDashDotDot">
        <color indexed="64"/>
      </top>
      <bottom/>
      <diagonal/>
    </border>
    <border>
      <left/>
      <right/>
      <top style="mediumDashDotDot">
        <color indexed="64"/>
      </top>
      <bottom/>
      <diagonal/>
    </border>
    <border>
      <left style="dotted">
        <color indexed="64"/>
      </left>
      <right style="dotted">
        <color indexed="64"/>
      </right>
      <top style="mediumDashDotDot">
        <color indexed="64"/>
      </top>
      <bottom style="dotted">
        <color indexed="64"/>
      </bottom>
      <diagonal/>
    </border>
    <border>
      <left/>
      <right style="mediumDashDotDot">
        <color indexed="64"/>
      </right>
      <top style="mediumDashDotDot">
        <color indexed="64"/>
      </top>
      <bottom/>
      <diagonal/>
    </border>
    <border>
      <left style="mediumDashDotDot">
        <color indexed="64"/>
      </left>
      <right/>
      <top/>
      <bottom/>
      <diagonal/>
    </border>
    <border>
      <left/>
      <right style="mediumDashDotDot">
        <color indexed="64"/>
      </right>
      <top/>
      <bottom/>
      <diagonal/>
    </border>
    <border>
      <left style="mediumDashDotDot">
        <color indexed="64"/>
      </left>
      <right/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/>
      <right style="mediumDashDotDot">
        <color indexed="64"/>
      </right>
      <top/>
      <bottom style="mediumDashDotDot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38" fontId="0" fillId="0" borderId="0" xfId="0" applyNumberFormat="1"/>
    <xf numFmtId="176" fontId="0" fillId="0" borderId="0" xfId="0" applyNumberFormat="1"/>
    <xf numFmtId="0" fontId="0" fillId="0" borderId="0" xfId="0" applyNumberFormat="1"/>
    <xf numFmtId="38" fontId="0" fillId="0" borderId="1" xfId="0" applyNumberFormat="1" applyBorder="1" applyAlignment="1">
      <alignment horizontal="center"/>
    </xf>
    <xf numFmtId="0" fontId="0" fillId="2" borderId="2" xfId="0" applyFill="1" applyBorder="1" applyAlignment="1">
      <alignment horizontal="center"/>
    </xf>
    <xf numFmtId="38" fontId="2" fillId="0" borderId="0" xfId="0" applyNumberFormat="1" applyFont="1"/>
    <xf numFmtId="0" fontId="2" fillId="0" borderId="0" xfId="0" applyFont="1"/>
    <xf numFmtId="38" fontId="2" fillId="0" borderId="0" xfId="0" applyNumberFormat="1" applyFont="1" applyAlignment="1">
      <alignment horizontal="center"/>
    </xf>
    <xf numFmtId="38" fontId="2" fillId="2" borderId="0" xfId="0" applyNumberFormat="1" applyFont="1" applyFill="1"/>
    <xf numFmtId="38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/>
    <xf numFmtId="0" fontId="0" fillId="2" borderId="3" xfId="0" applyFill="1" applyBorder="1" applyAlignment="1">
      <alignment horizontal="center"/>
    </xf>
    <xf numFmtId="38" fontId="0" fillId="2" borderId="0" xfId="0" applyNumberFormat="1" applyFill="1"/>
    <xf numFmtId="38" fontId="2" fillId="3" borderId="0" xfId="0" applyNumberFormat="1" applyFont="1" applyFill="1" applyAlignment="1">
      <alignment horizontal="center"/>
    </xf>
    <xf numFmtId="38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38" fontId="2" fillId="0" borderId="4" xfId="0" applyNumberFormat="1" applyFont="1" applyBorder="1" applyAlignment="1">
      <alignment horizontal="center"/>
    </xf>
    <xf numFmtId="38" fontId="2" fillId="0" borderId="4" xfId="0" applyNumberFormat="1" applyFont="1" applyBorder="1"/>
    <xf numFmtId="38" fontId="2" fillId="2" borderId="0" xfId="0" applyNumberFormat="1" applyFont="1" applyFill="1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2" borderId="5" xfId="0" quotePrefix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38" fontId="0" fillId="3" borderId="0" xfId="0" applyNumberFormat="1" applyFill="1" applyAlignment="1">
      <alignment horizontal="center"/>
    </xf>
    <xf numFmtId="38" fontId="0" fillId="0" borderId="0" xfId="0" quotePrefix="1" applyNumberFormat="1" applyAlignment="1">
      <alignment horizontal="center"/>
    </xf>
    <xf numFmtId="38" fontId="0" fillId="3" borderId="0" xfId="0" quotePrefix="1" applyNumberFormat="1" applyFill="1" applyAlignment="1">
      <alignment horizontal="center"/>
    </xf>
    <xf numFmtId="0" fontId="3" fillId="0" borderId="0" xfId="0" applyFont="1" applyAlignment="1">
      <alignment horizontal="center"/>
    </xf>
    <xf numFmtId="38" fontId="0" fillId="0" borderId="6" xfId="0" applyNumberFormat="1" applyBorder="1" applyAlignment="1">
      <alignment horizontal="center"/>
    </xf>
    <xf numFmtId="38" fontId="2" fillId="0" borderId="8" xfId="0" applyNumberFormat="1" applyFon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2" fillId="0" borderId="0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0" fontId="0" fillId="0" borderId="0" xfId="0" applyNumberFormat="1" applyAlignment="1">
      <alignment horizontal="center"/>
    </xf>
    <xf numFmtId="38" fontId="0" fillId="0" borderId="8" xfId="0" quotePrefix="1" applyNumberFormat="1" applyBorder="1" applyAlignment="1">
      <alignment horizontal="center"/>
    </xf>
    <xf numFmtId="38" fontId="2" fillId="4" borderId="4" xfId="0" applyNumberFormat="1" applyFont="1" applyFill="1" applyBorder="1"/>
    <xf numFmtId="38" fontId="2" fillId="5" borderId="0" xfId="0" applyNumberFormat="1" applyFont="1" applyFill="1"/>
    <xf numFmtId="0" fontId="0" fillId="0" borderId="10" xfId="0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10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38" fontId="0" fillId="4" borderId="0" xfId="0" applyNumberFormat="1" applyFill="1"/>
    <xf numFmtId="38" fontId="0" fillId="5" borderId="0" xfId="0" applyNumberFormat="1" applyFill="1"/>
    <xf numFmtId="38" fontId="2" fillId="4" borderId="11" xfId="0" applyNumberFormat="1" applyFont="1" applyFill="1" applyBorder="1"/>
    <xf numFmtId="176" fontId="0" fillId="0" borderId="12" xfId="0" applyNumberFormat="1" applyBorder="1"/>
    <xf numFmtId="0" fontId="0" fillId="0" borderId="13" xfId="0" applyBorder="1"/>
    <xf numFmtId="38" fontId="2" fillId="4" borderId="14" xfId="0" applyNumberFormat="1" applyFont="1" applyFill="1" applyBorder="1"/>
    <xf numFmtId="38" fontId="2" fillId="0" borderId="13" xfId="0" applyNumberFormat="1" applyFont="1" applyBorder="1"/>
    <xf numFmtId="38" fontId="2" fillId="0" borderId="13" xfId="0" applyNumberFormat="1" applyFont="1" applyFill="1" applyBorder="1"/>
    <xf numFmtId="38" fontId="2" fillId="4" borderId="13" xfId="0" applyNumberFormat="1" applyFont="1" applyFill="1" applyBorder="1"/>
    <xf numFmtId="38" fontId="0" fillId="0" borderId="13" xfId="0" applyNumberFormat="1" applyBorder="1" applyAlignment="1">
      <alignment horizontal="center"/>
    </xf>
    <xf numFmtId="38" fontId="0" fillId="0" borderId="15" xfId="0" applyNumberFormat="1" applyBorder="1" applyAlignment="1">
      <alignment horizontal="center"/>
    </xf>
    <xf numFmtId="176" fontId="0" fillId="0" borderId="16" xfId="0" applyNumberFormat="1" applyBorder="1"/>
    <xf numFmtId="0" fontId="0" fillId="0" borderId="0" xfId="0" applyBorder="1"/>
    <xf numFmtId="38" fontId="2" fillId="0" borderId="0" xfId="0" applyNumberFormat="1" applyFont="1" applyBorder="1"/>
    <xf numFmtId="38" fontId="2" fillId="4" borderId="0" xfId="0" applyNumberFormat="1" applyFont="1" applyFill="1" applyBorder="1"/>
    <xf numFmtId="38" fontId="2" fillId="0" borderId="0" xfId="0" applyNumberFormat="1" applyFont="1" applyFill="1" applyBorder="1"/>
    <xf numFmtId="38" fontId="0" fillId="0" borderId="0" xfId="0" applyNumberFormat="1" applyBorder="1" applyAlignment="1">
      <alignment horizontal="center"/>
    </xf>
    <xf numFmtId="38" fontId="0" fillId="0" borderId="17" xfId="0" applyNumberFormat="1" applyBorder="1" applyAlignment="1">
      <alignment horizontal="center"/>
    </xf>
    <xf numFmtId="176" fontId="0" fillId="0" borderId="18" xfId="0" applyNumberFormat="1" applyBorder="1"/>
    <xf numFmtId="0" fontId="0" fillId="0" borderId="19" xfId="0" applyBorder="1"/>
    <xf numFmtId="38" fontId="2" fillId="0" borderId="19" xfId="0" applyNumberFormat="1" applyFont="1" applyBorder="1"/>
    <xf numFmtId="38" fontId="2" fillId="0" borderId="19" xfId="0" applyNumberFormat="1" applyFont="1" applyFill="1" applyBorder="1"/>
    <xf numFmtId="38" fontId="0" fillId="0" borderId="19" xfId="0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38" fontId="2" fillId="5" borderId="19" xfId="0" applyNumberFormat="1" applyFont="1" applyFill="1" applyBorder="1"/>
    <xf numFmtId="0" fontId="0" fillId="0" borderId="3" xfId="0" quotePrefix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38" fontId="0" fillId="0" borderId="3" xfId="0" quotePrefix="1" applyNumberFormat="1" applyBorder="1" applyAlignment="1">
      <alignment horizontal="center"/>
    </xf>
    <xf numFmtId="38" fontId="0" fillId="0" borderId="21" xfId="0" applyNumberFormat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0" fontId="0" fillId="2" borderId="5" xfId="0" quotePrefix="1" applyFill="1" applyBorder="1" applyAlignment="1">
      <alignment horizontal="center"/>
    </xf>
    <xf numFmtId="0" fontId="0" fillId="2" borderId="21" xfId="0" quotePrefix="1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38" fontId="0" fillId="0" borderId="22" xfId="0" applyNumberFormat="1" applyBorder="1" applyAlignment="1">
      <alignment horizontal="center"/>
    </xf>
    <xf numFmtId="38" fontId="0" fillId="0" borderId="23" xfId="0" applyNumberFormat="1" applyBorder="1" applyAlignment="1">
      <alignment horizontal="center"/>
    </xf>
    <xf numFmtId="38" fontId="0" fillId="0" borderId="24" xfId="0" applyNumberFormat="1" applyBorder="1" applyAlignment="1">
      <alignment horizontal="center"/>
    </xf>
    <xf numFmtId="38" fontId="0" fillId="0" borderId="25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6" xfId="0" quotePrefix="1" applyNumberFormat="1" applyBorder="1" applyAlignment="1">
      <alignment horizontal="center"/>
    </xf>
    <xf numFmtId="38" fontId="0" fillId="0" borderId="7" xfId="0" quotePrefix="1" applyNumberFormat="1" applyBorder="1" applyAlignment="1">
      <alignment horizontal="center"/>
    </xf>
    <xf numFmtId="38" fontId="0" fillId="0" borderId="10" xfId="0" quotePrefix="1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16" Type="http://schemas.openxmlformats.org/officeDocument/2006/relationships/externalLink" Target="externalLinks/externalLink15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calcChain" Target="calcChain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4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6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7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8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2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3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6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5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6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7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8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79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0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5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6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7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89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0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1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2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8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5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6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8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99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0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2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3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4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09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5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6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7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8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09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1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2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3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0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5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6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7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8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19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0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2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3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4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1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5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6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8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29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0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1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83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STOR97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1714</v>
          </cell>
        </row>
        <row r="21">
          <cell r="D21">
            <v>437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963</v>
          </cell>
        </row>
        <row r="21">
          <cell r="D21">
            <v>299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891</v>
          </cell>
        </row>
        <row r="21">
          <cell r="D21">
            <v>290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795</v>
          </cell>
        </row>
        <row r="21">
          <cell r="D21">
            <v>284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736</v>
          </cell>
        </row>
        <row r="21">
          <cell r="D21">
            <v>282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646</v>
          </cell>
        </row>
        <row r="21">
          <cell r="D21">
            <v>265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589</v>
          </cell>
        </row>
        <row r="21">
          <cell r="D21">
            <v>257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556</v>
          </cell>
        </row>
        <row r="21">
          <cell r="D21">
            <v>258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558</v>
          </cell>
        </row>
        <row r="21">
          <cell r="D21">
            <v>251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</row>
        <row r="17">
          <cell r="D17">
            <v>624</v>
          </cell>
        </row>
        <row r="21">
          <cell r="D21">
            <v>247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</row>
        <row r="17">
          <cell r="D17">
            <v>442</v>
          </cell>
        </row>
        <row r="21">
          <cell r="D21">
            <v>261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1657</v>
          </cell>
        </row>
        <row r="21">
          <cell r="D21">
            <v>430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</row>
        <row r="17">
          <cell r="D17">
            <v>417</v>
          </cell>
        </row>
        <row r="21">
          <cell r="D21">
            <v>269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</row>
        <row r="17">
          <cell r="D17">
            <v>425</v>
          </cell>
        </row>
        <row r="21">
          <cell r="D21">
            <v>277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</row>
        <row r="17">
          <cell r="D17">
            <v>445</v>
          </cell>
        </row>
        <row r="21">
          <cell r="D21">
            <v>286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</row>
        <row r="17">
          <cell r="D17">
            <v>479</v>
          </cell>
        </row>
        <row r="21">
          <cell r="D21">
            <v>293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</row>
        <row r="17">
          <cell r="D17">
            <v>519</v>
          </cell>
        </row>
        <row r="21">
          <cell r="D21">
            <v>298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</row>
        <row r="17">
          <cell r="D17">
            <v>561</v>
          </cell>
        </row>
        <row r="21">
          <cell r="D21">
            <v>304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</row>
        <row r="17">
          <cell r="D17">
            <v>601</v>
          </cell>
        </row>
        <row r="21">
          <cell r="D21">
            <v>310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</row>
        <row r="17">
          <cell r="D17">
            <v>653</v>
          </cell>
        </row>
        <row r="21">
          <cell r="D21">
            <v>322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</row>
        <row r="17">
          <cell r="D17">
            <v>706</v>
          </cell>
        </row>
        <row r="21">
          <cell r="D21">
            <v>326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</row>
        <row r="17">
          <cell r="D17">
            <v>754</v>
          </cell>
        </row>
        <row r="21">
          <cell r="D21">
            <v>331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1564</v>
          </cell>
        </row>
        <row r="21">
          <cell r="D21">
            <v>392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</row>
        <row r="17">
          <cell r="D17">
            <v>806</v>
          </cell>
        </row>
        <row r="21">
          <cell r="D21">
            <v>340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</row>
        <row r="17">
          <cell r="D17">
            <v>856</v>
          </cell>
        </row>
        <row r="21">
          <cell r="D21">
            <v>348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</row>
        <row r="17">
          <cell r="D17">
            <v>919</v>
          </cell>
        </row>
        <row r="21">
          <cell r="D21">
            <v>356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</row>
        <row r="17">
          <cell r="D17">
            <v>971</v>
          </cell>
        </row>
        <row r="21">
          <cell r="D21">
            <v>365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</row>
        <row r="17">
          <cell r="D17">
            <v>1019</v>
          </cell>
        </row>
        <row r="21">
          <cell r="D21">
            <v>370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</row>
        <row r="17">
          <cell r="D17">
            <v>1068</v>
          </cell>
        </row>
        <row r="21">
          <cell r="D21">
            <v>368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</row>
        <row r="17">
          <cell r="D17">
            <v>1117</v>
          </cell>
        </row>
        <row r="21">
          <cell r="D21">
            <v>367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</row>
        <row r="17">
          <cell r="D17">
            <v>1157</v>
          </cell>
        </row>
        <row r="21">
          <cell r="D21">
            <v>367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</row>
        <row r="17">
          <cell r="D17">
            <v>1209</v>
          </cell>
        </row>
        <row r="21">
          <cell r="D21">
            <v>366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</row>
        <row r="17">
          <cell r="D17">
            <v>1254</v>
          </cell>
        </row>
        <row r="21">
          <cell r="D21">
            <v>361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1469</v>
          </cell>
        </row>
        <row r="21">
          <cell r="D21">
            <v>385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</row>
        <row r="17">
          <cell r="D17">
            <v>1294</v>
          </cell>
        </row>
        <row r="21">
          <cell r="D21">
            <v>360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</row>
        <row r="17">
          <cell r="D17">
            <v>1344</v>
          </cell>
        </row>
        <row r="21">
          <cell r="D21">
            <v>365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</row>
        <row r="17">
          <cell r="D17">
            <v>1392</v>
          </cell>
        </row>
        <row r="21">
          <cell r="D21">
            <v>367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</row>
        <row r="17">
          <cell r="D17">
            <v>1449</v>
          </cell>
        </row>
        <row r="21">
          <cell r="D21">
            <v>369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</row>
        <row r="17">
          <cell r="D17">
            <v>1499</v>
          </cell>
        </row>
        <row r="21">
          <cell r="D21">
            <v>372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</row>
        <row r="17">
          <cell r="D17">
            <v>1546</v>
          </cell>
        </row>
        <row r="21">
          <cell r="D21">
            <v>375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</row>
        <row r="17">
          <cell r="D17">
            <v>1566</v>
          </cell>
        </row>
        <row r="21">
          <cell r="D21">
            <v>378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</row>
        <row r="17">
          <cell r="D17">
            <v>1613</v>
          </cell>
        </row>
        <row r="21">
          <cell r="D21">
            <v>380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</row>
        <row r="17">
          <cell r="D17">
            <v>1661</v>
          </cell>
        </row>
        <row r="21">
          <cell r="D21">
            <v>385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</row>
        <row r="17">
          <cell r="D17">
            <v>1678</v>
          </cell>
        </row>
        <row r="21">
          <cell r="D21">
            <v>383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1317</v>
          </cell>
        </row>
        <row r="21">
          <cell r="D21">
            <v>368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</row>
        <row r="17">
          <cell r="D17">
            <v>1682</v>
          </cell>
        </row>
        <row r="21">
          <cell r="D21">
            <v>372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</row>
        <row r="17">
          <cell r="D17">
            <v>1643</v>
          </cell>
        </row>
        <row r="21">
          <cell r="D21">
            <v>341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</row>
        <row r="17">
          <cell r="D17">
            <v>1552</v>
          </cell>
        </row>
        <row r="21">
          <cell r="D21">
            <v>328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</row>
        <row r="17">
          <cell r="D17">
            <v>1495</v>
          </cell>
        </row>
        <row r="21">
          <cell r="D21">
            <v>323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</row>
        <row r="17">
          <cell r="D17">
            <v>1385</v>
          </cell>
        </row>
        <row r="21">
          <cell r="D21">
            <v>316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</row>
        <row r="17">
          <cell r="D17">
            <v>1285</v>
          </cell>
        </row>
        <row r="21">
          <cell r="D21">
            <v>304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</row>
        <row r="17">
          <cell r="D17">
            <v>1175</v>
          </cell>
        </row>
        <row r="21">
          <cell r="D21">
            <v>290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</row>
        <row r="17">
          <cell r="D17">
            <v>1033</v>
          </cell>
        </row>
        <row r="21">
          <cell r="D21">
            <v>286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</row>
        <row r="17">
          <cell r="D17">
            <v>935</v>
          </cell>
        </row>
        <row r="21">
          <cell r="D21">
            <v>277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</row>
        <row r="17">
          <cell r="D17">
            <v>872</v>
          </cell>
        </row>
        <row r="21">
          <cell r="D21">
            <v>264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1182</v>
          </cell>
        </row>
        <row r="21">
          <cell r="D21">
            <v>356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</row>
        <row r="17">
          <cell r="D17">
            <v>816</v>
          </cell>
        </row>
        <row r="21">
          <cell r="D21">
            <v>241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</row>
        <row r="17">
          <cell r="D17">
            <v>723</v>
          </cell>
        </row>
        <row r="21">
          <cell r="D21">
            <v>222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</row>
        <row r="17">
          <cell r="D17">
            <v>657</v>
          </cell>
        </row>
        <row r="21">
          <cell r="D21">
            <v>202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</row>
        <row r="17">
          <cell r="D17">
            <v>592</v>
          </cell>
        </row>
        <row r="21">
          <cell r="D21">
            <v>182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</row>
        <row r="17">
          <cell r="D17">
            <v>537</v>
          </cell>
        </row>
        <row r="21">
          <cell r="D21">
            <v>166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</row>
        <row r="17">
          <cell r="D17">
            <v>456</v>
          </cell>
        </row>
        <row r="21">
          <cell r="D21">
            <v>161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</row>
        <row r="17">
          <cell r="D17">
            <v>402</v>
          </cell>
        </row>
        <row r="21">
          <cell r="D21">
            <v>148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</row>
        <row r="17">
          <cell r="D17">
            <v>341</v>
          </cell>
        </row>
        <row r="21">
          <cell r="D21">
            <v>145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</row>
        <row r="17">
          <cell r="D17">
            <v>310</v>
          </cell>
        </row>
        <row r="21">
          <cell r="D21">
            <v>150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</row>
        <row r="17">
          <cell r="D17">
            <v>297</v>
          </cell>
        </row>
        <row r="21">
          <cell r="D21">
            <v>156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1115</v>
          </cell>
        </row>
        <row r="21">
          <cell r="D21">
            <v>350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</row>
        <row r="17">
          <cell r="D17">
            <v>253</v>
          </cell>
        </row>
        <row r="21">
          <cell r="D21">
            <v>164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</row>
        <row r="17">
          <cell r="D17">
            <v>252</v>
          </cell>
        </row>
        <row r="21">
          <cell r="D21">
            <v>171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</row>
        <row r="17">
          <cell r="D17">
            <v>295</v>
          </cell>
        </row>
        <row r="21">
          <cell r="D21">
            <v>172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</row>
        <row r="17">
          <cell r="D17">
            <v>315</v>
          </cell>
        </row>
        <row r="21">
          <cell r="D21">
            <v>181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</row>
        <row r="17">
          <cell r="D17">
            <v>372</v>
          </cell>
        </row>
        <row r="21">
          <cell r="D21">
            <v>192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</row>
        <row r="17">
          <cell r="D17">
            <v>432</v>
          </cell>
        </row>
        <row r="21">
          <cell r="D21">
            <v>206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351</v>
          </cell>
        </row>
        <row r="17">
          <cell r="D17">
            <v>507</v>
          </cell>
        </row>
        <row r="21">
          <cell r="D21">
            <v>219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390</v>
          </cell>
        </row>
        <row r="17">
          <cell r="D17">
            <v>558</v>
          </cell>
        </row>
        <row r="21">
          <cell r="D21">
            <v>234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1069</v>
          </cell>
        </row>
        <row r="21">
          <cell r="D21">
            <v>332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OR951"/>
    </sheetNames>
    <sheetDataSet>
      <sheetData sheetId="0">
        <row r="17">
          <cell r="D17">
            <v>1006</v>
          </cell>
        </row>
        <row r="21">
          <cell r="D21">
            <v>320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117"/>
  <sheetViews>
    <sheetView showGridLines="0" tabSelected="1" topLeftCell="CA37" zoomScaleNormal="100" workbookViewId="0">
      <selection activeCell="CQ50" sqref="CQ50"/>
    </sheetView>
  </sheetViews>
  <sheetFormatPr defaultRowHeight="12.75" x14ac:dyDescent="0.2"/>
  <cols>
    <col min="1" max="1" width="3.7109375" customWidth="1"/>
    <col min="2" max="2" width="16" customWidth="1"/>
    <col min="3" max="3" width="9.7109375" customWidth="1"/>
    <col min="4" max="4" width="6.7109375" customWidth="1"/>
    <col min="5" max="5" width="5.7109375" customWidth="1"/>
    <col min="6" max="6" width="6.7109375" customWidth="1"/>
    <col min="7" max="7" width="5.7109375" style="3" customWidth="1"/>
    <col min="8" max="8" width="6.7109375" customWidth="1"/>
    <col min="9" max="9" width="5.7109375" customWidth="1"/>
    <col min="10" max="10" width="6.7109375" customWidth="1"/>
    <col min="11" max="11" width="5.7109375" customWidth="1"/>
    <col min="12" max="12" width="6.7109375" customWidth="1"/>
    <col min="13" max="13" width="5.7109375" customWidth="1"/>
    <col min="14" max="14" width="6.7109375" customWidth="1"/>
    <col min="15" max="15" width="5.7109375" customWidth="1"/>
    <col min="16" max="16" width="6.7109375" customWidth="1"/>
    <col min="17" max="17" width="5.7109375" customWidth="1"/>
    <col min="18" max="21" width="6.7109375" customWidth="1"/>
    <col min="22" max="22" width="7.7109375" style="1" customWidth="1"/>
    <col min="23" max="24" width="6.7109375" customWidth="1"/>
    <col min="25" max="25" width="3.7109375" customWidth="1"/>
    <col min="26" max="26" width="15.7109375" customWidth="1"/>
    <col min="27" max="27" width="9.7109375" customWidth="1"/>
    <col min="28" max="28" width="6.7109375" customWidth="1"/>
    <col min="29" max="29" width="5.7109375" customWidth="1"/>
    <col min="30" max="30" width="6.7109375" customWidth="1"/>
    <col min="31" max="31" width="5.7109375" customWidth="1"/>
    <col min="32" max="32" width="6.7109375" customWidth="1"/>
    <col min="33" max="33" width="5.7109375" customWidth="1"/>
    <col min="34" max="34" width="6.7109375" style="1" customWidth="1"/>
    <col min="35" max="35" width="5.7109375" customWidth="1"/>
    <col min="36" max="36" width="6.7109375" customWidth="1"/>
    <col min="37" max="37" width="5.7109375" customWidth="1"/>
    <col min="38" max="38" width="6.7109375" customWidth="1"/>
    <col min="39" max="39" width="5.7109375" customWidth="1"/>
    <col min="40" max="40" width="6.7109375" customWidth="1"/>
    <col min="41" max="41" width="5.7109375" customWidth="1"/>
    <col min="42" max="45" width="6.7109375" customWidth="1"/>
    <col min="46" max="46" width="5.7109375" customWidth="1"/>
    <col min="47" max="48" width="4.7109375" customWidth="1"/>
    <col min="49" max="49" width="3.7109375" customWidth="1"/>
    <col min="50" max="50" width="15.7109375" customWidth="1"/>
    <col min="51" max="51" width="9.7109375" customWidth="1"/>
    <col min="52" max="52" width="6.7109375" customWidth="1"/>
    <col min="53" max="53" width="5.7109375" customWidth="1"/>
    <col min="54" max="55" width="7.28515625" customWidth="1"/>
    <col min="56" max="71" width="6.7109375" customWidth="1"/>
    <col min="72" max="72" width="3.7109375" customWidth="1"/>
    <col min="73" max="73" width="15.7109375" customWidth="1"/>
    <col min="74" max="74" width="9.7109375" customWidth="1"/>
    <col min="75" max="92" width="6.7109375" customWidth="1"/>
    <col min="93" max="94" width="6.7109375" style="26" customWidth="1"/>
    <col min="95" max="95" width="9.7109375" style="26" customWidth="1"/>
    <col min="96" max="96" width="7.7109375" style="26" customWidth="1"/>
    <col min="97" max="97" width="9.7109375" style="26" customWidth="1"/>
    <col min="98" max="98" width="4.85546875" customWidth="1"/>
    <col min="99" max="100" width="0" hidden="1" customWidth="1"/>
    <col min="101" max="105" width="9.140625" style="15"/>
  </cols>
  <sheetData>
    <row r="1" spans="1:105" ht="18" customHeight="1" x14ac:dyDescent="0.25">
      <c r="A1" s="16" t="s">
        <v>16</v>
      </c>
      <c r="B1" s="16"/>
      <c r="C1" s="16"/>
      <c r="D1" s="16"/>
      <c r="E1" s="16"/>
      <c r="F1" s="16"/>
      <c r="G1" s="16"/>
      <c r="H1" s="16"/>
      <c r="I1" s="16"/>
      <c r="J1" s="16"/>
      <c r="Y1" s="16" t="s">
        <v>16</v>
      </c>
      <c r="Z1" s="16"/>
      <c r="AA1" s="16"/>
      <c r="AB1" s="16"/>
      <c r="AC1" s="16"/>
      <c r="AD1" s="16"/>
      <c r="AE1" s="16"/>
      <c r="AF1" s="16"/>
      <c r="AG1" s="16"/>
      <c r="AH1" s="16"/>
      <c r="AT1" s="1"/>
      <c r="AW1" s="16" t="s">
        <v>16</v>
      </c>
      <c r="AX1" s="16"/>
      <c r="AY1" s="16"/>
      <c r="AZ1" s="16"/>
      <c r="BA1" s="16"/>
      <c r="BB1" s="16"/>
      <c r="BC1" s="16"/>
      <c r="BD1" s="16"/>
      <c r="BE1" s="16"/>
      <c r="BF1" s="16"/>
      <c r="BR1" s="1"/>
      <c r="BT1" s="16" t="s">
        <v>16</v>
      </c>
      <c r="BU1" s="16"/>
      <c r="BV1" s="16"/>
      <c r="BW1" s="16"/>
      <c r="BX1" s="16"/>
      <c r="BY1" s="16"/>
      <c r="BZ1" s="16"/>
      <c r="CA1" s="16"/>
      <c r="CB1" s="16"/>
      <c r="CC1" s="16"/>
      <c r="CO1" s="15"/>
      <c r="CP1" s="15"/>
      <c r="CQ1" s="15"/>
      <c r="CR1" s="15"/>
      <c r="CS1" s="15"/>
    </row>
    <row r="2" spans="1:105" ht="24" customHeight="1" x14ac:dyDescent="0.35">
      <c r="A2" s="30" t="s">
        <v>17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Y2" s="30" t="s">
        <v>18</v>
      </c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W2" s="30" t="s">
        <v>19</v>
      </c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Y2" s="30" t="s">
        <v>20</v>
      </c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</row>
    <row r="3" spans="1:105" ht="18" customHeight="1" thickBot="1" x14ac:dyDescent="0.4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5"/>
      <c r="CR3" s="30"/>
      <c r="CS3" s="30"/>
      <c r="CT3" s="30"/>
      <c r="CU3" s="30"/>
      <c r="CV3" s="30"/>
    </row>
    <row r="4" spans="1:105" ht="12.95" customHeight="1" x14ac:dyDescent="0.2">
      <c r="BU4" s="2"/>
      <c r="BY4" s="6"/>
      <c r="BZ4" s="8"/>
      <c r="CA4" s="6"/>
      <c r="CB4" s="8"/>
      <c r="CC4" s="6"/>
      <c r="CD4" s="8"/>
      <c r="CE4" s="6"/>
      <c r="CF4" s="8"/>
      <c r="CG4" s="6"/>
      <c r="CH4" s="8"/>
      <c r="CI4" s="14"/>
      <c r="CJ4" s="14"/>
      <c r="CK4" s="14"/>
      <c r="CL4" s="14"/>
      <c r="CM4" s="14"/>
      <c r="CN4" s="14"/>
      <c r="CO4" s="8"/>
      <c r="CP4" s="32" t="s">
        <v>34</v>
      </c>
      <c r="CQ4" s="86" t="s">
        <v>40</v>
      </c>
      <c r="CR4" s="87"/>
      <c r="CS4" s="38" t="s">
        <v>30</v>
      </c>
      <c r="CT4" s="7"/>
    </row>
    <row r="5" spans="1:105" ht="12.95" customHeight="1" thickBot="1" x14ac:dyDescent="0.25"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5"/>
      <c r="CP5" s="33" t="s">
        <v>35</v>
      </c>
      <c r="CQ5" s="88" t="s">
        <v>41</v>
      </c>
      <c r="CR5" s="89"/>
      <c r="CS5" s="33" t="s">
        <v>43</v>
      </c>
    </row>
    <row r="6" spans="1:105" ht="12.95" customHeight="1" thickBot="1" x14ac:dyDescent="0.25">
      <c r="BW6" s="24"/>
      <c r="BX6" s="25"/>
      <c r="BY6" s="42" t="s">
        <v>3</v>
      </c>
      <c r="BZ6" s="42"/>
      <c r="CA6" s="42"/>
      <c r="CB6" s="42"/>
      <c r="CC6" s="42"/>
      <c r="CD6" s="42"/>
      <c r="CE6" s="42"/>
      <c r="CF6" s="42"/>
      <c r="CG6" s="42"/>
      <c r="CH6" s="42"/>
      <c r="CI6" s="42"/>
      <c r="CJ6" s="42"/>
      <c r="CK6" s="42"/>
      <c r="CL6" s="42"/>
      <c r="CM6" s="42"/>
      <c r="CN6" s="42"/>
      <c r="CO6" s="42"/>
      <c r="CP6" s="33" t="s">
        <v>36</v>
      </c>
      <c r="CQ6" s="90" t="s">
        <v>42</v>
      </c>
      <c r="CR6" s="76"/>
      <c r="CS6" s="33" t="s">
        <v>44</v>
      </c>
    </row>
    <row r="7" spans="1:105" ht="13.5" thickBot="1" x14ac:dyDescent="0.25">
      <c r="D7" s="24"/>
      <c r="E7" s="25"/>
      <c r="F7" s="44" t="s">
        <v>5</v>
      </c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1"/>
      <c r="AB7" s="24"/>
      <c r="AC7" s="25"/>
      <c r="AD7" s="42" t="s">
        <v>8</v>
      </c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3"/>
      <c r="AZ7" s="24"/>
      <c r="BA7" s="25"/>
      <c r="BB7" s="42" t="s">
        <v>9</v>
      </c>
      <c r="BC7" s="42"/>
      <c r="BD7" s="42"/>
      <c r="BE7" s="42"/>
      <c r="BF7" s="42"/>
      <c r="BG7" s="42"/>
      <c r="BH7" s="42"/>
      <c r="BI7" s="42"/>
      <c r="BJ7" s="42"/>
      <c r="BK7" s="42"/>
      <c r="BL7" s="42"/>
      <c r="BM7" s="42"/>
      <c r="BN7" s="42"/>
      <c r="BO7" s="42"/>
      <c r="BP7" s="42"/>
      <c r="BQ7" s="42"/>
      <c r="BR7" s="43"/>
      <c r="BW7" s="73" t="s">
        <v>22</v>
      </c>
      <c r="BX7" s="74"/>
      <c r="BY7" s="70" t="s">
        <v>4</v>
      </c>
      <c r="BZ7" s="71"/>
      <c r="CA7" s="70" t="s">
        <v>0</v>
      </c>
      <c r="CB7" s="71"/>
      <c r="CC7" s="75" t="s">
        <v>1</v>
      </c>
      <c r="CD7" s="76"/>
      <c r="CE7" s="72" t="s">
        <v>2</v>
      </c>
      <c r="CF7" s="71"/>
      <c r="CG7" s="72" t="s">
        <v>7</v>
      </c>
      <c r="CH7" s="71"/>
      <c r="CI7" s="72" t="s">
        <v>21</v>
      </c>
      <c r="CJ7" s="71"/>
      <c r="CK7" s="70" t="s">
        <v>23</v>
      </c>
      <c r="CL7" s="71"/>
      <c r="CM7" s="70" t="s">
        <v>47</v>
      </c>
      <c r="CN7" s="71"/>
      <c r="CO7" s="31" t="s">
        <v>6</v>
      </c>
      <c r="CP7" s="34" t="s">
        <v>37</v>
      </c>
      <c r="CQ7" s="36" t="s">
        <v>38</v>
      </c>
      <c r="CR7" s="4" t="s">
        <v>39</v>
      </c>
      <c r="CS7" s="34" t="s">
        <v>45</v>
      </c>
      <c r="CW7" s="91" t="s">
        <v>27</v>
      </c>
      <c r="CX7" s="92"/>
      <c r="CY7" s="92"/>
      <c r="CZ7" s="92"/>
      <c r="DA7" s="93"/>
    </row>
    <row r="8" spans="1:105" ht="13.5" thickBot="1" x14ac:dyDescent="0.25">
      <c r="D8" s="73" t="s">
        <v>22</v>
      </c>
      <c r="E8" s="74"/>
      <c r="F8" s="70" t="s">
        <v>4</v>
      </c>
      <c r="G8" s="71"/>
      <c r="H8" s="70" t="s">
        <v>0</v>
      </c>
      <c r="I8" s="71"/>
      <c r="J8" s="75" t="s">
        <v>1</v>
      </c>
      <c r="K8" s="76"/>
      <c r="L8" s="72" t="s">
        <v>2</v>
      </c>
      <c r="M8" s="71"/>
      <c r="N8" s="72" t="s">
        <v>7</v>
      </c>
      <c r="O8" s="71"/>
      <c r="P8" s="72" t="s">
        <v>21</v>
      </c>
      <c r="Q8" s="71"/>
      <c r="R8" s="70" t="s">
        <v>23</v>
      </c>
      <c r="S8" s="71"/>
      <c r="T8" s="70" t="s">
        <v>47</v>
      </c>
      <c r="U8" s="71"/>
      <c r="V8" s="4" t="s">
        <v>6</v>
      </c>
      <c r="AB8" s="73" t="s">
        <v>22</v>
      </c>
      <c r="AC8" s="74"/>
      <c r="AD8" s="70" t="s">
        <v>4</v>
      </c>
      <c r="AE8" s="71"/>
      <c r="AF8" s="70" t="s">
        <v>0</v>
      </c>
      <c r="AG8" s="71"/>
      <c r="AH8" s="75" t="s">
        <v>1</v>
      </c>
      <c r="AI8" s="76"/>
      <c r="AJ8" s="72" t="s">
        <v>2</v>
      </c>
      <c r="AK8" s="71"/>
      <c r="AL8" s="72" t="s">
        <v>7</v>
      </c>
      <c r="AM8" s="71"/>
      <c r="AN8" s="72" t="s">
        <v>21</v>
      </c>
      <c r="AO8" s="71"/>
      <c r="AP8" s="70" t="s">
        <v>23</v>
      </c>
      <c r="AQ8" s="71"/>
      <c r="AR8" s="70" t="s">
        <v>47</v>
      </c>
      <c r="AS8" s="71"/>
      <c r="AT8" s="4" t="s">
        <v>6</v>
      </c>
      <c r="AZ8" s="73" t="s">
        <v>22</v>
      </c>
      <c r="BA8" s="74"/>
      <c r="BB8" s="70" t="s">
        <v>4</v>
      </c>
      <c r="BC8" s="71"/>
      <c r="BD8" s="70" t="s">
        <v>0</v>
      </c>
      <c r="BE8" s="71"/>
      <c r="BF8" s="75" t="s">
        <v>1</v>
      </c>
      <c r="BG8" s="76"/>
      <c r="BH8" s="72" t="s">
        <v>2</v>
      </c>
      <c r="BI8" s="71"/>
      <c r="BJ8" s="72" t="s">
        <v>7</v>
      </c>
      <c r="BK8" s="71"/>
      <c r="BL8" s="72" t="s">
        <v>21</v>
      </c>
      <c r="BM8" s="71"/>
      <c r="BN8" s="70" t="s">
        <v>23</v>
      </c>
      <c r="BO8" s="71"/>
      <c r="BP8" s="70" t="s">
        <v>47</v>
      </c>
      <c r="BQ8" s="71"/>
      <c r="BR8" s="4" t="s">
        <v>6</v>
      </c>
    </row>
    <row r="9" spans="1:105" ht="13.5" customHeight="1" thickBot="1" x14ac:dyDescent="0.25">
      <c r="F9" s="7"/>
      <c r="G9" s="6"/>
      <c r="H9" s="7"/>
      <c r="I9" s="6"/>
      <c r="J9" s="6"/>
      <c r="K9" s="6"/>
      <c r="L9" s="6"/>
      <c r="M9" s="6"/>
      <c r="N9" s="6"/>
      <c r="O9" s="6"/>
      <c r="P9" s="7"/>
      <c r="Q9" s="7"/>
      <c r="R9" s="7"/>
      <c r="S9" s="7"/>
      <c r="T9" s="7"/>
      <c r="U9" s="7"/>
      <c r="V9" s="8"/>
      <c r="W9" s="7"/>
      <c r="X9" s="7"/>
      <c r="AD9" s="7"/>
      <c r="AE9" s="6"/>
      <c r="AF9" s="7"/>
      <c r="AG9" s="6"/>
      <c r="AH9" s="6"/>
      <c r="AI9" s="6"/>
      <c r="AJ9" s="6"/>
      <c r="AK9" s="6"/>
      <c r="AL9" s="6"/>
      <c r="AM9" s="6"/>
      <c r="AN9" s="7"/>
      <c r="AO9" s="7"/>
      <c r="AP9" s="7"/>
      <c r="AQ9" s="7"/>
      <c r="AR9" s="7"/>
      <c r="AS9" s="7"/>
      <c r="AT9" s="8"/>
      <c r="AU9" s="7"/>
      <c r="AV9" s="7"/>
      <c r="BB9" s="7"/>
      <c r="BC9" s="6"/>
      <c r="BD9" s="7"/>
      <c r="BE9" s="6"/>
      <c r="BF9" s="6"/>
      <c r="BG9" s="6"/>
      <c r="BH9" s="6"/>
      <c r="BI9" s="6"/>
      <c r="BJ9" s="6"/>
      <c r="BK9" s="6"/>
      <c r="BL9" s="7"/>
      <c r="BM9" s="7"/>
      <c r="BN9" s="7"/>
      <c r="BO9" s="7"/>
      <c r="BP9" s="7"/>
      <c r="BQ9" s="7"/>
      <c r="BR9" s="6"/>
      <c r="CW9" s="4" t="s">
        <v>24</v>
      </c>
      <c r="CX9" s="4" t="s">
        <v>28</v>
      </c>
      <c r="CY9" s="4" t="s">
        <v>25</v>
      </c>
      <c r="CZ9" s="4" t="s">
        <v>28</v>
      </c>
      <c r="DA9" s="4" t="s">
        <v>26</v>
      </c>
    </row>
    <row r="10" spans="1:105" ht="13.5" customHeight="1" x14ac:dyDescent="0.2">
      <c r="B10" s="2">
        <v>36623</v>
      </c>
      <c r="F10" s="8">
        <v>305</v>
      </c>
      <c r="G10" s="8">
        <f>F10-D61</f>
        <v>19</v>
      </c>
      <c r="H10" s="8">
        <v>389</v>
      </c>
      <c r="I10" s="8">
        <f>H10-F61</f>
        <v>7</v>
      </c>
      <c r="J10" s="8">
        <v>161</v>
      </c>
      <c r="K10" s="8">
        <f>J10-H61</f>
        <v>-5</v>
      </c>
      <c r="L10" s="8">
        <v>310</v>
      </c>
      <c r="M10" s="8">
        <f>L10-J61</f>
        <v>7</v>
      </c>
      <c r="N10" s="8">
        <v>383</v>
      </c>
      <c r="O10" s="8">
        <f>N10-L61</f>
        <v>16</v>
      </c>
      <c r="P10" s="10">
        <v>539</v>
      </c>
      <c r="Q10" s="10">
        <v>11</v>
      </c>
      <c r="R10" s="10">
        <f>[19]STOR951!$D$13</f>
        <v>330</v>
      </c>
      <c r="S10" s="10">
        <f>R10-P61</f>
        <v>-4</v>
      </c>
      <c r="T10" s="10">
        <f>[71]STOR951!$D$13</f>
        <v>218</v>
      </c>
      <c r="U10" s="10">
        <f>T10-R61</f>
        <v>8</v>
      </c>
      <c r="V10" s="8">
        <f>IF(T10&gt;0,(G10+I10+K10+M10+O10+Q10+S10-U10)/8,(G10+I10+K10+M10+O10+Q10+S10)/7)</f>
        <v>5.375</v>
      </c>
      <c r="X10" s="21"/>
      <c r="Z10" s="2">
        <v>36259</v>
      </c>
      <c r="AD10" s="6">
        <v>373</v>
      </c>
      <c r="AE10" s="8">
        <f>AD10-AB61</f>
        <v>21</v>
      </c>
      <c r="AF10" s="6">
        <v>480</v>
      </c>
      <c r="AG10" s="8">
        <f>AF10-AD61</f>
        <v>-9</v>
      </c>
      <c r="AH10" s="6">
        <v>160</v>
      </c>
      <c r="AI10" s="8">
        <f>AH10-AF61</f>
        <v>-14</v>
      </c>
      <c r="AJ10" s="6">
        <v>356</v>
      </c>
      <c r="AK10" s="8">
        <f>AJ10-AH61</f>
        <v>-23</v>
      </c>
      <c r="AL10" s="6">
        <v>535</v>
      </c>
      <c r="AM10" s="8">
        <f>AL10-AJ61</f>
        <v>9</v>
      </c>
      <c r="AN10" s="10">
        <v>592</v>
      </c>
      <c r="AO10" s="10">
        <v>34</v>
      </c>
      <c r="AP10" s="10">
        <f>[19]STOR951!$D$17</f>
        <v>442</v>
      </c>
      <c r="AQ10" s="10">
        <f>AP10-AN61</f>
        <v>1</v>
      </c>
      <c r="AR10" s="10">
        <f>[71]STOR951!$D$17</f>
        <v>252</v>
      </c>
      <c r="AS10" s="10">
        <f>AR10-AP61</f>
        <v>-1</v>
      </c>
      <c r="AT10" s="8">
        <f>IF(AR10&gt;0,(AE10+AG10+AI10+AK10+AM10+AO10+AQ10+AS10)/8,(AE10+AG10+AI10+AK10+AM10+AO10+AQ10)/7)</f>
        <v>2.25</v>
      </c>
      <c r="AU10" s="7"/>
      <c r="AV10" s="7"/>
      <c r="AX10" s="2">
        <v>36259</v>
      </c>
      <c r="BB10" s="6">
        <v>226</v>
      </c>
      <c r="BC10" s="8">
        <f>BB10-AZ61</f>
        <v>-1</v>
      </c>
      <c r="BD10" s="6">
        <v>261</v>
      </c>
      <c r="BE10" s="8">
        <f>BD10-BB61</f>
        <v>-2</v>
      </c>
      <c r="BF10" s="6">
        <v>225</v>
      </c>
      <c r="BG10" s="8">
        <f>BF10-BD61</f>
        <v>6</v>
      </c>
      <c r="BH10" s="6">
        <v>170</v>
      </c>
      <c r="BI10" s="8">
        <f>BH10-BF61</f>
        <v>0</v>
      </c>
      <c r="BJ10" s="6">
        <v>163</v>
      </c>
      <c r="BK10" s="8">
        <f>BJ10-BH61</f>
        <v>-3</v>
      </c>
      <c r="BL10" s="10">
        <v>236</v>
      </c>
      <c r="BM10" s="8">
        <v>-15</v>
      </c>
      <c r="BN10" s="10">
        <f>[19]STOR951!$D$21</f>
        <v>261</v>
      </c>
      <c r="BO10" s="10">
        <f>BN10-BL61</f>
        <v>5</v>
      </c>
      <c r="BP10" s="10">
        <f>[71]STOR951!$D$21</f>
        <v>171</v>
      </c>
      <c r="BQ10" s="10">
        <f>BP10-BN61</f>
        <v>7</v>
      </c>
      <c r="BR10" s="8">
        <f>IF(BP10&gt;0,(BC10+BE10+BG10+BI10+BK10+BM10+BO10+BQ10)/8,(BC10+BE10+BG10+BI10+BK10+BM10-BO10)/7)</f>
        <v>-0.375</v>
      </c>
      <c r="BU10" s="2">
        <v>36259</v>
      </c>
      <c r="BY10" s="40">
        <f t="shared" ref="BY10:BY41" si="0">BB10+AD10+F10</f>
        <v>904</v>
      </c>
      <c r="BZ10" s="6">
        <f t="shared" ref="BZ10:BZ41" si="1">BC10+AE10+G10</f>
        <v>39</v>
      </c>
      <c r="CA10" s="40">
        <f t="shared" ref="CA10:CA41" si="2">BD10+AF10+H10</f>
        <v>1130</v>
      </c>
      <c r="CB10" s="6">
        <f t="shared" ref="CB10:CB41" si="3">BE10+AG10+I10</f>
        <v>-4</v>
      </c>
      <c r="CC10" s="40">
        <f t="shared" ref="CC10:CC41" si="4">BF10+AH10+J10</f>
        <v>546</v>
      </c>
      <c r="CD10" s="6">
        <f t="shared" ref="CD10:CD41" si="5">BG10+AI10+K10</f>
        <v>-13</v>
      </c>
      <c r="CE10" s="6">
        <f t="shared" ref="CE10:CE41" si="6">BH10+AJ10+L10</f>
        <v>836</v>
      </c>
      <c r="CF10" s="6">
        <f t="shared" ref="CF10:CF41" si="7">BI10+AK10+M10</f>
        <v>-16</v>
      </c>
      <c r="CG10" s="6">
        <f t="shared" ref="CG10:CG41" si="8">BJ10+AL10+N10</f>
        <v>1081</v>
      </c>
      <c r="CH10" s="6">
        <f t="shared" ref="CH10:CH41" si="9">BK10+AM10+O10</f>
        <v>22</v>
      </c>
      <c r="CI10" s="11">
        <f t="shared" ref="CI10:CI41" si="10">BL10+AN10+P10</f>
        <v>1367</v>
      </c>
      <c r="CJ10" s="11">
        <f t="shared" ref="CJ10:CJ41" si="11">BM10+AO10+Q10</f>
        <v>30</v>
      </c>
      <c r="CK10" s="11">
        <f t="shared" ref="CK10:CK41" si="12">BN10+AP10+R10</f>
        <v>1033</v>
      </c>
      <c r="CL10" s="11">
        <f t="shared" ref="CL10:CL41" si="13">BO10+AQ10+S10</f>
        <v>2</v>
      </c>
      <c r="CM10" s="11">
        <f>BP10+AR10+T10</f>
        <v>641</v>
      </c>
      <c r="CN10" s="11">
        <f>BQ10+AS10+U10</f>
        <v>14</v>
      </c>
      <c r="CO10" s="15">
        <f>IF(CM10&gt;0,(CN10+CL10+CJ10+CH10+CF10+CD10+CB10+BZ10)/8,(CL10+CJ10+CH10+CF10+CD10+CB10+BZ10)/7)</f>
        <v>9.25</v>
      </c>
      <c r="CP10" s="15">
        <f>IF(CM10=0,0,CM10-CK10)</f>
        <v>-392</v>
      </c>
      <c r="CQ10" s="37">
        <f>CP10/30</f>
        <v>-13.066666666666666</v>
      </c>
      <c r="CR10" s="37">
        <f>CQ10/7</f>
        <v>-1.8666666666666667</v>
      </c>
      <c r="CS10" s="37"/>
      <c r="CT10" s="1"/>
      <c r="CW10" s="15">
        <v>39</v>
      </c>
      <c r="CX10" s="28" t="s">
        <v>22</v>
      </c>
      <c r="CY10" s="15">
        <v>-16</v>
      </c>
      <c r="CZ10" s="28" t="s">
        <v>29</v>
      </c>
      <c r="DA10" s="15">
        <f>CO10</f>
        <v>9.25</v>
      </c>
    </row>
    <row r="11" spans="1:105" ht="13.5" customHeight="1" x14ac:dyDescent="0.2">
      <c r="B11" s="2">
        <v>36630</v>
      </c>
      <c r="F11" s="8">
        <v>335</v>
      </c>
      <c r="G11" s="8">
        <f t="shared" ref="G11:G42" si="14">F11-F10</f>
        <v>30</v>
      </c>
      <c r="H11" s="8">
        <v>409</v>
      </c>
      <c r="I11" s="8">
        <f t="shared" ref="I11:I42" si="15">H11-H10</f>
        <v>20</v>
      </c>
      <c r="J11" s="8">
        <v>168</v>
      </c>
      <c r="K11" s="8">
        <f t="shared" ref="K11:K42" si="16">J11-J10</f>
        <v>7</v>
      </c>
      <c r="L11" s="8">
        <v>303</v>
      </c>
      <c r="M11" s="8">
        <f t="shared" ref="M11:M42" si="17">L11-L10</f>
        <v>-7</v>
      </c>
      <c r="N11" s="8">
        <v>410</v>
      </c>
      <c r="O11" s="8">
        <f t="shared" ref="O11:O42" si="18">N11-N10</f>
        <v>27</v>
      </c>
      <c r="P11" s="10">
        <v>542</v>
      </c>
      <c r="Q11" s="10">
        <v>3</v>
      </c>
      <c r="R11" s="10">
        <f>[20]STOR951!$D$13</f>
        <v>322</v>
      </c>
      <c r="S11" s="10">
        <f t="shared" ref="S11:S16" si="19">R11-R10</f>
        <v>-8</v>
      </c>
      <c r="T11" s="10">
        <f>[72]STOR951!$D$13</f>
        <v>238</v>
      </c>
      <c r="U11" s="10">
        <f t="shared" ref="U11:U16" si="20">T11-T10</f>
        <v>20</v>
      </c>
      <c r="V11" s="8">
        <f t="shared" ref="V11:V61" si="21">IF(T11&gt;0,(G11+I11+K11+M11+O11+Q11+S11-U11)/8,(G11+I11+K11+M11+O11+Q11+S11)/7)</f>
        <v>6.5</v>
      </c>
      <c r="Z11" s="2">
        <v>36266</v>
      </c>
      <c r="AD11" s="6">
        <v>416</v>
      </c>
      <c r="AE11" s="8">
        <f t="shared" ref="AE11:AE42" si="22">AD11-AD10</f>
        <v>43</v>
      </c>
      <c r="AF11" s="6">
        <v>496</v>
      </c>
      <c r="AG11" s="8">
        <f t="shared" ref="AG11:AG42" si="23">AF11-AF10</f>
        <v>16</v>
      </c>
      <c r="AH11" s="6">
        <v>179</v>
      </c>
      <c r="AI11" s="8">
        <f t="shared" ref="AI11:AI42" si="24">AH11-AH10</f>
        <v>19</v>
      </c>
      <c r="AJ11" s="6">
        <v>354</v>
      </c>
      <c r="AK11" s="8">
        <f t="shared" ref="AK11:AK42" si="25">AJ11-AJ10</f>
        <v>-2</v>
      </c>
      <c r="AL11" s="6">
        <v>568</v>
      </c>
      <c r="AM11" s="8">
        <f t="shared" ref="AM11:AM42" si="26">AL11-AL10</f>
        <v>33</v>
      </c>
      <c r="AN11" s="10">
        <v>597</v>
      </c>
      <c r="AO11" s="10">
        <v>5</v>
      </c>
      <c r="AP11" s="10">
        <f>[20]STOR951!$D$17</f>
        <v>417</v>
      </c>
      <c r="AQ11" s="10">
        <f t="shared" ref="AQ11:AQ16" si="27">AP11-AP10</f>
        <v>-25</v>
      </c>
      <c r="AR11" s="10">
        <f>[72]STOR951!$D$17</f>
        <v>295</v>
      </c>
      <c r="AS11" s="10">
        <f t="shared" ref="AS11:AS16" si="28">AR11-AR10</f>
        <v>43</v>
      </c>
      <c r="AT11" s="8">
        <f t="shared" ref="AT11:AT61" si="29">IF(AR11&gt;0,(AE11+AG11+AI11+AK11+AM11+AO11+AQ11+AS11)/8,(AE11+AG11+AI11+AK11+AM11+AO11+AQ11)/7)</f>
        <v>16.5</v>
      </c>
      <c r="AU11" s="7"/>
      <c r="AV11" s="7"/>
      <c r="AX11" s="2">
        <v>36266</v>
      </c>
      <c r="BB11" s="6">
        <v>232</v>
      </c>
      <c r="BC11" s="8">
        <f t="shared" ref="BC11:BC42" si="30">BB11-BB10</f>
        <v>6</v>
      </c>
      <c r="BD11" s="6">
        <v>255</v>
      </c>
      <c r="BE11" s="8">
        <f t="shared" ref="BE11:BE42" si="31">BD11-BD10</f>
        <v>-6</v>
      </c>
      <c r="BF11" s="6">
        <v>262</v>
      </c>
      <c r="BG11" s="8">
        <f t="shared" ref="BG11:BG42" si="32">BF11-BF10</f>
        <v>37</v>
      </c>
      <c r="BH11" s="6">
        <v>172</v>
      </c>
      <c r="BI11" s="8">
        <f t="shared" ref="BI11:BI42" si="33">BH11-BH10</f>
        <v>2</v>
      </c>
      <c r="BJ11" s="6">
        <v>157</v>
      </c>
      <c r="BK11" s="8">
        <f t="shared" ref="BK11:BK42" si="34">BJ11-BJ10</f>
        <v>-6</v>
      </c>
      <c r="BL11" s="10">
        <v>230</v>
      </c>
      <c r="BM11" s="8">
        <v>-6</v>
      </c>
      <c r="BN11" s="10">
        <f>[20]STOR951!$D$21</f>
        <v>269</v>
      </c>
      <c r="BO11" s="8">
        <f t="shared" ref="BO11:BO16" si="35">BN11-BN10</f>
        <v>8</v>
      </c>
      <c r="BP11" s="10">
        <f>[72]STOR951!$D$21</f>
        <v>172</v>
      </c>
      <c r="BQ11" s="10">
        <f t="shared" ref="BQ11:BQ16" si="36">BP11-BP10</f>
        <v>1</v>
      </c>
      <c r="BR11" s="8">
        <f t="shared" ref="BR11:BR61" si="37">IF(BP11&gt;0,(BC11+BE11+BG11+BI11+BK11+BM11+BO11+BQ11)/8,(BC11+BE11+BG11+BI11+BK11+BM11-BO11)/7)</f>
        <v>4.5</v>
      </c>
      <c r="BU11" s="2">
        <v>36266</v>
      </c>
      <c r="BY11" s="6">
        <f t="shared" si="0"/>
        <v>983</v>
      </c>
      <c r="BZ11" s="6">
        <f t="shared" si="1"/>
        <v>79</v>
      </c>
      <c r="CA11" s="6">
        <f t="shared" si="2"/>
        <v>1160</v>
      </c>
      <c r="CB11" s="6">
        <f t="shared" si="3"/>
        <v>30</v>
      </c>
      <c r="CC11" s="6">
        <f t="shared" si="4"/>
        <v>609</v>
      </c>
      <c r="CD11" s="6">
        <f t="shared" si="5"/>
        <v>63</v>
      </c>
      <c r="CE11" s="40">
        <f t="shared" si="6"/>
        <v>829</v>
      </c>
      <c r="CF11" s="6">
        <f t="shared" si="7"/>
        <v>-7</v>
      </c>
      <c r="CG11" s="6">
        <f t="shared" si="8"/>
        <v>1135</v>
      </c>
      <c r="CH11" s="6">
        <f t="shared" si="9"/>
        <v>54</v>
      </c>
      <c r="CI11" s="11">
        <f t="shared" si="10"/>
        <v>1369</v>
      </c>
      <c r="CJ11" s="11">
        <f t="shared" si="11"/>
        <v>2</v>
      </c>
      <c r="CK11" s="40">
        <f t="shared" si="12"/>
        <v>1008</v>
      </c>
      <c r="CL11" s="11">
        <f t="shared" si="13"/>
        <v>-25</v>
      </c>
      <c r="CM11" s="11">
        <f t="shared" ref="CM11:CM61" si="38">BP11+AR11+T11</f>
        <v>705</v>
      </c>
      <c r="CN11" s="11">
        <f t="shared" ref="CN11:CN61" si="39">BQ11+AS11+U11</f>
        <v>64</v>
      </c>
      <c r="CO11" s="15">
        <f t="shared" ref="CO11:CO61" si="40">IF(CM11&gt;0,(CN11+CL11+CJ11+CH11+CF11+CD11+CB11+BZ11)/8,(CL11+CJ11+CH11+CF11+CD11+CB11+BZ11)/7)</f>
        <v>32.5</v>
      </c>
      <c r="CP11" s="15">
        <f t="shared" ref="CP11:CP61" si="41">IF(CM11=0,0,CM11-CK11)</f>
        <v>-303</v>
      </c>
      <c r="CQ11" s="37">
        <f>CP11/29</f>
        <v>-10.448275862068966</v>
      </c>
      <c r="CR11" s="37">
        <f>CQ11/7</f>
        <v>-1.4926108374384237</v>
      </c>
      <c r="CS11" s="37"/>
      <c r="CT11" s="1"/>
      <c r="CW11" s="15">
        <v>79</v>
      </c>
      <c r="CX11" s="28" t="s">
        <v>22</v>
      </c>
      <c r="CY11" s="15">
        <v>-7</v>
      </c>
      <c r="CZ11" s="28" t="s">
        <v>29</v>
      </c>
      <c r="DA11" s="15">
        <f t="shared" ref="DA11:DA61" si="42">CO11</f>
        <v>32.5</v>
      </c>
    </row>
    <row r="12" spans="1:105" ht="13.5" customHeight="1" x14ac:dyDescent="0.2">
      <c r="B12" s="2">
        <v>36637</v>
      </c>
      <c r="F12" s="8">
        <v>359</v>
      </c>
      <c r="G12" s="8">
        <f t="shared" si="14"/>
        <v>24</v>
      </c>
      <c r="H12" s="8">
        <v>415</v>
      </c>
      <c r="I12" s="8">
        <f t="shared" si="15"/>
        <v>6</v>
      </c>
      <c r="J12" s="8">
        <v>183</v>
      </c>
      <c r="K12" s="8">
        <f t="shared" si="16"/>
        <v>15</v>
      </c>
      <c r="L12" s="8">
        <v>311</v>
      </c>
      <c r="M12" s="8">
        <f t="shared" si="17"/>
        <v>8</v>
      </c>
      <c r="N12" s="8">
        <v>429</v>
      </c>
      <c r="O12" s="8">
        <f t="shared" si="18"/>
        <v>19</v>
      </c>
      <c r="P12" s="10">
        <v>538</v>
      </c>
      <c r="Q12" s="10">
        <v>-4</v>
      </c>
      <c r="R12" s="10">
        <f>[21]STOR951!$D$13</f>
        <v>325</v>
      </c>
      <c r="S12" s="10">
        <f t="shared" si="19"/>
        <v>3</v>
      </c>
      <c r="T12" s="10">
        <f>[73]STOR951!$D$13</f>
        <v>252</v>
      </c>
      <c r="U12" s="10">
        <f t="shared" si="20"/>
        <v>14</v>
      </c>
      <c r="V12" s="8">
        <f t="shared" si="21"/>
        <v>7.125</v>
      </c>
      <c r="Z12" s="2">
        <v>36273</v>
      </c>
      <c r="AD12" s="6">
        <v>464</v>
      </c>
      <c r="AE12" s="8">
        <f t="shared" si="22"/>
        <v>48</v>
      </c>
      <c r="AF12" s="6">
        <v>517</v>
      </c>
      <c r="AG12" s="8">
        <f t="shared" si="23"/>
        <v>21</v>
      </c>
      <c r="AH12" s="6">
        <v>227</v>
      </c>
      <c r="AI12" s="8">
        <f t="shared" si="24"/>
        <v>48</v>
      </c>
      <c r="AJ12" s="6">
        <v>364</v>
      </c>
      <c r="AK12" s="8">
        <f t="shared" si="25"/>
        <v>10</v>
      </c>
      <c r="AL12" s="6">
        <v>601</v>
      </c>
      <c r="AM12" s="8">
        <f t="shared" si="26"/>
        <v>33</v>
      </c>
      <c r="AN12" s="10">
        <v>600</v>
      </c>
      <c r="AO12" s="10">
        <v>3</v>
      </c>
      <c r="AP12" s="10">
        <f>[21]STOR951!$D$17</f>
        <v>425</v>
      </c>
      <c r="AQ12" s="10">
        <f t="shared" si="27"/>
        <v>8</v>
      </c>
      <c r="AR12" s="10">
        <f>[73]STOR951!$D$17</f>
        <v>315</v>
      </c>
      <c r="AS12" s="10">
        <f t="shared" si="28"/>
        <v>20</v>
      </c>
      <c r="AT12" s="8">
        <f t="shared" si="29"/>
        <v>23.875</v>
      </c>
      <c r="AU12" s="7"/>
      <c r="AV12" s="7"/>
      <c r="AX12" s="2">
        <v>36273</v>
      </c>
      <c r="BB12" s="6">
        <v>235</v>
      </c>
      <c r="BC12" s="8">
        <f t="shared" si="30"/>
        <v>3</v>
      </c>
      <c r="BD12" s="6">
        <v>258</v>
      </c>
      <c r="BE12" s="8">
        <f t="shared" si="31"/>
        <v>3</v>
      </c>
      <c r="BF12" s="6">
        <v>231</v>
      </c>
      <c r="BG12" s="8">
        <f t="shared" si="32"/>
        <v>-31</v>
      </c>
      <c r="BH12" s="6">
        <v>179</v>
      </c>
      <c r="BI12" s="8">
        <f t="shared" si="33"/>
        <v>7</v>
      </c>
      <c r="BJ12" s="6">
        <v>169</v>
      </c>
      <c r="BK12" s="8">
        <f t="shared" si="34"/>
        <v>12</v>
      </c>
      <c r="BL12" s="10">
        <v>236</v>
      </c>
      <c r="BM12" s="8">
        <v>6</v>
      </c>
      <c r="BN12" s="10">
        <f>[21]STOR951!$D$21</f>
        <v>277</v>
      </c>
      <c r="BO12" s="8">
        <f t="shared" si="35"/>
        <v>8</v>
      </c>
      <c r="BP12" s="10">
        <f>[73]STOR951!$D$21</f>
        <v>181</v>
      </c>
      <c r="BQ12" s="10">
        <f t="shared" si="36"/>
        <v>9</v>
      </c>
      <c r="BR12" s="8">
        <f t="shared" si="37"/>
        <v>2.125</v>
      </c>
      <c r="BU12" s="2">
        <v>36273</v>
      </c>
      <c r="BY12" s="6">
        <f t="shared" si="0"/>
        <v>1058</v>
      </c>
      <c r="BZ12" s="6">
        <f t="shared" si="1"/>
        <v>75</v>
      </c>
      <c r="CA12" s="6">
        <f t="shared" si="2"/>
        <v>1190</v>
      </c>
      <c r="CB12" s="6">
        <f t="shared" si="3"/>
        <v>30</v>
      </c>
      <c r="CC12" s="6">
        <f t="shared" si="4"/>
        <v>641</v>
      </c>
      <c r="CD12" s="6">
        <f t="shared" si="5"/>
        <v>32</v>
      </c>
      <c r="CE12" s="6">
        <f t="shared" si="6"/>
        <v>854</v>
      </c>
      <c r="CF12" s="6">
        <f t="shared" si="7"/>
        <v>25</v>
      </c>
      <c r="CG12" s="6">
        <f t="shared" si="8"/>
        <v>1199</v>
      </c>
      <c r="CH12" s="6">
        <f t="shared" si="9"/>
        <v>64</v>
      </c>
      <c r="CI12" s="11">
        <f t="shared" si="10"/>
        <v>1374</v>
      </c>
      <c r="CJ12" s="11">
        <f t="shared" si="11"/>
        <v>5</v>
      </c>
      <c r="CK12" s="11">
        <f t="shared" si="12"/>
        <v>1027</v>
      </c>
      <c r="CL12" s="11">
        <f t="shared" si="13"/>
        <v>19</v>
      </c>
      <c r="CM12" s="11">
        <f t="shared" si="38"/>
        <v>748</v>
      </c>
      <c r="CN12" s="11">
        <f t="shared" si="39"/>
        <v>43</v>
      </c>
      <c r="CO12" s="15">
        <f t="shared" si="40"/>
        <v>36.625</v>
      </c>
      <c r="CP12" s="15">
        <f t="shared" si="41"/>
        <v>-279</v>
      </c>
      <c r="CQ12" s="37">
        <f>CP12/28</f>
        <v>-9.9642857142857135</v>
      </c>
      <c r="CR12" s="37">
        <f>CQ12/7</f>
        <v>-1.4234693877551019</v>
      </c>
      <c r="CS12" s="37"/>
      <c r="CT12" s="1"/>
      <c r="CW12" s="15">
        <v>75</v>
      </c>
      <c r="CX12" s="28" t="s">
        <v>22</v>
      </c>
      <c r="CY12" s="15">
        <v>5</v>
      </c>
      <c r="CZ12" s="28" t="s">
        <v>30</v>
      </c>
      <c r="DA12" s="15">
        <f t="shared" si="42"/>
        <v>36.625</v>
      </c>
    </row>
    <row r="13" spans="1:105" ht="13.5" customHeight="1" x14ac:dyDescent="0.2">
      <c r="B13" s="2">
        <v>36644</v>
      </c>
      <c r="F13" s="8">
        <v>387</v>
      </c>
      <c r="G13" s="8">
        <f t="shared" si="14"/>
        <v>28</v>
      </c>
      <c r="H13" s="8">
        <v>432</v>
      </c>
      <c r="I13" s="8">
        <f t="shared" si="15"/>
        <v>17</v>
      </c>
      <c r="J13" s="8">
        <v>198</v>
      </c>
      <c r="K13" s="8">
        <f t="shared" si="16"/>
        <v>15</v>
      </c>
      <c r="L13" s="8">
        <v>320</v>
      </c>
      <c r="M13" s="8">
        <f t="shared" si="17"/>
        <v>9</v>
      </c>
      <c r="N13" s="8">
        <v>460</v>
      </c>
      <c r="O13" s="8">
        <f t="shared" si="18"/>
        <v>31</v>
      </c>
      <c r="P13" s="10">
        <v>543</v>
      </c>
      <c r="Q13" s="10">
        <v>5</v>
      </c>
      <c r="R13" s="10">
        <f>[22]STOR951!$D$13</f>
        <v>328</v>
      </c>
      <c r="S13" s="10">
        <f t="shared" si="19"/>
        <v>3</v>
      </c>
      <c r="T13" s="10">
        <f>[74]STOR951!$D$13</f>
        <v>286</v>
      </c>
      <c r="U13" s="10">
        <f t="shared" si="20"/>
        <v>34</v>
      </c>
      <c r="V13" s="8">
        <f>IF(T13&gt;0,(G13+I13+K13+M13+O13+Q13+S13-U13)/8,(G13+I13+K13+M13+O13+Q13+S13)/7)</f>
        <v>9.25</v>
      </c>
      <c r="Z13" s="2">
        <v>36280</v>
      </c>
      <c r="AD13" s="6">
        <v>507</v>
      </c>
      <c r="AE13" s="8">
        <f t="shared" si="22"/>
        <v>43</v>
      </c>
      <c r="AF13" s="6">
        <v>545</v>
      </c>
      <c r="AG13" s="8">
        <f t="shared" si="23"/>
        <v>28</v>
      </c>
      <c r="AH13" s="6">
        <v>262</v>
      </c>
      <c r="AI13" s="8">
        <f t="shared" si="24"/>
        <v>35</v>
      </c>
      <c r="AJ13" s="6">
        <v>392</v>
      </c>
      <c r="AK13" s="8">
        <f t="shared" si="25"/>
        <v>28</v>
      </c>
      <c r="AL13" s="6">
        <v>635</v>
      </c>
      <c r="AM13" s="8">
        <f t="shared" si="26"/>
        <v>34</v>
      </c>
      <c r="AN13" s="10">
        <v>623</v>
      </c>
      <c r="AO13" s="10">
        <v>23</v>
      </c>
      <c r="AP13" s="10">
        <f>[22]STOR951!$D$17</f>
        <v>445</v>
      </c>
      <c r="AQ13" s="10">
        <f t="shared" si="27"/>
        <v>20</v>
      </c>
      <c r="AR13" s="10">
        <f>[74]STOR951!$D$17</f>
        <v>372</v>
      </c>
      <c r="AS13" s="10">
        <f t="shared" si="28"/>
        <v>57</v>
      </c>
      <c r="AT13" s="8">
        <f t="shared" si="29"/>
        <v>33.5</v>
      </c>
      <c r="AU13" s="7"/>
      <c r="AV13" s="7"/>
      <c r="AX13" s="2">
        <v>36280</v>
      </c>
      <c r="BB13" s="6">
        <v>246</v>
      </c>
      <c r="BC13" s="8">
        <f t="shared" si="30"/>
        <v>11</v>
      </c>
      <c r="BD13" s="6">
        <v>262</v>
      </c>
      <c r="BE13" s="8">
        <f t="shared" si="31"/>
        <v>4</v>
      </c>
      <c r="BF13" s="6">
        <v>234</v>
      </c>
      <c r="BG13" s="8">
        <f t="shared" si="32"/>
        <v>3</v>
      </c>
      <c r="BH13" s="6">
        <v>188</v>
      </c>
      <c r="BI13" s="8">
        <f t="shared" si="33"/>
        <v>9</v>
      </c>
      <c r="BJ13" s="6">
        <v>182</v>
      </c>
      <c r="BK13" s="8">
        <f t="shared" si="34"/>
        <v>13</v>
      </c>
      <c r="BL13" s="10">
        <v>242</v>
      </c>
      <c r="BM13" s="8">
        <v>6</v>
      </c>
      <c r="BN13" s="10">
        <f>[22]STOR951!$D$21</f>
        <v>286</v>
      </c>
      <c r="BO13" s="8">
        <f t="shared" si="35"/>
        <v>9</v>
      </c>
      <c r="BP13" s="10">
        <f>[74]STOR951!$D$21</f>
        <v>192</v>
      </c>
      <c r="BQ13" s="10">
        <f t="shared" si="36"/>
        <v>11</v>
      </c>
      <c r="BR13" s="8">
        <f t="shared" si="37"/>
        <v>8.25</v>
      </c>
      <c r="BU13" s="2">
        <v>36280</v>
      </c>
      <c r="BY13" s="6">
        <f t="shared" si="0"/>
        <v>1140</v>
      </c>
      <c r="BZ13" s="6">
        <f t="shared" si="1"/>
        <v>82</v>
      </c>
      <c r="CA13" s="6">
        <f t="shared" si="2"/>
        <v>1239</v>
      </c>
      <c r="CB13" s="6">
        <f t="shared" si="3"/>
        <v>49</v>
      </c>
      <c r="CC13" s="6">
        <f t="shared" si="4"/>
        <v>694</v>
      </c>
      <c r="CD13" s="6">
        <f t="shared" si="5"/>
        <v>53</v>
      </c>
      <c r="CE13" s="6">
        <f t="shared" si="6"/>
        <v>900</v>
      </c>
      <c r="CF13" s="6">
        <f t="shared" si="7"/>
        <v>46</v>
      </c>
      <c r="CG13" s="6">
        <f t="shared" si="8"/>
        <v>1277</v>
      </c>
      <c r="CH13" s="6">
        <f t="shared" si="9"/>
        <v>78</v>
      </c>
      <c r="CI13" s="11">
        <f t="shared" si="10"/>
        <v>1408</v>
      </c>
      <c r="CJ13" s="11">
        <f t="shared" si="11"/>
        <v>34</v>
      </c>
      <c r="CK13" s="11">
        <f t="shared" si="12"/>
        <v>1059</v>
      </c>
      <c r="CL13" s="11">
        <f t="shared" si="13"/>
        <v>32</v>
      </c>
      <c r="CM13" s="11">
        <f t="shared" si="38"/>
        <v>850</v>
      </c>
      <c r="CN13" s="11">
        <f t="shared" si="39"/>
        <v>102</v>
      </c>
      <c r="CO13" s="15">
        <f t="shared" si="40"/>
        <v>59.5</v>
      </c>
      <c r="CP13" s="15">
        <f t="shared" si="41"/>
        <v>-209</v>
      </c>
      <c r="CQ13" s="37">
        <f>CP13/27</f>
        <v>-7.7407407407407405</v>
      </c>
      <c r="CR13" s="37">
        <f>CQ13/7</f>
        <v>-1.1058201058201058</v>
      </c>
      <c r="CS13" s="37"/>
      <c r="CT13" s="1"/>
      <c r="CW13" s="15">
        <v>82</v>
      </c>
      <c r="CX13" s="28" t="s">
        <v>22</v>
      </c>
      <c r="CY13" s="15">
        <v>34</v>
      </c>
      <c r="CZ13" s="28" t="s">
        <v>30</v>
      </c>
      <c r="DA13" s="15">
        <f t="shared" si="42"/>
        <v>59.5</v>
      </c>
    </row>
    <row r="14" spans="1:105" ht="13.5" customHeight="1" x14ac:dyDescent="0.2">
      <c r="B14" s="2">
        <v>36651</v>
      </c>
      <c r="F14" s="8">
        <v>415</v>
      </c>
      <c r="G14" s="8">
        <f t="shared" si="14"/>
        <v>28</v>
      </c>
      <c r="H14" s="8">
        <v>447</v>
      </c>
      <c r="I14" s="8">
        <f t="shared" si="15"/>
        <v>15</v>
      </c>
      <c r="J14" s="8">
        <v>202</v>
      </c>
      <c r="K14" s="8">
        <f t="shared" si="16"/>
        <v>4</v>
      </c>
      <c r="L14" s="8">
        <v>339</v>
      </c>
      <c r="M14" s="8">
        <f t="shared" si="17"/>
        <v>19</v>
      </c>
      <c r="N14" s="8">
        <v>490</v>
      </c>
      <c r="O14" s="8">
        <f t="shared" si="18"/>
        <v>30</v>
      </c>
      <c r="P14" s="10">
        <v>565</v>
      </c>
      <c r="Q14" s="10">
        <v>22</v>
      </c>
      <c r="R14" s="10">
        <f>[23]STOR951!$D$13</f>
        <v>345</v>
      </c>
      <c r="S14" s="10">
        <f t="shared" si="19"/>
        <v>17</v>
      </c>
      <c r="T14" s="10">
        <f>[75]STOR951!$D$13</f>
        <v>320</v>
      </c>
      <c r="U14" s="10">
        <f t="shared" si="20"/>
        <v>34</v>
      </c>
      <c r="V14" s="8">
        <f t="shared" si="21"/>
        <v>12.625</v>
      </c>
      <c r="X14" s="21"/>
      <c r="Z14" s="2">
        <v>36287</v>
      </c>
      <c r="AD14" s="6">
        <v>561</v>
      </c>
      <c r="AE14" s="8">
        <f t="shared" si="22"/>
        <v>54</v>
      </c>
      <c r="AF14" s="6">
        <v>553</v>
      </c>
      <c r="AG14" s="8">
        <f t="shared" si="23"/>
        <v>8</v>
      </c>
      <c r="AH14" s="6">
        <v>311</v>
      </c>
      <c r="AI14" s="8">
        <f t="shared" si="24"/>
        <v>49</v>
      </c>
      <c r="AJ14" s="6">
        <v>432</v>
      </c>
      <c r="AK14" s="8">
        <f t="shared" si="25"/>
        <v>40</v>
      </c>
      <c r="AL14" s="6">
        <v>688</v>
      </c>
      <c r="AM14" s="8">
        <f t="shared" si="26"/>
        <v>53</v>
      </c>
      <c r="AN14" s="10">
        <v>671</v>
      </c>
      <c r="AO14" s="10">
        <v>48</v>
      </c>
      <c r="AP14" s="10">
        <f>[23]STOR951!$D$17</f>
        <v>479</v>
      </c>
      <c r="AQ14" s="10">
        <f t="shared" si="27"/>
        <v>34</v>
      </c>
      <c r="AR14" s="10">
        <f>[75]STOR951!$D$17</f>
        <v>432</v>
      </c>
      <c r="AS14" s="10">
        <f t="shared" si="28"/>
        <v>60</v>
      </c>
      <c r="AT14" s="8">
        <f t="shared" si="29"/>
        <v>43.25</v>
      </c>
      <c r="AU14" s="7"/>
      <c r="AV14" s="7"/>
      <c r="AX14" s="2">
        <v>36287</v>
      </c>
      <c r="BB14" s="6">
        <v>259</v>
      </c>
      <c r="BC14" s="8">
        <f t="shared" si="30"/>
        <v>13</v>
      </c>
      <c r="BD14" s="6">
        <v>269</v>
      </c>
      <c r="BE14" s="8">
        <f t="shared" si="31"/>
        <v>7</v>
      </c>
      <c r="BF14" s="6">
        <v>241</v>
      </c>
      <c r="BG14" s="8">
        <f t="shared" si="32"/>
        <v>7</v>
      </c>
      <c r="BH14" s="6">
        <v>199</v>
      </c>
      <c r="BI14" s="8">
        <f t="shared" si="33"/>
        <v>11</v>
      </c>
      <c r="BJ14" s="6">
        <v>199</v>
      </c>
      <c r="BK14" s="8">
        <f t="shared" si="34"/>
        <v>17</v>
      </c>
      <c r="BL14" s="10">
        <v>244</v>
      </c>
      <c r="BM14" s="8">
        <v>2</v>
      </c>
      <c r="BN14" s="10">
        <f>[23]STOR951!$D$21</f>
        <v>293</v>
      </c>
      <c r="BO14" s="8">
        <f t="shared" si="35"/>
        <v>7</v>
      </c>
      <c r="BP14" s="10">
        <f>[75]STOR951!$D$21</f>
        <v>206</v>
      </c>
      <c r="BQ14" s="10">
        <f t="shared" si="36"/>
        <v>14</v>
      </c>
      <c r="BR14" s="8">
        <f t="shared" si="37"/>
        <v>9.75</v>
      </c>
      <c r="BU14" s="2">
        <v>36287</v>
      </c>
      <c r="BY14" s="6">
        <f t="shared" si="0"/>
        <v>1235</v>
      </c>
      <c r="BZ14" s="6">
        <f t="shared" si="1"/>
        <v>95</v>
      </c>
      <c r="CA14" s="6">
        <f t="shared" si="2"/>
        <v>1269</v>
      </c>
      <c r="CB14" s="6">
        <f t="shared" si="3"/>
        <v>30</v>
      </c>
      <c r="CC14" s="6">
        <f t="shared" si="4"/>
        <v>754</v>
      </c>
      <c r="CD14" s="6">
        <f t="shared" si="5"/>
        <v>60</v>
      </c>
      <c r="CE14" s="6">
        <f t="shared" si="6"/>
        <v>970</v>
      </c>
      <c r="CF14" s="6">
        <f t="shared" si="7"/>
        <v>70</v>
      </c>
      <c r="CG14" s="6">
        <f t="shared" si="8"/>
        <v>1377</v>
      </c>
      <c r="CH14" s="6">
        <f t="shared" si="9"/>
        <v>100</v>
      </c>
      <c r="CI14" s="11">
        <f t="shared" si="10"/>
        <v>1480</v>
      </c>
      <c r="CJ14" s="11">
        <f t="shared" si="11"/>
        <v>72</v>
      </c>
      <c r="CK14" s="11">
        <f t="shared" si="12"/>
        <v>1117</v>
      </c>
      <c r="CL14" s="11">
        <f t="shared" si="13"/>
        <v>58</v>
      </c>
      <c r="CM14" s="11">
        <f t="shared" si="38"/>
        <v>958</v>
      </c>
      <c r="CN14" s="11">
        <f t="shared" si="39"/>
        <v>108</v>
      </c>
      <c r="CO14" s="15">
        <f t="shared" si="40"/>
        <v>74.125</v>
      </c>
      <c r="CP14" s="15">
        <f t="shared" si="41"/>
        <v>-159</v>
      </c>
      <c r="CQ14" s="37">
        <f>CP14/26</f>
        <v>-6.115384615384615</v>
      </c>
      <c r="CR14" s="37">
        <f>CQ14/7</f>
        <v>-0.87362637362637352</v>
      </c>
      <c r="CS14" s="37"/>
      <c r="CT14" s="1"/>
      <c r="CW14" s="15">
        <v>95</v>
      </c>
      <c r="CX14" s="28" t="s">
        <v>22</v>
      </c>
      <c r="CY14" s="15">
        <v>30</v>
      </c>
      <c r="CZ14" s="28" t="s">
        <v>31</v>
      </c>
      <c r="DA14" s="15">
        <f t="shared" si="42"/>
        <v>74.125</v>
      </c>
    </row>
    <row r="15" spans="1:105" ht="13.5" customHeight="1" x14ac:dyDescent="0.2">
      <c r="B15" s="2">
        <v>36658</v>
      </c>
      <c r="F15" s="8">
        <v>451</v>
      </c>
      <c r="G15" s="8">
        <f t="shared" si="14"/>
        <v>36</v>
      </c>
      <c r="H15" s="8">
        <v>465</v>
      </c>
      <c r="I15" s="8">
        <f t="shared" si="15"/>
        <v>18</v>
      </c>
      <c r="J15" s="8">
        <v>214</v>
      </c>
      <c r="K15" s="8">
        <f t="shared" si="16"/>
        <v>12</v>
      </c>
      <c r="L15" s="8">
        <v>355</v>
      </c>
      <c r="M15" s="8">
        <f t="shared" si="17"/>
        <v>16</v>
      </c>
      <c r="N15" s="8">
        <v>513</v>
      </c>
      <c r="O15" s="8">
        <f t="shared" si="18"/>
        <v>23</v>
      </c>
      <c r="P15" s="10">
        <v>588</v>
      </c>
      <c r="Q15" s="10">
        <v>23</v>
      </c>
      <c r="R15" s="10">
        <f>[24]STOR951!$D$13</f>
        <v>346</v>
      </c>
      <c r="S15" s="10">
        <f t="shared" si="19"/>
        <v>1</v>
      </c>
      <c r="T15" s="10">
        <f>[76]STOR951!$D$13</f>
        <v>351</v>
      </c>
      <c r="U15" s="10">
        <f t="shared" si="20"/>
        <v>31</v>
      </c>
      <c r="V15" s="8">
        <f t="shared" si="21"/>
        <v>12.25</v>
      </c>
      <c r="Z15" s="2">
        <v>36294</v>
      </c>
      <c r="AD15" s="6">
        <v>607</v>
      </c>
      <c r="AE15" s="8">
        <f t="shared" si="22"/>
        <v>46</v>
      </c>
      <c r="AF15" s="6">
        <v>639</v>
      </c>
      <c r="AG15" s="8">
        <f t="shared" si="23"/>
        <v>86</v>
      </c>
      <c r="AH15" s="6">
        <v>349</v>
      </c>
      <c r="AI15" s="8">
        <f t="shared" si="24"/>
        <v>38</v>
      </c>
      <c r="AJ15" s="6">
        <v>468</v>
      </c>
      <c r="AK15" s="8">
        <f t="shared" si="25"/>
        <v>36</v>
      </c>
      <c r="AL15" s="6">
        <v>744</v>
      </c>
      <c r="AM15" s="8">
        <f t="shared" si="26"/>
        <v>56</v>
      </c>
      <c r="AN15" s="10">
        <v>716</v>
      </c>
      <c r="AO15" s="10">
        <v>45</v>
      </c>
      <c r="AP15" s="10">
        <f>[24]STOR951!$D$17</f>
        <v>519</v>
      </c>
      <c r="AQ15" s="10">
        <f t="shared" si="27"/>
        <v>40</v>
      </c>
      <c r="AR15" s="10">
        <f>[76]STOR951!$D$17</f>
        <v>507</v>
      </c>
      <c r="AS15" s="10">
        <f t="shared" si="28"/>
        <v>75</v>
      </c>
      <c r="AT15" s="8">
        <f t="shared" si="29"/>
        <v>52.75</v>
      </c>
      <c r="AU15" s="7"/>
      <c r="AV15" s="7"/>
      <c r="AX15" s="2">
        <v>36294</v>
      </c>
      <c r="BB15" s="6">
        <v>266</v>
      </c>
      <c r="BC15" s="8">
        <f t="shared" si="30"/>
        <v>7</v>
      </c>
      <c r="BD15" s="6">
        <v>279</v>
      </c>
      <c r="BE15" s="8">
        <f t="shared" si="31"/>
        <v>10</v>
      </c>
      <c r="BF15" s="6">
        <v>250</v>
      </c>
      <c r="BG15" s="8">
        <f t="shared" si="32"/>
        <v>9</v>
      </c>
      <c r="BH15" s="6">
        <v>209</v>
      </c>
      <c r="BI15" s="8">
        <f t="shared" si="33"/>
        <v>10</v>
      </c>
      <c r="BJ15" s="6">
        <v>212</v>
      </c>
      <c r="BK15" s="8">
        <f t="shared" si="34"/>
        <v>13</v>
      </c>
      <c r="BL15" s="10">
        <v>255</v>
      </c>
      <c r="BM15" s="8">
        <v>11</v>
      </c>
      <c r="BN15" s="10">
        <f>[24]STOR951!$D$21</f>
        <v>298</v>
      </c>
      <c r="BO15" s="8">
        <f t="shared" si="35"/>
        <v>5</v>
      </c>
      <c r="BP15" s="10">
        <f>[76]STOR951!$D$21</f>
        <v>219</v>
      </c>
      <c r="BQ15" s="10">
        <f t="shared" si="36"/>
        <v>13</v>
      </c>
      <c r="BR15" s="8">
        <f t="shared" si="37"/>
        <v>9.75</v>
      </c>
      <c r="BU15" s="2">
        <v>36294</v>
      </c>
      <c r="BY15" s="6">
        <f t="shared" si="0"/>
        <v>1324</v>
      </c>
      <c r="BZ15" s="6">
        <f t="shared" si="1"/>
        <v>89</v>
      </c>
      <c r="CA15" s="6">
        <f t="shared" si="2"/>
        <v>1383</v>
      </c>
      <c r="CB15" s="6">
        <f t="shared" si="3"/>
        <v>114</v>
      </c>
      <c r="CC15" s="6">
        <f t="shared" si="4"/>
        <v>813</v>
      </c>
      <c r="CD15" s="6">
        <f t="shared" si="5"/>
        <v>59</v>
      </c>
      <c r="CE15" s="6">
        <f t="shared" si="6"/>
        <v>1032</v>
      </c>
      <c r="CF15" s="6">
        <f t="shared" si="7"/>
        <v>62</v>
      </c>
      <c r="CG15" s="6">
        <f t="shared" si="8"/>
        <v>1469</v>
      </c>
      <c r="CH15" s="6">
        <f t="shared" si="9"/>
        <v>92</v>
      </c>
      <c r="CI15" s="11">
        <f t="shared" si="10"/>
        <v>1559</v>
      </c>
      <c r="CJ15" s="11">
        <f t="shared" si="11"/>
        <v>79</v>
      </c>
      <c r="CK15" s="11">
        <f t="shared" si="12"/>
        <v>1163</v>
      </c>
      <c r="CL15" s="11">
        <f t="shared" si="13"/>
        <v>46</v>
      </c>
      <c r="CM15" s="11">
        <f t="shared" si="38"/>
        <v>1077</v>
      </c>
      <c r="CN15" s="11">
        <f t="shared" si="39"/>
        <v>119</v>
      </c>
      <c r="CO15" s="15">
        <f t="shared" si="40"/>
        <v>82.5</v>
      </c>
      <c r="CP15" s="15">
        <f t="shared" si="41"/>
        <v>-86</v>
      </c>
      <c r="CQ15" s="37">
        <f>CP15/25</f>
        <v>-3.44</v>
      </c>
      <c r="CR15" s="37">
        <f t="shared" ref="CR15:CR39" si="43">CQ15/7</f>
        <v>-0.49142857142857144</v>
      </c>
      <c r="CS15" s="15"/>
      <c r="CT15" s="1"/>
      <c r="CW15" s="15">
        <v>114</v>
      </c>
      <c r="CX15" s="28" t="s">
        <v>31</v>
      </c>
      <c r="CY15" s="15">
        <v>59</v>
      </c>
      <c r="CZ15" s="28" t="s">
        <v>32</v>
      </c>
      <c r="DA15" s="15">
        <f t="shared" si="42"/>
        <v>82.5</v>
      </c>
    </row>
    <row r="16" spans="1:105" ht="13.5" customHeight="1" x14ac:dyDescent="0.2">
      <c r="B16" s="2">
        <v>36665</v>
      </c>
      <c r="F16" s="8">
        <v>470</v>
      </c>
      <c r="G16" s="8">
        <f t="shared" si="14"/>
        <v>19</v>
      </c>
      <c r="H16" s="8">
        <v>498</v>
      </c>
      <c r="I16" s="8">
        <f t="shared" si="15"/>
        <v>33</v>
      </c>
      <c r="J16" s="8">
        <v>227</v>
      </c>
      <c r="K16" s="8">
        <f t="shared" si="16"/>
        <v>13</v>
      </c>
      <c r="L16" s="8">
        <v>373</v>
      </c>
      <c r="M16" s="8">
        <f t="shared" si="17"/>
        <v>18</v>
      </c>
      <c r="N16" s="8">
        <v>537</v>
      </c>
      <c r="O16" s="8">
        <f t="shared" si="18"/>
        <v>24</v>
      </c>
      <c r="P16" s="10">
        <v>599</v>
      </c>
      <c r="Q16" s="10">
        <v>11</v>
      </c>
      <c r="R16" s="10">
        <f>[25]STOR951!$D$13</f>
        <v>353</v>
      </c>
      <c r="S16" s="10">
        <f t="shared" si="19"/>
        <v>7</v>
      </c>
      <c r="T16" s="10">
        <f>[77]STOR951!$D$13</f>
        <v>390</v>
      </c>
      <c r="U16" s="10">
        <f t="shared" si="20"/>
        <v>39</v>
      </c>
      <c r="V16" s="8">
        <f t="shared" si="21"/>
        <v>10.75</v>
      </c>
      <c r="Z16" s="2">
        <v>36301</v>
      </c>
      <c r="AD16" s="6">
        <v>674</v>
      </c>
      <c r="AE16" s="8">
        <f t="shared" si="22"/>
        <v>67</v>
      </c>
      <c r="AF16" s="6">
        <v>692</v>
      </c>
      <c r="AG16" s="8">
        <f t="shared" si="23"/>
        <v>53</v>
      </c>
      <c r="AH16" s="6">
        <v>408</v>
      </c>
      <c r="AI16" s="8">
        <f t="shared" si="24"/>
        <v>59</v>
      </c>
      <c r="AJ16" s="6">
        <v>515</v>
      </c>
      <c r="AK16" s="8">
        <f t="shared" si="25"/>
        <v>47</v>
      </c>
      <c r="AL16" s="6">
        <v>798</v>
      </c>
      <c r="AM16" s="8">
        <f t="shared" si="26"/>
        <v>54</v>
      </c>
      <c r="AN16" s="10">
        <v>771</v>
      </c>
      <c r="AO16" s="10">
        <v>55</v>
      </c>
      <c r="AP16" s="10">
        <f>[25]STOR951!$D$17</f>
        <v>561</v>
      </c>
      <c r="AQ16" s="10">
        <f t="shared" si="27"/>
        <v>42</v>
      </c>
      <c r="AR16" s="10">
        <f>[77]STOR951!$D$17</f>
        <v>558</v>
      </c>
      <c r="AS16" s="10">
        <f t="shared" si="28"/>
        <v>51</v>
      </c>
      <c r="AT16" s="8">
        <f t="shared" si="29"/>
        <v>53.5</v>
      </c>
      <c r="AU16" s="7"/>
      <c r="AV16" s="7"/>
      <c r="AX16" s="2">
        <v>36301</v>
      </c>
      <c r="BB16" s="6">
        <v>281</v>
      </c>
      <c r="BC16" s="8">
        <f t="shared" si="30"/>
        <v>15</v>
      </c>
      <c r="BD16" s="6">
        <v>286</v>
      </c>
      <c r="BE16" s="8">
        <f t="shared" si="31"/>
        <v>7</v>
      </c>
      <c r="BF16" s="6">
        <v>261</v>
      </c>
      <c r="BG16" s="8">
        <f t="shared" si="32"/>
        <v>11</v>
      </c>
      <c r="BH16" s="6">
        <v>220</v>
      </c>
      <c r="BI16" s="8">
        <f t="shared" si="33"/>
        <v>11</v>
      </c>
      <c r="BJ16" s="6">
        <v>226</v>
      </c>
      <c r="BK16" s="8">
        <f t="shared" si="34"/>
        <v>14</v>
      </c>
      <c r="BL16" s="10">
        <v>262</v>
      </c>
      <c r="BM16" s="8">
        <v>7</v>
      </c>
      <c r="BN16" s="10">
        <f>[25]STOR951!$D$21</f>
        <v>304</v>
      </c>
      <c r="BO16" s="8">
        <f t="shared" si="35"/>
        <v>6</v>
      </c>
      <c r="BP16" s="10">
        <f>[77]STOR951!$D$21</f>
        <v>234</v>
      </c>
      <c r="BQ16" s="10">
        <f t="shared" si="36"/>
        <v>15</v>
      </c>
      <c r="BR16" s="8">
        <f t="shared" si="37"/>
        <v>10.75</v>
      </c>
      <c r="BU16" s="2">
        <v>36301</v>
      </c>
      <c r="BY16" s="6">
        <f t="shared" si="0"/>
        <v>1425</v>
      </c>
      <c r="BZ16" s="6">
        <f t="shared" si="1"/>
        <v>101</v>
      </c>
      <c r="CA16" s="6">
        <f t="shared" si="2"/>
        <v>1476</v>
      </c>
      <c r="CB16" s="6">
        <f t="shared" si="3"/>
        <v>93</v>
      </c>
      <c r="CC16" s="6">
        <f t="shared" si="4"/>
        <v>896</v>
      </c>
      <c r="CD16" s="6">
        <f t="shared" si="5"/>
        <v>83</v>
      </c>
      <c r="CE16" s="6">
        <f t="shared" si="6"/>
        <v>1108</v>
      </c>
      <c r="CF16" s="6">
        <f t="shared" si="7"/>
        <v>76</v>
      </c>
      <c r="CG16" s="6">
        <f t="shared" si="8"/>
        <v>1561</v>
      </c>
      <c r="CH16" s="6">
        <f t="shared" si="9"/>
        <v>92</v>
      </c>
      <c r="CI16" s="11">
        <f t="shared" si="10"/>
        <v>1632</v>
      </c>
      <c r="CJ16" s="11">
        <f t="shared" si="11"/>
        <v>73</v>
      </c>
      <c r="CK16" s="11">
        <f t="shared" si="12"/>
        <v>1218</v>
      </c>
      <c r="CL16" s="11">
        <f t="shared" si="13"/>
        <v>55</v>
      </c>
      <c r="CM16" s="11">
        <f t="shared" si="38"/>
        <v>1182</v>
      </c>
      <c r="CN16" s="11">
        <f t="shared" si="39"/>
        <v>105</v>
      </c>
      <c r="CO16" s="15">
        <f t="shared" si="40"/>
        <v>84.75</v>
      </c>
      <c r="CP16" s="15">
        <f t="shared" si="41"/>
        <v>-36</v>
      </c>
      <c r="CQ16" s="37">
        <f>CP16/24</f>
        <v>-1.5</v>
      </c>
      <c r="CR16" s="37">
        <f t="shared" si="43"/>
        <v>-0.21428571428571427</v>
      </c>
      <c r="CS16" s="15"/>
      <c r="CT16" s="1"/>
      <c r="CW16" s="15">
        <v>101</v>
      </c>
      <c r="CX16" s="28" t="s">
        <v>22</v>
      </c>
      <c r="CY16" s="15">
        <v>73</v>
      </c>
      <c r="CZ16" s="28" t="s">
        <v>30</v>
      </c>
      <c r="DA16" s="15">
        <f t="shared" si="42"/>
        <v>84.75</v>
      </c>
    </row>
    <row r="17" spans="2:105" ht="13.5" customHeight="1" x14ac:dyDescent="0.2">
      <c r="B17" s="2">
        <v>36672</v>
      </c>
      <c r="F17" s="8">
        <v>510</v>
      </c>
      <c r="G17" s="8">
        <f t="shared" si="14"/>
        <v>40</v>
      </c>
      <c r="H17" s="8">
        <v>538</v>
      </c>
      <c r="I17" s="8">
        <f t="shared" si="15"/>
        <v>40</v>
      </c>
      <c r="J17" s="8">
        <v>244</v>
      </c>
      <c r="K17" s="8">
        <f t="shared" si="16"/>
        <v>17</v>
      </c>
      <c r="L17" s="8">
        <v>395</v>
      </c>
      <c r="M17" s="8">
        <f t="shared" si="17"/>
        <v>22</v>
      </c>
      <c r="N17" s="8">
        <v>564</v>
      </c>
      <c r="O17" s="8">
        <f t="shared" si="18"/>
        <v>27</v>
      </c>
      <c r="P17" s="10">
        <v>615</v>
      </c>
      <c r="Q17" s="10">
        <v>16</v>
      </c>
      <c r="R17" s="10">
        <f>[26]STOR951!$D$13</f>
        <v>363</v>
      </c>
      <c r="S17" s="10">
        <f t="shared" ref="S17:S23" si="44">R17-R16</f>
        <v>10</v>
      </c>
      <c r="T17" s="10">
        <f>[18]STOR951!$D$13</f>
        <v>410</v>
      </c>
      <c r="U17" s="10">
        <f>T17-T16</f>
        <v>20</v>
      </c>
      <c r="V17" s="8">
        <f t="shared" si="21"/>
        <v>19</v>
      </c>
      <c r="Z17" s="2">
        <v>36308</v>
      </c>
      <c r="AD17" s="6">
        <v>742</v>
      </c>
      <c r="AE17" s="8">
        <f t="shared" si="22"/>
        <v>68</v>
      </c>
      <c r="AF17" s="6">
        <v>745</v>
      </c>
      <c r="AG17" s="8">
        <f t="shared" si="23"/>
        <v>53</v>
      </c>
      <c r="AH17" s="6">
        <v>470</v>
      </c>
      <c r="AI17" s="8">
        <f t="shared" si="24"/>
        <v>62</v>
      </c>
      <c r="AJ17" s="6">
        <v>577</v>
      </c>
      <c r="AK17" s="8">
        <f t="shared" si="25"/>
        <v>62</v>
      </c>
      <c r="AL17" s="6">
        <v>860</v>
      </c>
      <c r="AM17" s="8">
        <f t="shared" si="26"/>
        <v>62</v>
      </c>
      <c r="AN17" s="10">
        <v>814</v>
      </c>
      <c r="AO17" s="10">
        <v>43</v>
      </c>
      <c r="AP17" s="10">
        <f>[26]STOR951!$D$17</f>
        <v>601</v>
      </c>
      <c r="AQ17" s="10">
        <f t="shared" ref="AQ17:AQ23" si="45">AP17-AP16</f>
        <v>40</v>
      </c>
      <c r="AR17" s="10">
        <f>[18]STOR951!$D$17</f>
        <v>624</v>
      </c>
      <c r="AS17" s="10">
        <f>AR17-AR16</f>
        <v>66</v>
      </c>
      <c r="AT17" s="8">
        <f t="shared" si="29"/>
        <v>57</v>
      </c>
      <c r="AU17" s="7"/>
      <c r="AV17" s="7"/>
      <c r="AX17" s="2">
        <v>36308</v>
      </c>
      <c r="BB17" s="6">
        <v>293</v>
      </c>
      <c r="BC17" s="8">
        <f t="shared" si="30"/>
        <v>12</v>
      </c>
      <c r="BD17" s="6">
        <v>300</v>
      </c>
      <c r="BE17" s="8">
        <f t="shared" si="31"/>
        <v>14</v>
      </c>
      <c r="BF17" s="6">
        <v>270</v>
      </c>
      <c r="BG17" s="8">
        <f t="shared" si="32"/>
        <v>9</v>
      </c>
      <c r="BH17" s="6">
        <v>229</v>
      </c>
      <c r="BI17" s="8">
        <f t="shared" si="33"/>
        <v>9</v>
      </c>
      <c r="BJ17" s="6">
        <v>243</v>
      </c>
      <c r="BK17" s="8">
        <f t="shared" si="34"/>
        <v>17</v>
      </c>
      <c r="BL17" s="10">
        <v>274</v>
      </c>
      <c r="BM17" s="8">
        <v>12</v>
      </c>
      <c r="BN17" s="10">
        <f>[26]STOR951!$D$21</f>
        <v>310</v>
      </c>
      <c r="BO17" s="8">
        <f t="shared" ref="BO17:BO23" si="46">BN17-BN16</f>
        <v>6</v>
      </c>
      <c r="BP17" s="10">
        <f>[18]STOR951!$D$21</f>
        <v>247</v>
      </c>
      <c r="BQ17" s="10">
        <f>BP17-BP16</f>
        <v>13</v>
      </c>
      <c r="BR17" s="8">
        <f t="shared" si="37"/>
        <v>11.5</v>
      </c>
      <c r="BU17" s="2">
        <v>36308</v>
      </c>
      <c r="BY17" s="6">
        <f t="shared" si="0"/>
        <v>1545</v>
      </c>
      <c r="BZ17" s="6">
        <f t="shared" si="1"/>
        <v>120</v>
      </c>
      <c r="CA17" s="6">
        <f t="shared" si="2"/>
        <v>1583</v>
      </c>
      <c r="CB17" s="6">
        <f t="shared" si="3"/>
        <v>107</v>
      </c>
      <c r="CC17" s="6">
        <f t="shared" si="4"/>
        <v>984</v>
      </c>
      <c r="CD17" s="6">
        <f t="shared" si="5"/>
        <v>88</v>
      </c>
      <c r="CE17" s="6">
        <f t="shared" si="6"/>
        <v>1201</v>
      </c>
      <c r="CF17" s="6">
        <f t="shared" si="7"/>
        <v>93</v>
      </c>
      <c r="CG17" s="6">
        <f t="shared" si="8"/>
        <v>1667</v>
      </c>
      <c r="CH17" s="6">
        <f t="shared" si="9"/>
        <v>106</v>
      </c>
      <c r="CI17" s="11">
        <f t="shared" si="10"/>
        <v>1703</v>
      </c>
      <c r="CJ17" s="11">
        <f t="shared" si="11"/>
        <v>71</v>
      </c>
      <c r="CK17" s="11">
        <f t="shared" si="12"/>
        <v>1274</v>
      </c>
      <c r="CL17" s="11">
        <f t="shared" si="13"/>
        <v>56</v>
      </c>
      <c r="CM17" s="11">
        <f t="shared" si="38"/>
        <v>1281</v>
      </c>
      <c r="CN17" s="11">
        <f t="shared" si="39"/>
        <v>99</v>
      </c>
      <c r="CO17" s="15">
        <f t="shared" si="40"/>
        <v>92.5</v>
      </c>
      <c r="CP17" s="15">
        <f t="shared" si="41"/>
        <v>7</v>
      </c>
      <c r="CQ17" s="37">
        <f>CP17/23</f>
        <v>0.30434782608695654</v>
      </c>
      <c r="CR17" s="37">
        <f t="shared" si="43"/>
        <v>4.3478260869565223E-2</v>
      </c>
      <c r="CS17" s="15"/>
      <c r="CT17" s="1"/>
      <c r="CW17" s="15">
        <v>120</v>
      </c>
      <c r="CX17" s="28" t="s">
        <v>22</v>
      </c>
      <c r="CY17" s="15">
        <v>71</v>
      </c>
      <c r="CZ17" s="28" t="s">
        <v>30</v>
      </c>
      <c r="DA17" s="15">
        <f t="shared" si="42"/>
        <v>92.5</v>
      </c>
    </row>
    <row r="18" spans="2:105" ht="13.5" customHeight="1" x14ac:dyDescent="0.2">
      <c r="B18" s="2">
        <v>36679</v>
      </c>
      <c r="F18" s="8">
        <v>522</v>
      </c>
      <c r="G18" s="8">
        <f t="shared" si="14"/>
        <v>12</v>
      </c>
      <c r="H18" s="8">
        <v>544</v>
      </c>
      <c r="I18" s="8">
        <f t="shared" si="15"/>
        <v>6</v>
      </c>
      <c r="J18" s="8">
        <v>262</v>
      </c>
      <c r="K18" s="8">
        <f t="shared" si="16"/>
        <v>18</v>
      </c>
      <c r="L18" s="8">
        <v>416</v>
      </c>
      <c r="M18" s="8">
        <f t="shared" si="17"/>
        <v>21</v>
      </c>
      <c r="N18" s="8">
        <v>581</v>
      </c>
      <c r="O18" s="8">
        <f t="shared" si="18"/>
        <v>17</v>
      </c>
      <c r="P18" s="10">
        <v>634</v>
      </c>
      <c r="Q18" s="10">
        <v>19</v>
      </c>
      <c r="R18" s="10">
        <f>[27]STOR951!$D$13</f>
        <v>377</v>
      </c>
      <c r="S18" s="10">
        <f t="shared" si="44"/>
        <v>14</v>
      </c>
      <c r="T18" s="10">
        <v>439</v>
      </c>
      <c r="U18" s="10">
        <f t="shared" ref="U18:U39" si="47">T18-T17</f>
        <v>29</v>
      </c>
      <c r="V18" s="8">
        <f t="shared" si="21"/>
        <v>9.75</v>
      </c>
      <c r="Z18" s="2">
        <v>36315</v>
      </c>
      <c r="AD18" s="6">
        <v>804</v>
      </c>
      <c r="AE18" s="8">
        <f t="shared" si="22"/>
        <v>62</v>
      </c>
      <c r="AF18" s="6">
        <v>805</v>
      </c>
      <c r="AG18" s="8">
        <f t="shared" si="23"/>
        <v>60</v>
      </c>
      <c r="AH18" s="6">
        <v>532</v>
      </c>
      <c r="AI18" s="8">
        <f t="shared" si="24"/>
        <v>62</v>
      </c>
      <c r="AJ18" s="6">
        <v>636</v>
      </c>
      <c r="AK18" s="8">
        <f t="shared" si="25"/>
        <v>59</v>
      </c>
      <c r="AL18" s="6">
        <v>914</v>
      </c>
      <c r="AM18" s="8">
        <f t="shared" si="26"/>
        <v>54</v>
      </c>
      <c r="AN18" s="10">
        <v>872</v>
      </c>
      <c r="AO18" s="10">
        <v>58</v>
      </c>
      <c r="AP18" s="10">
        <f>[27]STOR951!$D$17</f>
        <v>653</v>
      </c>
      <c r="AQ18" s="10">
        <f t="shared" si="45"/>
        <v>52</v>
      </c>
      <c r="AR18" s="10">
        <v>694</v>
      </c>
      <c r="AS18" s="10">
        <f t="shared" ref="AS18:AS39" si="48">AR18-AR17</f>
        <v>70</v>
      </c>
      <c r="AT18" s="8">
        <f t="shared" si="29"/>
        <v>59.625</v>
      </c>
      <c r="AU18" s="7"/>
      <c r="AV18" s="7"/>
      <c r="AX18" s="2">
        <v>36315</v>
      </c>
      <c r="BB18" s="6">
        <v>312</v>
      </c>
      <c r="BC18" s="8">
        <f t="shared" si="30"/>
        <v>19</v>
      </c>
      <c r="BD18" s="6">
        <v>314</v>
      </c>
      <c r="BE18" s="8">
        <f t="shared" si="31"/>
        <v>14</v>
      </c>
      <c r="BF18" s="6">
        <v>278</v>
      </c>
      <c r="BG18" s="8">
        <f t="shared" si="32"/>
        <v>8</v>
      </c>
      <c r="BH18" s="6">
        <v>240</v>
      </c>
      <c r="BI18" s="8">
        <f t="shared" si="33"/>
        <v>11</v>
      </c>
      <c r="BJ18" s="6">
        <v>258</v>
      </c>
      <c r="BK18" s="8">
        <f t="shared" si="34"/>
        <v>15</v>
      </c>
      <c r="BL18" s="10">
        <v>288</v>
      </c>
      <c r="BM18" s="8">
        <v>14</v>
      </c>
      <c r="BN18" s="10">
        <f>[27]STOR951!$D$21</f>
        <v>322</v>
      </c>
      <c r="BO18" s="8">
        <f t="shared" si="46"/>
        <v>12</v>
      </c>
      <c r="BP18" s="8">
        <v>265</v>
      </c>
      <c r="BQ18" s="10">
        <f t="shared" ref="BQ18:BQ39" si="49">BP18-BP17</f>
        <v>18</v>
      </c>
      <c r="BR18" s="8">
        <f t="shared" si="37"/>
        <v>13.875</v>
      </c>
      <c r="BU18" s="2">
        <v>36315</v>
      </c>
      <c r="BY18" s="6">
        <f t="shared" si="0"/>
        <v>1638</v>
      </c>
      <c r="BZ18" s="6">
        <f t="shared" si="1"/>
        <v>93</v>
      </c>
      <c r="CA18" s="6">
        <f t="shared" si="2"/>
        <v>1663</v>
      </c>
      <c r="CB18" s="6">
        <f t="shared" si="3"/>
        <v>80</v>
      </c>
      <c r="CC18" s="6">
        <f t="shared" si="4"/>
        <v>1072</v>
      </c>
      <c r="CD18" s="6">
        <f t="shared" si="5"/>
        <v>88</v>
      </c>
      <c r="CE18" s="6">
        <f t="shared" si="6"/>
        <v>1292</v>
      </c>
      <c r="CF18" s="6">
        <f t="shared" si="7"/>
        <v>91</v>
      </c>
      <c r="CG18" s="6">
        <f t="shared" si="8"/>
        <v>1753</v>
      </c>
      <c r="CH18" s="6">
        <f t="shared" si="9"/>
        <v>86</v>
      </c>
      <c r="CI18" s="11">
        <f t="shared" si="10"/>
        <v>1794</v>
      </c>
      <c r="CJ18" s="11">
        <f t="shared" si="11"/>
        <v>91</v>
      </c>
      <c r="CK18" s="11">
        <f t="shared" si="12"/>
        <v>1352</v>
      </c>
      <c r="CL18" s="11">
        <f t="shared" si="13"/>
        <v>78</v>
      </c>
      <c r="CM18" s="11">
        <f t="shared" si="38"/>
        <v>1398</v>
      </c>
      <c r="CN18" s="11">
        <f t="shared" si="39"/>
        <v>117</v>
      </c>
      <c r="CO18" s="15">
        <f t="shared" si="40"/>
        <v>90.5</v>
      </c>
      <c r="CP18" s="15">
        <f t="shared" si="41"/>
        <v>46</v>
      </c>
      <c r="CQ18" s="37">
        <f>CP18/22</f>
        <v>2.0909090909090908</v>
      </c>
      <c r="CR18" s="37">
        <f t="shared" si="43"/>
        <v>0.29870129870129869</v>
      </c>
      <c r="CS18" s="15"/>
      <c r="CT18" s="1"/>
      <c r="CW18" s="15">
        <v>93</v>
      </c>
      <c r="CX18" s="28" t="s">
        <v>22</v>
      </c>
      <c r="CY18" s="15">
        <v>80</v>
      </c>
      <c r="CZ18" s="28" t="s">
        <v>31</v>
      </c>
      <c r="DA18" s="15">
        <f t="shared" si="42"/>
        <v>90.5</v>
      </c>
    </row>
    <row r="19" spans="2:105" ht="13.5" customHeight="1" x14ac:dyDescent="0.2">
      <c r="B19" s="2">
        <v>36686</v>
      </c>
      <c r="F19" s="8">
        <v>551</v>
      </c>
      <c r="G19" s="8">
        <f t="shared" si="14"/>
        <v>29</v>
      </c>
      <c r="H19" s="8">
        <v>572</v>
      </c>
      <c r="I19" s="8">
        <f t="shared" si="15"/>
        <v>28</v>
      </c>
      <c r="J19" s="8">
        <v>281</v>
      </c>
      <c r="K19" s="8">
        <f t="shared" si="16"/>
        <v>19</v>
      </c>
      <c r="L19" s="8">
        <v>435</v>
      </c>
      <c r="M19" s="8">
        <f t="shared" si="17"/>
        <v>19</v>
      </c>
      <c r="N19" s="8">
        <v>607</v>
      </c>
      <c r="O19" s="8">
        <f t="shared" si="18"/>
        <v>26</v>
      </c>
      <c r="P19" s="10">
        <v>651</v>
      </c>
      <c r="Q19" s="10">
        <v>17</v>
      </c>
      <c r="R19" s="10">
        <f>[28]STOR951!$D$13</f>
        <v>398</v>
      </c>
      <c r="S19" s="10">
        <f t="shared" si="44"/>
        <v>21</v>
      </c>
      <c r="T19" s="10">
        <v>466</v>
      </c>
      <c r="U19" s="10">
        <f t="shared" si="47"/>
        <v>27</v>
      </c>
      <c r="V19" s="8">
        <f t="shared" si="21"/>
        <v>16.5</v>
      </c>
      <c r="Z19" s="2">
        <v>36322</v>
      </c>
      <c r="AD19" s="6">
        <v>862</v>
      </c>
      <c r="AE19" s="8">
        <f t="shared" si="22"/>
        <v>58</v>
      </c>
      <c r="AF19" s="6">
        <v>862</v>
      </c>
      <c r="AG19" s="8">
        <f t="shared" si="23"/>
        <v>57</v>
      </c>
      <c r="AH19" s="6">
        <v>598</v>
      </c>
      <c r="AI19" s="8">
        <f t="shared" si="24"/>
        <v>66</v>
      </c>
      <c r="AJ19" s="6">
        <v>699</v>
      </c>
      <c r="AK19" s="8">
        <f t="shared" si="25"/>
        <v>63</v>
      </c>
      <c r="AL19" s="6">
        <v>973</v>
      </c>
      <c r="AM19" s="8">
        <f t="shared" si="26"/>
        <v>59</v>
      </c>
      <c r="AN19" s="10">
        <v>906</v>
      </c>
      <c r="AO19" s="10">
        <v>34</v>
      </c>
      <c r="AP19" s="10">
        <f>[28]STOR951!$D$17</f>
        <v>706</v>
      </c>
      <c r="AQ19" s="10">
        <f t="shared" si="45"/>
        <v>53</v>
      </c>
      <c r="AR19" s="10">
        <v>758</v>
      </c>
      <c r="AS19" s="10">
        <f t="shared" si="48"/>
        <v>64</v>
      </c>
      <c r="AT19" s="8">
        <f t="shared" si="29"/>
        <v>56.75</v>
      </c>
      <c r="AU19" s="7"/>
      <c r="AV19" s="7"/>
      <c r="AX19" s="2">
        <v>36322</v>
      </c>
      <c r="BB19" s="6">
        <v>312</v>
      </c>
      <c r="BC19" s="8">
        <f t="shared" si="30"/>
        <v>0</v>
      </c>
      <c r="BD19" s="6">
        <v>324</v>
      </c>
      <c r="BE19" s="8">
        <f t="shared" si="31"/>
        <v>10</v>
      </c>
      <c r="BF19" s="6">
        <v>280</v>
      </c>
      <c r="BG19" s="8">
        <f t="shared" si="32"/>
        <v>2</v>
      </c>
      <c r="BH19" s="6">
        <v>252</v>
      </c>
      <c r="BI19" s="8">
        <f t="shared" si="33"/>
        <v>12</v>
      </c>
      <c r="BJ19" s="6">
        <v>277</v>
      </c>
      <c r="BK19" s="8">
        <f t="shared" si="34"/>
        <v>19</v>
      </c>
      <c r="BL19" s="10">
        <v>300</v>
      </c>
      <c r="BM19" s="8">
        <v>12</v>
      </c>
      <c r="BN19" s="10">
        <f>[28]STOR951!$D$21</f>
        <v>326</v>
      </c>
      <c r="BO19" s="8">
        <f t="shared" si="46"/>
        <v>4</v>
      </c>
      <c r="BP19" s="8">
        <v>279</v>
      </c>
      <c r="BQ19" s="10">
        <f t="shared" si="49"/>
        <v>14</v>
      </c>
      <c r="BR19" s="8">
        <f t="shared" si="37"/>
        <v>9.125</v>
      </c>
      <c r="BU19" s="2">
        <v>36322</v>
      </c>
      <c r="BY19" s="6">
        <f t="shared" si="0"/>
        <v>1725</v>
      </c>
      <c r="BZ19" s="6">
        <f t="shared" si="1"/>
        <v>87</v>
      </c>
      <c r="CA19" s="6">
        <f t="shared" si="2"/>
        <v>1758</v>
      </c>
      <c r="CB19" s="6">
        <f t="shared" si="3"/>
        <v>95</v>
      </c>
      <c r="CC19" s="6">
        <f t="shared" si="4"/>
        <v>1159</v>
      </c>
      <c r="CD19" s="6">
        <f t="shared" si="5"/>
        <v>87</v>
      </c>
      <c r="CE19" s="6">
        <f t="shared" si="6"/>
        <v>1386</v>
      </c>
      <c r="CF19" s="6">
        <f t="shared" si="7"/>
        <v>94</v>
      </c>
      <c r="CG19" s="6">
        <f t="shared" si="8"/>
        <v>1857</v>
      </c>
      <c r="CH19" s="6">
        <f t="shared" si="9"/>
        <v>104</v>
      </c>
      <c r="CI19" s="11">
        <f t="shared" si="10"/>
        <v>1857</v>
      </c>
      <c r="CJ19" s="11">
        <f t="shared" si="11"/>
        <v>63</v>
      </c>
      <c r="CK19" s="11">
        <f t="shared" si="12"/>
        <v>1430</v>
      </c>
      <c r="CL19" s="11">
        <f t="shared" si="13"/>
        <v>78</v>
      </c>
      <c r="CM19" s="11">
        <f t="shared" si="38"/>
        <v>1503</v>
      </c>
      <c r="CN19" s="11">
        <f t="shared" si="39"/>
        <v>105</v>
      </c>
      <c r="CO19" s="15">
        <f t="shared" si="40"/>
        <v>89.125</v>
      </c>
      <c r="CP19" s="15">
        <f t="shared" si="41"/>
        <v>73</v>
      </c>
      <c r="CQ19" s="37">
        <f>CP19/21</f>
        <v>3.4761904761904763</v>
      </c>
      <c r="CR19" s="37">
        <f t="shared" si="43"/>
        <v>0.49659863945578231</v>
      </c>
      <c r="CS19" s="15"/>
      <c r="CT19" s="1"/>
      <c r="CW19" s="15">
        <v>104</v>
      </c>
      <c r="CX19" s="28" t="s">
        <v>33</v>
      </c>
      <c r="CY19" s="15">
        <v>63</v>
      </c>
      <c r="CZ19" s="28" t="s">
        <v>30</v>
      </c>
      <c r="DA19" s="15">
        <f t="shared" si="42"/>
        <v>89.125</v>
      </c>
    </row>
    <row r="20" spans="2:105" ht="13.5" customHeight="1" x14ac:dyDescent="0.2">
      <c r="B20" s="2">
        <v>36693</v>
      </c>
      <c r="F20" s="8">
        <v>562</v>
      </c>
      <c r="G20" s="8">
        <f t="shared" si="14"/>
        <v>11</v>
      </c>
      <c r="H20" s="8">
        <v>602</v>
      </c>
      <c r="I20" s="8">
        <f t="shared" si="15"/>
        <v>30</v>
      </c>
      <c r="J20" s="8">
        <v>296</v>
      </c>
      <c r="K20" s="8">
        <f t="shared" si="16"/>
        <v>15</v>
      </c>
      <c r="L20" s="8">
        <v>457</v>
      </c>
      <c r="M20" s="8">
        <f t="shared" si="17"/>
        <v>22</v>
      </c>
      <c r="N20" s="8">
        <v>623</v>
      </c>
      <c r="O20" s="8">
        <f t="shared" si="18"/>
        <v>16</v>
      </c>
      <c r="P20" s="10">
        <v>675</v>
      </c>
      <c r="Q20" s="10">
        <v>24</v>
      </c>
      <c r="R20" s="10">
        <f>[29]STOR951!$D$13</f>
        <v>409</v>
      </c>
      <c r="S20" s="10">
        <f t="shared" si="44"/>
        <v>11</v>
      </c>
      <c r="T20" s="10">
        <v>496</v>
      </c>
      <c r="U20" s="10">
        <f t="shared" si="47"/>
        <v>30</v>
      </c>
      <c r="V20" s="8">
        <f t="shared" si="21"/>
        <v>12.375</v>
      </c>
      <c r="Z20" s="2">
        <v>36329</v>
      </c>
      <c r="AD20" s="6">
        <v>925</v>
      </c>
      <c r="AE20" s="8">
        <f t="shared" si="22"/>
        <v>63</v>
      </c>
      <c r="AF20" s="6">
        <v>917</v>
      </c>
      <c r="AG20" s="8">
        <f t="shared" si="23"/>
        <v>55</v>
      </c>
      <c r="AH20" s="6">
        <v>664</v>
      </c>
      <c r="AI20" s="8">
        <f t="shared" si="24"/>
        <v>66</v>
      </c>
      <c r="AJ20" s="6">
        <v>764</v>
      </c>
      <c r="AK20" s="8">
        <f t="shared" si="25"/>
        <v>65</v>
      </c>
      <c r="AL20" s="6">
        <v>1028</v>
      </c>
      <c r="AM20" s="8">
        <f t="shared" si="26"/>
        <v>55</v>
      </c>
      <c r="AN20" s="10">
        <v>956</v>
      </c>
      <c r="AO20" s="10">
        <v>50</v>
      </c>
      <c r="AP20" s="10">
        <f>[29]STOR951!$D$17</f>
        <v>754</v>
      </c>
      <c r="AQ20" s="10">
        <f t="shared" si="45"/>
        <v>48</v>
      </c>
      <c r="AR20" s="10">
        <v>820</v>
      </c>
      <c r="AS20" s="10">
        <f t="shared" si="48"/>
        <v>62</v>
      </c>
      <c r="AT20" s="8">
        <f t="shared" si="29"/>
        <v>58</v>
      </c>
      <c r="AU20" s="7"/>
      <c r="AV20" s="7"/>
      <c r="AX20" s="2">
        <v>36329</v>
      </c>
      <c r="BB20" s="6">
        <v>321</v>
      </c>
      <c r="BC20" s="8">
        <f t="shared" si="30"/>
        <v>9</v>
      </c>
      <c r="BD20" s="6">
        <v>334</v>
      </c>
      <c r="BE20" s="8">
        <f t="shared" si="31"/>
        <v>10</v>
      </c>
      <c r="BF20" s="6">
        <v>290</v>
      </c>
      <c r="BG20" s="8">
        <f t="shared" si="32"/>
        <v>10</v>
      </c>
      <c r="BH20" s="6">
        <v>262</v>
      </c>
      <c r="BI20" s="8">
        <f t="shared" si="33"/>
        <v>10</v>
      </c>
      <c r="BJ20" s="6">
        <v>288</v>
      </c>
      <c r="BK20" s="8">
        <f t="shared" si="34"/>
        <v>11</v>
      </c>
      <c r="BL20" s="10">
        <v>311</v>
      </c>
      <c r="BM20" s="8">
        <v>11</v>
      </c>
      <c r="BN20" s="10">
        <f>[29]STOR951!$D$21</f>
        <v>331</v>
      </c>
      <c r="BO20" s="8">
        <f t="shared" si="46"/>
        <v>5</v>
      </c>
      <c r="BP20" s="8">
        <v>293</v>
      </c>
      <c r="BQ20" s="10">
        <f t="shared" si="49"/>
        <v>14</v>
      </c>
      <c r="BR20" s="8">
        <f t="shared" si="37"/>
        <v>10</v>
      </c>
      <c r="BU20" s="2">
        <v>36329</v>
      </c>
      <c r="BY20" s="6">
        <f t="shared" si="0"/>
        <v>1808</v>
      </c>
      <c r="BZ20" s="6">
        <f t="shared" si="1"/>
        <v>83</v>
      </c>
      <c r="CA20" s="6">
        <f t="shared" si="2"/>
        <v>1853</v>
      </c>
      <c r="CB20" s="6">
        <f t="shared" si="3"/>
        <v>95</v>
      </c>
      <c r="CC20" s="6">
        <f t="shared" si="4"/>
        <v>1250</v>
      </c>
      <c r="CD20" s="6">
        <f t="shared" si="5"/>
        <v>91</v>
      </c>
      <c r="CE20" s="6">
        <f t="shared" si="6"/>
        <v>1483</v>
      </c>
      <c r="CF20" s="6">
        <f t="shared" si="7"/>
        <v>97</v>
      </c>
      <c r="CG20" s="6">
        <f t="shared" si="8"/>
        <v>1939</v>
      </c>
      <c r="CH20" s="6">
        <f t="shared" si="9"/>
        <v>82</v>
      </c>
      <c r="CI20" s="11">
        <f t="shared" si="10"/>
        <v>1942</v>
      </c>
      <c r="CJ20" s="11">
        <f t="shared" si="11"/>
        <v>85</v>
      </c>
      <c r="CK20" s="11">
        <f t="shared" si="12"/>
        <v>1494</v>
      </c>
      <c r="CL20" s="11">
        <f t="shared" si="13"/>
        <v>64</v>
      </c>
      <c r="CM20" s="11">
        <f t="shared" si="38"/>
        <v>1609</v>
      </c>
      <c r="CN20" s="11">
        <f t="shared" si="39"/>
        <v>106</v>
      </c>
      <c r="CO20" s="15">
        <f t="shared" si="40"/>
        <v>87.875</v>
      </c>
      <c r="CP20" s="15">
        <f t="shared" si="41"/>
        <v>115</v>
      </c>
      <c r="CQ20" s="37">
        <f>CP20/20</f>
        <v>5.75</v>
      </c>
      <c r="CR20" s="37">
        <f t="shared" si="43"/>
        <v>0.8214285714285714</v>
      </c>
      <c r="CS20" s="15"/>
      <c r="CT20" s="1"/>
      <c r="CW20" s="15">
        <v>97</v>
      </c>
      <c r="CX20" s="28" t="s">
        <v>29</v>
      </c>
      <c r="CY20" s="15">
        <v>82</v>
      </c>
      <c r="CZ20" s="28" t="s">
        <v>33</v>
      </c>
      <c r="DA20" s="15">
        <f t="shared" si="42"/>
        <v>87.875</v>
      </c>
    </row>
    <row r="21" spans="2:105" ht="13.5" customHeight="1" x14ac:dyDescent="0.2">
      <c r="B21" s="2">
        <v>36700</v>
      </c>
      <c r="F21" s="8">
        <v>577</v>
      </c>
      <c r="G21" s="8">
        <f t="shared" si="14"/>
        <v>15</v>
      </c>
      <c r="H21" s="8">
        <v>613</v>
      </c>
      <c r="I21" s="8">
        <f t="shared" si="15"/>
        <v>11</v>
      </c>
      <c r="J21" s="8">
        <v>307</v>
      </c>
      <c r="K21" s="8">
        <f t="shared" si="16"/>
        <v>11</v>
      </c>
      <c r="L21" s="8">
        <v>466</v>
      </c>
      <c r="M21" s="8">
        <f t="shared" si="17"/>
        <v>9</v>
      </c>
      <c r="N21" s="8">
        <v>637</v>
      </c>
      <c r="O21" s="8">
        <f t="shared" si="18"/>
        <v>14</v>
      </c>
      <c r="P21" s="10">
        <v>700</v>
      </c>
      <c r="Q21" s="10">
        <v>25</v>
      </c>
      <c r="R21" s="10">
        <f>[30]STOR951!$D$13</f>
        <v>421</v>
      </c>
      <c r="S21" s="10">
        <f t="shared" si="44"/>
        <v>12</v>
      </c>
      <c r="T21" s="10">
        <v>524</v>
      </c>
      <c r="U21" s="10">
        <f t="shared" si="47"/>
        <v>28</v>
      </c>
      <c r="V21" s="8">
        <f t="shared" si="21"/>
        <v>8.625</v>
      </c>
      <c r="Z21" s="2">
        <v>36336</v>
      </c>
      <c r="AD21" s="6">
        <v>1009</v>
      </c>
      <c r="AE21" s="8">
        <f t="shared" si="22"/>
        <v>84</v>
      </c>
      <c r="AF21" s="6">
        <v>976</v>
      </c>
      <c r="AG21" s="8">
        <f t="shared" si="23"/>
        <v>59</v>
      </c>
      <c r="AH21" s="6">
        <v>736</v>
      </c>
      <c r="AI21" s="8">
        <f t="shared" si="24"/>
        <v>72</v>
      </c>
      <c r="AJ21" s="6">
        <v>820</v>
      </c>
      <c r="AK21" s="8">
        <f t="shared" si="25"/>
        <v>56</v>
      </c>
      <c r="AL21" s="6">
        <v>1074</v>
      </c>
      <c r="AM21" s="8">
        <f t="shared" si="26"/>
        <v>46</v>
      </c>
      <c r="AN21" s="10">
        <v>1011</v>
      </c>
      <c r="AO21" s="10">
        <v>55</v>
      </c>
      <c r="AP21" s="10">
        <f>[30]STOR951!$D$17</f>
        <v>806</v>
      </c>
      <c r="AQ21" s="10">
        <f t="shared" si="45"/>
        <v>52</v>
      </c>
      <c r="AR21" s="10">
        <v>888</v>
      </c>
      <c r="AS21" s="10">
        <f t="shared" si="48"/>
        <v>68</v>
      </c>
      <c r="AT21" s="8">
        <f t="shared" si="29"/>
        <v>61.5</v>
      </c>
      <c r="AU21" s="7"/>
      <c r="AV21" s="7"/>
      <c r="AX21" s="2">
        <v>36336</v>
      </c>
      <c r="BB21" s="6">
        <v>326</v>
      </c>
      <c r="BC21" s="8">
        <f t="shared" si="30"/>
        <v>5</v>
      </c>
      <c r="BD21" s="6">
        <v>337</v>
      </c>
      <c r="BE21" s="8">
        <f t="shared" si="31"/>
        <v>3</v>
      </c>
      <c r="BF21" s="6">
        <v>300</v>
      </c>
      <c r="BG21" s="8">
        <f t="shared" si="32"/>
        <v>10</v>
      </c>
      <c r="BH21" s="6">
        <v>273</v>
      </c>
      <c r="BI21" s="8">
        <f t="shared" si="33"/>
        <v>11</v>
      </c>
      <c r="BJ21" s="6">
        <v>300</v>
      </c>
      <c r="BK21" s="8">
        <f t="shared" si="34"/>
        <v>12</v>
      </c>
      <c r="BL21" s="10">
        <v>322</v>
      </c>
      <c r="BM21" s="8">
        <v>11</v>
      </c>
      <c r="BN21" s="10">
        <f>[30]STOR951!$D$21</f>
        <v>340</v>
      </c>
      <c r="BO21" s="8">
        <f t="shared" si="46"/>
        <v>9</v>
      </c>
      <c r="BP21" s="8">
        <v>305</v>
      </c>
      <c r="BQ21" s="10">
        <f t="shared" si="49"/>
        <v>12</v>
      </c>
      <c r="BR21" s="8">
        <f t="shared" si="37"/>
        <v>9.125</v>
      </c>
      <c r="BU21" s="2">
        <v>36336</v>
      </c>
      <c r="BY21" s="6">
        <f t="shared" si="0"/>
        <v>1912</v>
      </c>
      <c r="BZ21" s="6">
        <f t="shared" si="1"/>
        <v>104</v>
      </c>
      <c r="CA21" s="6">
        <f t="shared" si="2"/>
        <v>1926</v>
      </c>
      <c r="CB21" s="6">
        <f t="shared" si="3"/>
        <v>73</v>
      </c>
      <c r="CC21" s="6">
        <f t="shared" si="4"/>
        <v>1343</v>
      </c>
      <c r="CD21" s="6">
        <f t="shared" si="5"/>
        <v>93</v>
      </c>
      <c r="CE21" s="6">
        <f t="shared" si="6"/>
        <v>1559</v>
      </c>
      <c r="CF21" s="6">
        <f t="shared" si="7"/>
        <v>76</v>
      </c>
      <c r="CG21" s="6">
        <f t="shared" si="8"/>
        <v>2011</v>
      </c>
      <c r="CH21" s="6">
        <f t="shared" si="9"/>
        <v>72</v>
      </c>
      <c r="CI21" s="11">
        <f t="shared" si="10"/>
        <v>2033</v>
      </c>
      <c r="CJ21" s="11">
        <f t="shared" si="11"/>
        <v>91</v>
      </c>
      <c r="CK21" s="11">
        <f t="shared" si="12"/>
        <v>1567</v>
      </c>
      <c r="CL21" s="11">
        <f t="shared" si="13"/>
        <v>73</v>
      </c>
      <c r="CM21" s="11">
        <f t="shared" si="38"/>
        <v>1717</v>
      </c>
      <c r="CN21" s="11">
        <f t="shared" si="39"/>
        <v>108</v>
      </c>
      <c r="CO21" s="15">
        <f t="shared" si="40"/>
        <v>86.25</v>
      </c>
      <c r="CP21" s="15">
        <f t="shared" si="41"/>
        <v>150</v>
      </c>
      <c r="CQ21" s="37">
        <f>CP21/19</f>
        <v>7.8947368421052628</v>
      </c>
      <c r="CR21" s="37">
        <f t="shared" si="43"/>
        <v>1.1278195488721805</v>
      </c>
      <c r="CS21" s="15"/>
      <c r="CT21" s="1"/>
      <c r="CU21" s="21"/>
      <c r="CV21" s="21"/>
      <c r="CW21" s="27">
        <v>104</v>
      </c>
      <c r="CX21" s="29" t="s">
        <v>22</v>
      </c>
      <c r="CY21" s="15">
        <v>72</v>
      </c>
      <c r="CZ21" s="28" t="s">
        <v>33</v>
      </c>
      <c r="DA21" s="15">
        <f t="shared" si="42"/>
        <v>86.25</v>
      </c>
    </row>
    <row r="22" spans="2:105" ht="13.5" customHeight="1" x14ac:dyDescent="0.2">
      <c r="B22" s="2">
        <v>36707</v>
      </c>
      <c r="F22" s="8">
        <v>615</v>
      </c>
      <c r="G22" s="8">
        <f t="shared" si="14"/>
        <v>38</v>
      </c>
      <c r="H22" s="8">
        <v>644</v>
      </c>
      <c r="I22" s="8">
        <f t="shared" si="15"/>
        <v>31</v>
      </c>
      <c r="J22" s="8">
        <v>322</v>
      </c>
      <c r="K22" s="8">
        <f t="shared" si="16"/>
        <v>15</v>
      </c>
      <c r="L22" s="8">
        <v>487</v>
      </c>
      <c r="M22" s="8">
        <f t="shared" si="17"/>
        <v>21</v>
      </c>
      <c r="N22" s="8">
        <v>651</v>
      </c>
      <c r="O22" s="8">
        <f t="shared" si="18"/>
        <v>14</v>
      </c>
      <c r="P22" s="10">
        <v>712</v>
      </c>
      <c r="Q22" s="10">
        <v>12</v>
      </c>
      <c r="R22" s="10">
        <f>[31]STOR951!$D$13</f>
        <v>432</v>
      </c>
      <c r="S22" s="10">
        <f t="shared" si="44"/>
        <v>11</v>
      </c>
      <c r="T22" s="10">
        <v>556</v>
      </c>
      <c r="U22" s="10">
        <f t="shared" si="47"/>
        <v>32</v>
      </c>
      <c r="V22" s="8">
        <f t="shared" si="21"/>
        <v>13.75</v>
      </c>
      <c r="Z22" s="2">
        <v>36343</v>
      </c>
      <c r="AD22" s="6">
        <v>1055</v>
      </c>
      <c r="AE22" s="8">
        <f t="shared" si="22"/>
        <v>46</v>
      </c>
      <c r="AF22" s="6">
        <v>1041</v>
      </c>
      <c r="AG22" s="8">
        <f t="shared" si="23"/>
        <v>65</v>
      </c>
      <c r="AH22" s="6">
        <v>806</v>
      </c>
      <c r="AI22" s="8">
        <f t="shared" si="24"/>
        <v>70</v>
      </c>
      <c r="AJ22" s="6">
        <v>884</v>
      </c>
      <c r="AK22" s="8">
        <f t="shared" si="25"/>
        <v>64</v>
      </c>
      <c r="AL22" s="6">
        <v>1124</v>
      </c>
      <c r="AM22" s="8">
        <f t="shared" si="26"/>
        <v>50</v>
      </c>
      <c r="AN22" s="10">
        <v>1057</v>
      </c>
      <c r="AO22" s="10">
        <v>46</v>
      </c>
      <c r="AP22" s="10">
        <f>[31]STOR951!$D$17</f>
        <v>856</v>
      </c>
      <c r="AQ22" s="10">
        <f t="shared" si="45"/>
        <v>50</v>
      </c>
      <c r="AR22" s="10">
        <v>950</v>
      </c>
      <c r="AS22" s="10">
        <f t="shared" si="48"/>
        <v>62</v>
      </c>
      <c r="AT22" s="8">
        <f t="shared" si="29"/>
        <v>56.625</v>
      </c>
      <c r="AU22" s="7"/>
      <c r="AV22" s="22"/>
      <c r="AX22" s="2">
        <v>36343</v>
      </c>
      <c r="BB22" s="6">
        <v>337</v>
      </c>
      <c r="BC22" s="8">
        <f t="shared" si="30"/>
        <v>11</v>
      </c>
      <c r="BD22" s="6">
        <v>356</v>
      </c>
      <c r="BE22" s="8">
        <f t="shared" si="31"/>
        <v>19</v>
      </c>
      <c r="BF22" s="6">
        <v>305</v>
      </c>
      <c r="BG22" s="8">
        <f t="shared" si="32"/>
        <v>5</v>
      </c>
      <c r="BH22" s="6">
        <v>284</v>
      </c>
      <c r="BI22" s="8">
        <f t="shared" si="33"/>
        <v>11</v>
      </c>
      <c r="BJ22" s="6">
        <v>310</v>
      </c>
      <c r="BK22" s="8">
        <f t="shared" si="34"/>
        <v>10</v>
      </c>
      <c r="BL22" s="10">
        <v>333</v>
      </c>
      <c r="BM22" s="8">
        <v>11</v>
      </c>
      <c r="BN22" s="10">
        <f>[31]STOR951!$D$21</f>
        <v>348</v>
      </c>
      <c r="BO22" s="8">
        <f t="shared" si="46"/>
        <v>8</v>
      </c>
      <c r="BP22" s="8">
        <v>316</v>
      </c>
      <c r="BQ22" s="10">
        <f t="shared" si="49"/>
        <v>11</v>
      </c>
      <c r="BR22" s="8">
        <f t="shared" si="37"/>
        <v>10.75</v>
      </c>
      <c r="BU22" s="2">
        <v>36343</v>
      </c>
      <c r="BY22" s="6">
        <f t="shared" si="0"/>
        <v>2007</v>
      </c>
      <c r="BZ22" s="6">
        <f t="shared" si="1"/>
        <v>95</v>
      </c>
      <c r="CA22" s="6">
        <f t="shared" si="2"/>
        <v>2041</v>
      </c>
      <c r="CB22" s="6">
        <f t="shared" si="3"/>
        <v>115</v>
      </c>
      <c r="CC22" s="6">
        <f t="shared" si="4"/>
        <v>1433</v>
      </c>
      <c r="CD22" s="6">
        <f t="shared" si="5"/>
        <v>90</v>
      </c>
      <c r="CE22" s="6">
        <f t="shared" si="6"/>
        <v>1655</v>
      </c>
      <c r="CF22" s="6">
        <f t="shared" si="7"/>
        <v>96</v>
      </c>
      <c r="CG22" s="6">
        <f t="shared" si="8"/>
        <v>2085</v>
      </c>
      <c r="CH22" s="6">
        <f t="shared" si="9"/>
        <v>74</v>
      </c>
      <c r="CI22" s="11">
        <f t="shared" si="10"/>
        <v>2102</v>
      </c>
      <c r="CJ22" s="11">
        <f t="shared" si="11"/>
        <v>69</v>
      </c>
      <c r="CK22" s="11">
        <f t="shared" si="12"/>
        <v>1636</v>
      </c>
      <c r="CL22" s="11">
        <f t="shared" si="13"/>
        <v>69</v>
      </c>
      <c r="CM22" s="11">
        <f t="shared" si="38"/>
        <v>1822</v>
      </c>
      <c r="CN22" s="11">
        <f t="shared" si="39"/>
        <v>105</v>
      </c>
      <c r="CO22" s="15">
        <f t="shared" si="40"/>
        <v>89.125</v>
      </c>
      <c r="CP22" s="15">
        <f t="shared" si="41"/>
        <v>186</v>
      </c>
      <c r="CQ22" s="37">
        <f>CP22/18</f>
        <v>10.333333333333334</v>
      </c>
      <c r="CR22" s="37">
        <f t="shared" si="43"/>
        <v>1.4761904761904763</v>
      </c>
      <c r="CS22" s="15"/>
      <c r="CT22" s="1"/>
      <c r="CW22" s="15">
        <v>115</v>
      </c>
      <c r="CX22" s="28" t="s">
        <v>31</v>
      </c>
      <c r="CY22" s="15">
        <v>69</v>
      </c>
      <c r="CZ22" s="28" t="s">
        <v>30</v>
      </c>
      <c r="DA22" s="15">
        <f t="shared" si="42"/>
        <v>89.125</v>
      </c>
    </row>
    <row r="23" spans="2:105" ht="13.5" customHeight="1" x14ac:dyDescent="0.2">
      <c r="B23" s="2">
        <v>36714</v>
      </c>
      <c r="F23" s="8">
        <v>642</v>
      </c>
      <c r="G23" s="8">
        <f t="shared" si="14"/>
        <v>27</v>
      </c>
      <c r="H23" s="8">
        <v>658</v>
      </c>
      <c r="I23" s="8">
        <f t="shared" si="15"/>
        <v>14</v>
      </c>
      <c r="J23" s="8">
        <v>342</v>
      </c>
      <c r="K23" s="8">
        <f t="shared" si="16"/>
        <v>20</v>
      </c>
      <c r="L23" s="8">
        <v>503</v>
      </c>
      <c r="M23" s="8">
        <f t="shared" si="17"/>
        <v>16</v>
      </c>
      <c r="N23" s="8">
        <v>678</v>
      </c>
      <c r="O23" s="8">
        <f t="shared" si="18"/>
        <v>27</v>
      </c>
      <c r="P23" s="10">
        <v>721</v>
      </c>
      <c r="Q23" s="10">
        <v>9</v>
      </c>
      <c r="R23" s="10">
        <f>[32]STOR951!$D$13</f>
        <v>458</v>
      </c>
      <c r="S23" s="10">
        <f t="shared" si="44"/>
        <v>26</v>
      </c>
      <c r="T23" s="10">
        <v>586</v>
      </c>
      <c r="U23" s="10">
        <f t="shared" si="47"/>
        <v>30</v>
      </c>
      <c r="V23" s="8">
        <f t="shared" si="21"/>
        <v>13.625</v>
      </c>
      <c r="X23" s="21"/>
      <c r="Z23" s="2">
        <v>36350</v>
      </c>
      <c r="AD23" s="6">
        <v>1121</v>
      </c>
      <c r="AE23" s="8">
        <f t="shared" si="22"/>
        <v>66</v>
      </c>
      <c r="AF23" s="6">
        <v>1089</v>
      </c>
      <c r="AG23" s="8">
        <f t="shared" si="23"/>
        <v>48</v>
      </c>
      <c r="AH23" s="6">
        <v>873</v>
      </c>
      <c r="AI23" s="8">
        <f t="shared" si="24"/>
        <v>67</v>
      </c>
      <c r="AJ23" s="6">
        <v>949</v>
      </c>
      <c r="AK23" s="8">
        <f t="shared" si="25"/>
        <v>65</v>
      </c>
      <c r="AL23" s="6">
        <v>1179</v>
      </c>
      <c r="AM23" s="8">
        <f t="shared" si="26"/>
        <v>55</v>
      </c>
      <c r="AN23" s="10">
        <v>1093</v>
      </c>
      <c r="AO23" s="10">
        <v>36</v>
      </c>
      <c r="AP23" s="10">
        <f>[32]STOR951!$D$17</f>
        <v>919</v>
      </c>
      <c r="AQ23" s="10">
        <f t="shared" si="45"/>
        <v>63</v>
      </c>
      <c r="AR23" s="10">
        <v>1021</v>
      </c>
      <c r="AS23" s="10">
        <f t="shared" si="48"/>
        <v>71</v>
      </c>
      <c r="AT23" s="8">
        <f t="shared" si="29"/>
        <v>58.875</v>
      </c>
      <c r="AU23" s="7"/>
      <c r="AV23" s="7"/>
      <c r="AX23" s="2">
        <v>36350</v>
      </c>
      <c r="BB23" s="6">
        <v>345</v>
      </c>
      <c r="BC23" s="8">
        <f t="shared" si="30"/>
        <v>8</v>
      </c>
      <c r="BD23" s="6">
        <v>365</v>
      </c>
      <c r="BE23" s="8">
        <f t="shared" si="31"/>
        <v>9</v>
      </c>
      <c r="BF23" s="6">
        <v>312</v>
      </c>
      <c r="BG23" s="8">
        <f t="shared" si="32"/>
        <v>7</v>
      </c>
      <c r="BH23" s="6">
        <v>290</v>
      </c>
      <c r="BI23" s="8">
        <f t="shared" si="33"/>
        <v>6</v>
      </c>
      <c r="BJ23" s="6">
        <v>321</v>
      </c>
      <c r="BK23" s="8">
        <f t="shared" si="34"/>
        <v>11</v>
      </c>
      <c r="BL23" s="10">
        <v>347</v>
      </c>
      <c r="BM23" s="8">
        <v>14</v>
      </c>
      <c r="BN23" s="10">
        <f>[32]STOR951!$D$21</f>
        <v>356</v>
      </c>
      <c r="BO23" s="8">
        <f t="shared" si="46"/>
        <v>8</v>
      </c>
      <c r="BP23" s="8">
        <v>325</v>
      </c>
      <c r="BQ23" s="10">
        <f t="shared" si="49"/>
        <v>9</v>
      </c>
      <c r="BR23" s="8">
        <f t="shared" si="37"/>
        <v>9</v>
      </c>
      <c r="BU23" s="2">
        <v>36350</v>
      </c>
      <c r="BY23" s="6">
        <f t="shared" si="0"/>
        <v>2108</v>
      </c>
      <c r="BZ23" s="6">
        <f t="shared" si="1"/>
        <v>101</v>
      </c>
      <c r="CA23" s="6">
        <f t="shared" si="2"/>
        <v>2112</v>
      </c>
      <c r="CB23" s="6">
        <f t="shared" si="3"/>
        <v>71</v>
      </c>
      <c r="CC23" s="6">
        <f t="shared" si="4"/>
        <v>1527</v>
      </c>
      <c r="CD23" s="6">
        <f t="shared" si="5"/>
        <v>94</v>
      </c>
      <c r="CE23" s="6">
        <f t="shared" si="6"/>
        <v>1742</v>
      </c>
      <c r="CF23" s="6">
        <f t="shared" si="7"/>
        <v>87</v>
      </c>
      <c r="CG23" s="6">
        <f t="shared" si="8"/>
        <v>2178</v>
      </c>
      <c r="CH23" s="6">
        <f t="shared" si="9"/>
        <v>93</v>
      </c>
      <c r="CI23" s="11">
        <f t="shared" si="10"/>
        <v>2161</v>
      </c>
      <c r="CJ23" s="11">
        <f t="shared" si="11"/>
        <v>59</v>
      </c>
      <c r="CK23" s="11">
        <f t="shared" si="12"/>
        <v>1733</v>
      </c>
      <c r="CL23" s="11">
        <f t="shared" si="13"/>
        <v>97</v>
      </c>
      <c r="CM23" s="11">
        <f t="shared" si="38"/>
        <v>1932</v>
      </c>
      <c r="CN23" s="11">
        <f t="shared" si="39"/>
        <v>110</v>
      </c>
      <c r="CO23" s="15">
        <f t="shared" si="40"/>
        <v>89</v>
      </c>
      <c r="CP23" s="15">
        <f t="shared" si="41"/>
        <v>199</v>
      </c>
      <c r="CQ23" s="37">
        <f>CP23/17</f>
        <v>11.705882352941176</v>
      </c>
      <c r="CR23" s="37">
        <f t="shared" si="43"/>
        <v>1.672268907563025</v>
      </c>
      <c r="CS23" s="15"/>
      <c r="CT23" s="1"/>
      <c r="CU23" s="21"/>
      <c r="CV23" s="21"/>
      <c r="CW23" s="27">
        <v>101</v>
      </c>
      <c r="CX23" s="29" t="s">
        <v>22</v>
      </c>
      <c r="CY23" s="15">
        <v>59</v>
      </c>
      <c r="CZ23" s="28" t="s">
        <v>30</v>
      </c>
      <c r="DA23" s="15">
        <f t="shared" si="42"/>
        <v>89</v>
      </c>
    </row>
    <row r="24" spans="2:105" ht="13.5" customHeight="1" x14ac:dyDescent="0.2">
      <c r="B24" s="2">
        <v>36721</v>
      </c>
      <c r="F24" s="8">
        <v>655</v>
      </c>
      <c r="G24" s="8">
        <f t="shared" si="14"/>
        <v>13</v>
      </c>
      <c r="H24" s="8">
        <v>666</v>
      </c>
      <c r="I24" s="8">
        <f t="shared" si="15"/>
        <v>8</v>
      </c>
      <c r="J24" s="8">
        <v>358</v>
      </c>
      <c r="K24" s="8">
        <f t="shared" si="16"/>
        <v>16</v>
      </c>
      <c r="L24" s="8">
        <v>503</v>
      </c>
      <c r="M24" s="8">
        <f t="shared" si="17"/>
        <v>0</v>
      </c>
      <c r="N24" s="8">
        <v>700</v>
      </c>
      <c r="O24" s="8">
        <f t="shared" si="18"/>
        <v>22</v>
      </c>
      <c r="P24" s="10">
        <v>735</v>
      </c>
      <c r="Q24" s="10">
        <v>14</v>
      </c>
      <c r="R24" s="10">
        <f>[33]STOR951!$D$13</f>
        <v>467</v>
      </c>
      <c r="S24" s="10">
        <f t="shared" ref="S24:S29" si="50">R24-R23</f>
        <v>9</v>
      </c>
      <c r="T24" s="10">
        <v>608</v>
      </c>
      <c r="U24" s="10">
        <f t="shared" si="47"/>
        <v>22</v>
      </c>
      <c r="V24" s="8">
        <f t="shared" si="21"/>
        <v>7.5</v>
      </c>
      <c r="Z24" s="2">
        <v>36357</v>
      </c>
      <c r="AD24" s="6">
        <v>1177</v>
      </c>
      <c r="AE24" s="8">
        <f t="shared" si="22"/>
        <v>56</v>
      </c>
      <c r="AF24" s="6">
        <v>1132</v>
      </c>
      <c r="AG24" s="8">
        <f t="shared" si="23"/>
        <v>43</v>
      </c>
      <c r="AH24" s="6">
        <v>941</v>
      </c>
      <c r="AI24" s="8">
        <f t="shared" si="24"/>
        <v>68</v>
      </c>
      <c r="AJ24" s="6">
        <v>997</v>
      </c>
      <c r="AK24" s="8">
        <f t="shared" si="25"/>
        <v>48</v>
      </c>
      <c r="AL24" s="6">
        <v>1233</v>
      </c>
      <c r="AM24" s="8">
        <f t="shared" si="26"/>
        <v>54</v>
      </c>
      <c r="AN24" s="10">
        <v>1149</v>
      </c>
      <c r="AO24" s="10">
        <v>56</v>
      </c>
      <c r="AP24" s="10">
        <f>[33]STOR951!$D$17</f>
        <v>971</v>
      </c>
      <c r="AQ24" s="10">
        <f t="shared" ref="AQ24:AQ29" si="51">AP24-AP23</f>
        <v>52</v>
      </c>
      <c r="AR24" s="10">
        <v>1083</v>
      </c>
      <c r="AS24" s="10">
        <f t="shared" si="48"/>
        <v>62</v>
      </c>
      <c r="AT24" s="8">
        <f t="shared" si="29"/>
        <v>54.875</v>
      </c>
      <c r="AU24" s="7"/>
      <c r="AV24" s="22"/>
      <c r="AX24" s="2">
        <v>36357</v>
      </c>
      <c r="BB24" s="6">
        <v>354</v>
      </c>
      <c r="BC24" s="8">
        <f t="shared" si="30"/>
        <v>9</v>
      </c>
      <c r="BD24" s="6">
        <v>371</v>
      </c>
      <c r="BE24" s="8">
        <f t="shared" si="31"/>
        <v>6</v>
      </c>
      <c r="BF24" s="6">
        <v>318</v>
      </c>
      <c r="BG24" s="8">
        <f t="shared" si="32"/>
        <v>6</v>
      </c>
      <c r="BH24" s="6">
        <v>300</v>
      </c>
      <c r="BI24" s="8">
        <f t="shared" si="33"/>
        <v>10</v>
      </c>
      <c r="BJ24" s="6">
        <v>324</v>
      </c>
      <c r="BK24" s="8">
        <f t="shared" si="34"/>
        <v>3</v>
      </c>
      <c r="BL24" s="10">
        <v>355</v>
      </c>
      <c r="BM24" s="8">
        <v>8</v>
      </c>
      <c r="BN24" s="10">
        <f>[33]STOR951!$D$21</f>
        <v>365</v>
      </c>
      <c r="BO24" s="8">
        <f t="shared" ref="BO24:BO29" si="52">BN24-BN23</f>
        <v>9</v>
      </c>
      <c r="BP24" s="8">
        <v>351</v>
      </c>
      <c r="BQ24" s="10">
        <f t="shared" si="49"/>
        <v>26</v>
      </c>
      <c r="BR24" s="8">
        <f t="shared" si="37"/>
        <v>9.625</v>
      </c>
      <c r="BU24" s="2">
        <v>36357</v>
      </c>
      <c r="BY24" s="6">
        <f t="shared" si="0"/>
        <v>2186</v>
      </c>
      <c r="BZ24" s="6">
        <f t="shared" si="1"/>
        <v>78</v>
      </c>
      <c r="CA24" s="6">
        <f t="shared" si="2"/>
        <v>2169</v>
      </c>
      <c r="CB24" s="6">
        <f t="shared" si="3"/>
        <v>57</v>
      </c>
      <c r="CC24" s="6">
        <f t="shared" si="4"/>
        <v>1617</v>
      </c>
      <c r="CD24" s="6">
        <f t="shared" si="5"/>
        <v>90</v>
      </c>
      <c r="CE24" s="6">
        <f t="shared" si="6"/>
        <v>1800</v>
      </c>
      <c r="CF24" s="6">
        <f t="shared" si="7"/>
        <v>58</v>
      </c>
      <c r="CG24" s="6">
        <f t="shared" si="8"/>
        <v>2257</v>
      </c>
      <c r="CH24" s="6">
        <f t="shared" si="9"/>
        <v>79</v>
      </c>
      <c r="CI24" s="11">
        <f t="shared" si="10"/>
        <v>2239</v>
      </c>
      <c r="CJ24" s="11">
        <f t="shared" si="11"/>
        <v>78</v>
      </c>
      <c r="CK24" s="11">
        <f t="shared" si="12"/>
        <v>1803</v>
      </c>
      <c r="CL24" s="11">
        <f t="shared" si="13"/>
        <v>70</v>
      </c>
      <c r="CM24" s="11">
        <f t="shared" si="38"/>
        <v>2042</v>
      </c>
      <c r="CN24" s="11">
        <f t="shared" si="39"/>
        <v>110</v>
      </c>
      <c r="CO24" s="15">
        <f t="shared" si="40"/>
        <v>77.5</v>
      </c>
      <c r="CP24" s="15">
        <f t="shared" si="41"/>
        <v>239</v>
      </c>
      <c r="CQ24" s="37">
        <f>CP24/16</f>
        <v>14.9375</v>
      </c>
      <c r="CR24" s="37">
        <f t="shared" si="43"/>
        <v>2.1339285714285716</v>
      </c>
      <c r="CS24" s="15"/>
      <c r="CT24" s="1"/>
      <c r="CW24" s="15">
        <v>90</v>
      </c>
      <c r="CX24" s="28" t="s">
        <v>32</v>
      </c>
      <c r="CY24" s="15">
        <v>57</v>
      </c>
      <c r="CZ24" s="28" t="s">
        <v>31</v>
      </c>
      <c r="DA24" s="15">
        <f t="shared" si="42"/>
        <v>77.5</v>
      </c>
    </row>
    <row r="25" spans="2:105" ht="13.5" customHeight="1" x14ac:dyDescent="0.2">
      <c r="B25" s="2">
        <v>36728</v>
      </c>
      <c r="F25" s="8">
        <v>682</v>
      </c>
      <c r="G25" s="8">
        <f t="shared" si="14"/>
        <v>27</v>
      </c>
      <c r="H25" s="8">
        <v>671</v>
      </c>
      <c r="I25" s="8">
        <f t="shared" si="15"/>
        <v>5</v>
      </c>
      <c r="J25" s="8">
        <v>373</v>
      </c>
      <c r="K25" s="8">
        <f t="shared" si="16"/>
        <v>15</v>
      </c>
      <c r="L25" s="8">
        <v>503</v>
      </c>
      <c r="M25" s="8">
        <f t="shared" si="17"/>
        <v>0</v>
      </c>
      <c r="N25" s="8">
        <v>711</v>
      </c>
      <c r="O25" s="8">
        <f t="shared" si="18"/>
        <v>11</v>
      </c>
      <c r="P25" s="10">
        <v>736</v>
      </c>
      <c r="Q25" s="10">
        <v>1</v>
      </c>
      <c r="R25" s="10">
        <f>[34]STOR951!$D$13</f>
        <v>468</v>
      </c>
      <c r="S25" s="10">
        <f t="shared" si="50"/>
        <v>1</v>
      </c>
      <c r="T25" s="10">
        <v>621</v>
      </c>
      <c r="U25" s="10">
        <f t="shared" si="47"/>
        <v>13</v>
      </c>
      <c r="V25" s="8">
        <f t="shared" si="21"/>
        <v>5.875</v>
      </c>
      <c r="Z25" s="2">
        <v>36364</v>
      </c>
      <c r="AD25" s="6">
        <v>1229</v>
      </c>
      <c r="AE25" s="8">
        <f t="shared" si="22"/>
        <v>52</v>
      </c>
      <c r="AF25" s="6">
        <v>1180</v>
      </c>
      <c r="AG25" s="8">
        <f t="shared" si="23"/>
        <v>48</v>
      </c>
      <c r="AH25" s="6">
        <v>1008</v>
      </c>
      <c r="AI25" s="8">
        <f t="shared" si="24"/>
        <v>67</v>
      </c>
      <c r="AJ25" s="6">
        <v>1053</v>
      </c>
      <c r="AK25" s="8">
        <f t="shared" si="25"/>
        <v>56</v>
      </c>
      <c r="AL25" s="6">
        <v>1281</v>
      </c>
      <c r="AM25" s="8">
        <f t="shared" si="26"/>
        <v>48</v>
      </c>
      <c r="AN25" s="10">
        <v>1179</v>
      </c>
      <c r="AO25" s="10">
        <v>30</v>
      </c>
      <c r="AP25" s="10">
        <f>[34]STOR951!$D$17</f>
        <v>1019</v>
      </c>
      <c r="AQ25" s="10">
        <f t="shared" si="51"/>
        <v>48</v>
      </c>
      <c r="AR25" s="10">
        <v>1143</v>
      </c>
      <c r="AS25" s="10">
        <f t="shared" si="48"/>
        <v>60</v>
      </c>
      <c r="AT25" s="8">
        <f t="shared" si="29"/>
        <v>51.125</v>
      </c>
      <c r="AU25" s="7"/>
      <c r="AV25" s="7"/>
      <c r="AX25" s="2">
        <v>36364</v>
      </c>
      <c r="BB25" s="6">
        <v>359</v>
      </c>
      <c r="BC25" s="8">
        <f t="shared" si="30"/>
        <v>5</v>
      </c>
      <c r="BD25" s="6">
        <v>375</v>
      </c>
      <c r="BE25" s="8">
        <f t="shared" si="31"/>
        <v>4</v>
      </c>
      <c r="BF25" s="6">
        <v>317</v>
      </c>
      <c r="BG25" s="8">
        <f t="shared" si="32"/>
        <v>-1</v>
      </c>
      <c r="BH25" s="6">
        <v>304</v>
      </c>
      <c r="BI25" s="8">
        <f t="shared" si="33"/>
        <v>4</v>
      </c>
      <c r="BJ25" s="6">
        <v>331</v>
      </c>
      <c r="BK25" s="8">
        <f t="shared" si="34"/>
        <v>7</v>
      </c>
      <c r="BL25" s="10">
        <v>365</v>
      </c>
      <c r="BM25" s="8">
        <v>10</v>
      </c>
      <c r="BN25" s="10">
        <f>[34]STOR951!$D$21</f>
        <v>370</v>
      </c>
      <c r="BO25" s="8">
        <f t="shared" si="52"/>
        <v>5</v>
      </c>
      <c r="BP25" s="8">
        <v>362</v>
      </c>
      <c r="BQ25" s="10">
        <f t="shared" si="49"/>
        <v>11</v>
      </c>
      <c r="BR25" s="8">
        <f t="shared" si="37"/>
        <v>5.625</v>
      </c>
      <c r="BU25" s="2">
        <v>36364</v>
      </c>
      <c r="BY25" s="6">
        <f t="shared" si="0"/>
        <v>2270</v>
      </c>
      <c r="BZ25" s="6">
        <f t="shared" si="1"/>
        <v>84</v>
      </c>
      <c r="CA25" s="6">
        <f t="shared" si="2"/>
        <v>2226</v>
      </c>
      <c r="CB25" s="6">
        <f t="shared" si="3"/>
        <v>57</v>
      </c>
      <c r="CC25" s="6">
        <f t="shared" si="4"/>
        <v>1698</v>
      </c>
      <c r="CD25" s="6">
        <f t="shared" si="5"/>
        <v>81</v>
      </c>
      <c r="CE25" s="6">
        <f t="shared" si="6"/>
        <v>1860</v>
      </c>
      <c r="CF25" s="6">
        <f t="shared" si="7"/>
        <v>60</v>
      </c>
      <c r="CG25" s="6">
        <f t="shared" si="8"/>
        <v>2323</v>
      </c>
      <c r="CH25" s="6">
        <f t="shared" si="9"/>
        <v>66</v>
      </c>
      <c r="CI25" s="11">
        <f t="shared" si="10"/>
        <v>2280</v>
      </c>
      <c r="CJ25" s="11">
        <f t="shared" si="11"/>
        <v>41</v>
      </c>
      <c r="CK25" s="11">
        <f t="shared" si="12"/>
        <v>1857</v>
      </c>
      <c r="CL25" s="11">
        <f t="shared" si="13"/>
        <v>54</v>
      </c>
      <c r="CM25" s="11">
        <f t="shared" si="38"/>
        <v>2126</v>
      </c>
      <c r="CN25" s="11">
        <f t="shared" si="39"/>
        <v>84</v>
      </c>
      <c r="CO25" s="15">
        <f t="shared" si="40"/>
        <v>65.875</v>
      </c>
      <c r="CP25" s="15">
        <f t="shared" si="41"/>
        <v>269</v>
      </c>
      <c r="CQ25" s="37">
        <f>CP25/15</f>
        <v>17.933333333333334</v>
      </c>
      <c r="CR25" s="37">
        <f t="shared" si="43"/>
        <v>2.5619047619047621</v>
      </c>
      <c r="CS25" s="15"/>
      <c r="CT25" s="1"/>
      <c r="CW25" s="15">
        <v>84</v>
      </c>
      <c r="CX25" s="28" t="s">
        <v>22</v>
      </c>
      <c r="CY25" s="15">
        <v>41</v>
      </c>
      <c r="CZ25" s="28" t="s">
        <v>30</v>
      </c>
      <c r="DA25" s="15">
        <f t="shared" si="42"/>
        <v>65.875</v>
      </c>
    </row>
    <row r="26" spans="2:105" ht="13.5" customHeight="1" x14ac:dyDescent="0.2">
      <c r="B26" s="2">
        <v>36735</v>
      </c>
      <c r="F26" s="8">
        <v>714</v>
      </c>
      <c r="G26" s="8">
        <f t="shared" si="14"/>
        <v>32</v>
      </c>
      <c r="H26" s="8">
        <v>672</v>
      </c>
      <c r="I26" s="8">
        <f t="shared" si="15"/>
        <v>1</v>
      </c>
      <c r="J26" s="8">
        <v>392</v>
      </c>
      <c r="K26" s="8">
        <f t="shared" si="16"/>
        <v>19</v>
      </c>
      <c r="L26" s="8">
        <v>501</v>
      </c>
      <c r="M26" s="8">
        <f t="shared" si="17"/>
        <v>-2</v>
      </c>
      <c r="N26" s="8">
        <v>732</v>
      </c>
      <c r="O26" s="8">
        <f t="shared" si="18"/>
        <v>21</v>
      </c>
      <c r="P26" s="10">
        <v>725</v>
      </c>
      <c r="Q26" s="10">
        <v>-11</v>
      </c>
      <c r="R26" s="10">
        <f>[35]STOR951!$D$13</f>
        <v>484</v>
      </c>
      <c r="S26" s="10">
        <f t="shared" si="50"/>
        <v>16</v>
      </c>
      <c r="T26" s="10">
        <v>640</v>
      </c>
      <c r="U26" s="10">
        <f t="shared" si="47"/>
        <v>19</v>
      </c>
      <c r="V26" s="8">
        <f>IF(T26&gt;0,(G26+I26+K26+M26+O26+Q26+S26-U26)/8,(G26+I26+K26+M26+O26+Q26+S26)/7)</f>
        <v>7.125</v>
      </c>
      <c r="Z26" s="2">
        <v>36371</v>
      </c>
      <c r="AD26" s="6">
        <v>1289</v>
      </c>
      <c r="AE26" s="8">
        <f t="shared" si="22"/>
        <v>60</v>
      </c>
      <c r="AF26" s="6">
        <v>1216</v>
      </c>
      <c r="AG26" s="8">
        <f t="shared" si="23"/>
        <v>36</v>
      </c>
      <c r="AH26" s="6">
        <v>1075</v>
      </c>
      <c r="AI26" s="8">
        <f t="shared" si="24"/>
        <v>67</v>
      </c>
      <c r="AJ26" s="6">
        <v>1103</v>
      </c>
      <c r="AK26" s="8">
        <f t="shared" si="25"/>
        <v>50</v>
      </c>
      <c r="AL26" s="6">
        <v>1324</v>
      </c>
      <c r="AM26" s="8">
        <f t="shared" si="26"/>
        <v>43</v>
      </c>
      <c r="AN26" s="10">
        <v>1209</v>
      </c>
      <c r="AO26" s="10">
        <v>30</v>
      </c>
      <c r="AP26" s="10">
        <f>[35]STOR951!$D$17</f>
        <v>1068</v>
      </c>
      <c r="AQ26" s="10">
        <f t="shared" si="51"/>
        <v>49</v>
      </c>
      <c r="AR26" s="10">
        <v>1191</v>
      </c>
      <c r="AS26" s="10">
        <f t="shared" si="48"/>
        <v>48</v>
      </c>
      <c r="AT26" s="8">
        <f t="shared" si="29"/>
        <v>47.875</v>
      </c>
      <c r="AU26" s="7"/>
      <c r="AV26" s="7"/>
      <c r="AX26" s="2">
        <v>36371</v>
      </c>
      <c r="BB26" s="6">
        <v>364</v>
      </c>
      <c r="BC26" s="8">
        <f t="shared" si="30"/>
        <v>5</v>
      </c>
      <c r="BD26" s="6">
        <v>376</v>
      </c>
      <c r="BE26" s="8">
        <f t="shared" si="31"/>
        <v>1</v>
      </c>
      <c r="BF26" s="6">
        <v>315</v>
      </c>
      <c r="BG26" s="8">
        <f t="shared" si="32"/>
        <v>-2</v>
      </c>
      <c r="BH26" s="6">
        <v>311</v>
      </c>
      <c r="BI26" s="8">
        <f t="shared" si="33"/>
        <v>7</v>
      </c>
      <c r="BJ26" s="6">
        <v>337</v>
      </c>
      <c r="BK26" s="8">
        <f t="shared" si="34"/>
        <v>6</v>
      </c>
      <c r="BL26" s="10">
        <v>372</v>
      </c>
      <c r="BM26" s="8">
        <v>7</v>
      </c>
      <c r="BN26" s="10">
        <f>[35]STOR951!$D$21</f>
        <v>368</v>
      </c>
      <c r="BO26" s="8">
        <f t="shared" si="52"/>
        <v>-2</v>
      </c>
      <c r="BP26" s="8">
        <v>372</v>
      </c>
      <c r="BQ26" s="10">
        <f t="shared" si="49"/>
        <v>10</v>
      </c>
      <c r="BR26" s="8">
        <f t="shared" si="37"/>
        <v>4</v>
      </c>
      <c r="BU26" s="2">
        <v>36371</v>
      </c>
      <c r="BY26" s="6">
        <f t="shared" si="0"/>
        <v>2367</v>
      </c>
      <c r="BZ26" s="6">
        <f t="shared" si="1"/>
        <v>97</v>
      </c>
      <c r="CA26" s="6">
        <f t="shared" si="2"/>
        <v>2264</v>
      </c>
      <c r="CB26" s="6">
        <f t="shared" si="3"/>
        <v>38</v>
      </c>
      <c r="CC26" s="6">
        <f t="shared" si="4"/>
        <v>1782</v>
      </c>
      <c r="CD26" s="6">
        <f t="shared" si="5"/>
        <v>84</v>
      </c>
      <c r="CE26" s="6">
        <f t="shared" si="6"/>
        <v>1915</v>
      </c>
      <c r="CF26" s="6">
        <f t="shared" si="7"/>
        <v>55</v>
      </c>
      <c r="CG26" s="6">
        <f t="shared" si="8"/>
        <v>2393</v>
      </c>
      <c r="CH26" s="6">
        <f t="shared" si="9"/>
        <v>70</v>
      </c>
      <c r="CI26" s="11">
        <f t="shared" si="10"/>
        <v>2306</v>
      </c>
      <c r="CJ26" s="11">
        <f t="shared" si="11"/>
        <v>26</v>
      </c>
      <c r="CK26" s="11">
        <f t="shared" si="12"/>
        <v>1920</v>
      </c>
      <c r="CL26" s="11">
        <f t="shared" si="13"/>
        <v>63</v>
      </c>
      <c r="CM26" s="11">
        <f t="shared" si="38"/>
        <v>2203</v>
      </c>
      <c r="CN26" s="11">
        <f t="shared" si="39"/>
        <v>77</v>
      </c>
      <c r="CO26" s="15">
        <f t="shared" si="40"/>
        <v>63.75</v>
      </c>
      <c r="CP26" s="15">
        <f t="shared" si="41"/>
        <v>283</v>
      </c>
      <c r="CQ26" s="37">
        <f>CP26/14</f>
        <v>20.214285714285715</v>
      </c>
      <c r="CR26" s="37">
        <f t="shared" si="43"/>
        <v>2.8877551020408165</v>
      </c>
      <c r="CS26" s="15"/>
      <c r="CT26" s="1"/>
      <c r="CW26" s="15">
        <v>97</v>
      </c>
      <c r="CX26" s="28" t="s">
        <v>22</v>
      </c>
      <c r="CY26" s="15">
        <v>26</v>
      </c>
      <c r="CZ26" s="28" t="s">
        <v>30</v>
      </c>
      <c r="DA26" s="15">
        <f t="shared" si="42"/>
        <v>63.75</v>
      </c>
    </row>
    <row r="27" spans="2:105" ht="13.5" customHeight="1" x14ac:dyDescent="0.2">
      <c r="B27" s="2">
        <v>36742</v>
      </c>
      <c r="F27" s="8">
        <v>737</v>
      </c>
      <c r="G27" s="8">
        <f t="shared" si="14"/>
        <v>23</v>
      </c>
      <c r="H27" s="8">
        <v>677</v>
      </c>
      <c r="I27" s="8">
        <f t="shared" si="15"/>
        <v>5</v>
      </c>
      <c r="J27" s="8">
        <v>412</v>
      </c>
      <c r="K27" s="8">
        <f t="shared" si="16"/>
        <v>20</v>
      </c>
      <c r="L27" s="8">
        <v>515</v>
      </c>
      <c r="M27" s="8">
        <f t="shared" si="17"/>
        <v>14</v>
      </c>
      <c r="N27" s="8">
        <v>751</v>
      </c>
      <c r="O27" s="8">
        <f t="shared" si="18"/>
        <v>19</v>
      </c>
      <c r="P27" s="10">
        <v>724</v>
      </c>
      <c r="Q27" s="10">
        <v>-1</v>
      </c>
      <c r="R27" s="10">
        <f>[36]STOR951!$D$13</f>
        <v>501</v>
      </c>
      <c r="S27" s="10">
        <f t="shared" si="50"/>
        <v>17</v>
      </c>
      <c r="T27" s="10">
        <v>656</v>
      </c>
      <c r="U27" s="10">
        <f t="shared" si="47"/>
        <v>16</v>
      </c>
      <c r="V27" s="8">
        <f t="shared" si="21"/>
        <v>10.125</v>
      </c>
      <c r="Z27" s="2">
        <v>36378</v>
      </c>
      <c r="AD27" s="6">
        <v>1333</v>
      </c>
      <c r="AE27" s="8">
        <f t="shared" si="22"/>
        <v>44</v>
      </c>
      <c r="AF27" s="6">
        <v>1264</v>
      </c>
      <c r="AG27" s="8">
        <f t="shared" si="23"/>
        <v>48</v>
      </c>
      <c r="AH27" s="6">
        <v>1130</v>
      </c>
      <c r="AI27" s="8">
        <f t="shared" si="24"/>
        <v>55</v>
      </c>
      <c r="AJ27" s="6">
        <v>1165</v>
      </c>
      <c r="AK27" s="8">
        <f t="shared" si="25"/>
        <v>62</v>
      </c>
      <c r="AL27" s="6">
        <v>1373</v>
      </c>
      <c r="AM27" s="8">
        <f t="shared" si="26"/>
        <v>49</v>
      </c>
      <c r="AN27" s="10">
        <v>1247</v>
      </c>
      <c r="AO27" s="10">
        <v>38</v>
      </c>
      <c r="AP27" s="10">
        <f>[36]STOR951!$D$17</f>
        <v>1117</v>
      </c>
      <c r="AQ27" s="10">
        <f t="shared" si="51"/>
        <v>49</v>
      </c>
      <c r="AR27" s="10">
        <v>1246</v>
      </c>
      <c r="AS27" s="10">
        <f t="shared" si="48"/>
        <v>55</v>
      </c>
      <c r="AT27" s="8">
        <f t="shared" si="29"/>
        <v>50</v>
      </c>
      <c r="AU27" s="7"/>
      <c r="AV27" s="7"/>
      <c r="AX27" s="2">
        <v>36378</v>
      </c>
      <c r="BB27" s="6">
        <v>370</v>
      </c>
      <c r="BC27" s="8">
        <f t="shared" si="30"/>
        <v>6</v>
      </c>
      <c r="BD27" s="6">
        <v>379</v>
      </c>
      <c r="BE27" s="8">
        <f t="shared" si="31"/>
        <v>3</v>
      </c>
      <c r="BF27" s="6">
        <v>320</v>
      </c>
      <c r="BG27" s="8">
        <f t="shared" si="32"/>
        <v>5</v>
      </c>
      <c r="BH27" s="6">
        <v>313</v>
      </c>
      <c r="BI27" s="8">
        <f t="shared" si="33"/>
        <v>2</v>
      </c>
      <c r="BJ27" s="6">
        <v>344</v>
      </c>
      <c r="BK27" s="8">
        <f t="shared" si="34"/>
        <v>7</v>
      </c>
      <c r="BL27" s="10">
        <v>380</v>
      </c>
      <c r="BM27" s="8">
        <v>8</v>
      </c>
      <c r="BN27" s="10">
        <f>[36]STOR951!$D$21</f>
        <v>367</v>
      </c>
      <c r="BO27" s="8">
        <f t="shared" si="52"/>
        <v>-1</v>
      </c>
      <c r="BP27" s="8">
        <v>381</v>
      </c>
      <c r="BQ27" s="10">
        <f t="shared" si="49"/>
        <v>9</v>
      </c>
      <c r="BR27" s="8">
        <f t="shared" si="37"/>
        <v>4.875</v>
      </c>
      <c r="BU27" s="2">
        <v>36378</v>
      </c>
      <c r="BY27" s="6">
        <f t="shared" si="0"/>
        <v>2440</v>
      </c>
      <c r="BZ27" s="6">
        <f t="shared" si="1"/>
        <v>73</v>
      </c>
      <c r="CA27" s="6">
        <f t="shared" si="2"/>
        <v>2320</v>
      </c>
      <c r="CB27" s="6">
        <f t="shared" si="3"/>
        <v>56</v>
      </c>
      <c r="CC27" s="6">
        <f t="shared" si="4"/>
        <v>1862</v>
      </c>
      <c r="CD27" s="6">
        <f t="shared" si="5"/>
        <v>80</v>
      </c>
      <c r="CE27" s="6">
        <f t="shared" si="6"/>
        <v>1993</v>
      </c>
      <c r="CF27" s="6">
        <f t="shared" si="7"/>
        <v>78</v>
      </c>
      <c r="CG27" s="6">
        <f t="shared" si="8"/>
        <v>2468</v>
      </c>
      <c r="CH27" s="6">
        <f t="shared" si="9"/>
        <v>75</v>
      </c>
      <c r="CI27" s="11">
        <f t="shared" si="10"/>
        <v>2351</v>
      </c>
      <c r="CJ27" s="11">
        <f t="shared" si="11"/>
        <v>45</v>
      </c>
      <c r="CK27" s="11">
        <f t="shared" si="12"/>
        <v>1985</v>
      </c>
      <c r="CL27" s="11">
        <f t="shared" si="13"/>
        <v>65</v>
      </c>
      <c r="CM27" s="11">
        <f t="shared" si="38"/>
        <v>2283</v>
      </c>
      <c r="CN27" s="11">
        <f t="shared" si="39"/>
        <v>80</v>
      </c>
      <c r="CO27" s="15">
        <f t="shared" si="40"/>
        <v>69</v>
      </c>
      <c r="CP27" s="15">
        <f t="shared" si="41"/>
        <v>298</v>
      </c>
      <c r="CQ27" s="37">
        <f>CP27/13</f>
        <v>22.923076923076923</v>
      </c>
      <c r="CR27" s="37">
        <f t="shared" si="43"/>
        <v>3.2747252747252746</v>
      </c>
      <c r="CS27" s="15"/>
      <c r="CT27" s="1"/>
      <c r="CW27" s="15">
        <v>80</v>
      </c>
      <c r="CX27" s="28" t="s">
        <v>32</v>
      </c>
      <c r="CY27" s="15">
        <v>45</v>
      </c>
      <c r="CZ27" s="28" t="s">
        <v>30</v>
      </c>
      <c r="DA27" s="15">
        <f t="shared" si="42"/>
        <v>69</v>
      </c>
    </row>
    <row r="28" spans="2:105" ht="13.5" customHeight="1" x14ac:dyDescent="0.2">
      <c r="B28" s="2">
        <v>36749</v>
      </c>
      <c r="F28" s="8">
        <v>760</v>
      </c>
      <c r="G28" s="8">
        <f t="shared" si="14"/>
        <v>23</v>
      </c>
      <c r="H28" s="8">
        <v>673</v>
      </c>
      <c r="I28" s="8">
        <f t="shared" si="15"/>
        <v>-4</v>
      </c>
      <c r="J28" s="8">
        <v>442</v>
      </c>
      <c r="K28" s="8">
        <f t="shared" si="16"/>
        <v>30</v>
      </c>
      <c r="L28" s="8">
        <v>526</v>
      </c>
      <c r="M28" s="8">
        <f t="shared" si="17"/>
        <v>11</v>
      </c>
      <c r="N28" s="8">
        <v>780</v>
      </c>
      <c r="O28" s="8">
        <f t="shared" si="18"/>
        <v>29</v>
      </c>
      <c r="P28" s="10">
        <v>725</v>
      </c>
      <c r="Q28" s="10">
        <v>1</v>
      </c>
      <c r="R28" s="10">
        <f>[37]STOR951!$D$13</f>
        <v>513</v>
      </c>
      <c r="S28" s="10">
        <f t="shared" si="50"/>
        <v>12</v>
      </c>
      <c r="T28" s="10">
        <v>656</v>
      </c>
      <c r="U28" s="10">
        <f t="shared" si="47"/>
        <v>0</v>
      </c>
      <c r="V28" s="8">
        <f t="shared" si="21"/>
        <v>12.75</v>
      </c>
      <c r="Z28" s="2">
        <v>36385</v>
      </c>
      <c r="AD28" s="6">
        <v>1403</v>
      </c>
      <c r="AE28" s="8">
        <f t="shared" si="22"/>
        <v>70</v>
      </c>
      <c r="AF28" s="6">
        <v>1302</v>
      </c>
      <c r="AG28" s="8">
        <f t="shared" si="23"/>
        <v>38</v>
      </c>
      <c r="AH28" s="6">
        <v>1197</v>
      </c>
      <c r="AI28" s="8">
        <f t="shared" si="24"/>
        <v>67</v>
      </c>
      <c r="AJ28" s="6">
        <v>1217</v>
      </c>
      <c r="AK28" s="8">
        <f t="shared" si="25"/>
        <v>52</v>
      </c>
      <c r="AL28" s="6">
        <v>1413</v>
      </c>
      <c r="AM28" s="8">
        <f t="shared" si="26"/>
        <v>40</v>
      </c>
      <c r="AN28" s="10">
        <v>1290</v>
      </c>
      <c r="AO28" s="10">
        <v>43</v>
      </c>
      <c r="AP28" s="10">
        <f>[37]STOR951!$D$17</f>
        <v>1157</v>
      </c>
      <c r="AQ28" s="10">
        <f t="shared" si="51"/>
        <v>40</v>
      </c>
      <c r="AR28" s="10">
        <v>1281</v>
      </c>
      <c r="AS28" s="10">
        <f t="shared" si="48"/>
        <v>35</v>
      </c>
      <c r="AT28" s="8">
        <f t="shared" si="29"/>
        <v>48.125</v>
      </c>
      <c r="AU28" s="7"/>
      <c r="AV28" s="7"/>
      <c r="AX28" s="2">
        <v>36385</v>
      </c>
      <c r="BB28" s="6">
        <v>376</v>
      </c>
      <c r="BC28" s="8">
        <f t="shared" si="30"/>
        <v>6</v>
      </c>
      <c r="BD28" s="6">
        <v>382</v>
      </c>
      <c r="BE28" s="8">
        <f t="shared" si="31"/>
        <v>3</v>
      </c>
      <c r="BF28" s="6">
        <v>316</v>
      </c>
      <c r="BG28" s="8">
        <f t="shared" si="32"/>
        <v>-4</v>
      </c>
      <c r="BH28" s="6">
        <v>320</v>
      </c>
      <c r="BI28" s="8">
        <f t="shared" si="33"/>
        <v>7</v>
      </c>
      <c r="BJ28" s="6">
        <v>351</v>
      </c>
      <c r="BK28" s="8">
        <f t="shared" si="34"/>
        <v>7</v>
      </c>
      <c r="BL28" s="10">
        <v>387</v>
      </c>
      <c r="BM28" s="8">
        <v>7</v>
      </c>
      <c r="BN28" s="10">
        <f>[37]STOR951!$D$21</f>
        <v>367</v>
      </c>
      <c r="BO28" s="8">
        <f t="shared" si="52"/>
        <v>0</v>
      </c>
      <c r="BP28" s="8">
        <v>396</v>
      </c>
      <c r="BQ28" s="10">
        <f t="shared" si="49"/>
        <v>15</v>
      </c>
      <c r="BR28" s="8">
        <f t="shared" si="37"/>
        <v>5.125</v>
      </c>
      <c r="BU28" s="2">
        <v>36385</v>
      </c>
      <c r="BY28" s="6">
        <f t="shared" si="0"/>
        <v>2539</v>
      </c>
      <c r="BZ28" s="6">
        <f t="shared" si="1"/>
        <v>99</v>
      </c>
      <c r="CA28" s="6">
        <f t="shared" si="2"/>
        <v>2357</v>
      </c>
      <c r="CB28" s="6">
        <f t="shared" si="3"/>
        <v>37</v>
      </c>
      <c r="CC28" s="6">
        <f t="shared" si="4"/>
        <v>1955</v>
      </c>
      <c r="CD28" s="6">
        <f t="shared" si="5"/>
        <v>93</v>
      </c>
      <c r="CE28" s="6">
        <f t="shared" si="6"/>
        <v>2063</v>
      </c>
      <c r="CF28" s="6">
        <f t="shared" si="7"/>
        <v>70</v>
      </c>
      <c r="CG28" s="6">
        <f t="shared" si="8"/>
        <v>2544</v>
      </c>
      <c r="CH28" s="6">
        <f t="shared" si="9"/>
        <v>76</v>
      </c>
      <c r="CI28" s="11">
        <f t="shared" si="10"/>
        <v>2402</v>
      </c>
      <c r="CJ28" s="11">
        <f t="shared" si="11"/>
        <v>51</v>
      </c>
      <c r="CK28" s="11">
        <f t="shared" si="12"/>
        <v>2037</v>
      </c>
      <c r="CL28" s="11">
        <f t="shared" si="13"/>
        <v>52</v>
      </c>
      <c r="CM28" s="11">
        <f t="shared" si="38"/>
        <v>2333</v>
      </c>
      <c r="CN28" s="11">
        <f t="shared" si="39"/>
        <v>50</v>
      </c>
      <c r="CO28" s="15">
        <f t="shared" si="40"/>
        <v>66</v>
      </c>
      <c r="CP28" s="15">
        <f t="shared" si="41"/>
        <v>296</v>
      </c>
      <c r="CQ28" s="37">
        <f>CP28/12</f>
        <v>24.666666666666668</v>
      </c>
      <c r="CR28" s="37">
        <f t="shared" si="43"/>
        <v>3.5238095238095242</v>
      </c>
      <c r="CS28" s="15"/>
      <c r="CT28" s="1"/>
      <c r="CW28" s="15">
        <v>99</v>
      </c>
      <c r="CX28" s="28" t="s">
        <v>22</v>
      </c>
      <c r="CY28" s="15">
        <v>37</v>
      </c>
      <c r="CZ28" s="28" t="s">
        <v>31</v>
      </c>
      <c r="DA28" s="15">
        <f t="shared" si="42"/>
        <v>66</v>
      </c>
    </row>
    <row r="29" spans="2:105" ht="13.5" customHeight="1" x14ac:dyDescent="0.2">
      <c r="B29" s="2">
        <v>36756</v>
      </c>
      <c r="F29" s="8">
        <v>782</v>
      </c>
      <c r="G29" s="8">
        <f t="shared" si="14"/>
        <v>22</v>
      </c>
      <c r="H29" s="8">
        <v>679</v>
      </c>
      <c r="I29" s="8">
        <f t="shared" si="15"/>
        <v>6</v>
      </c>
      <c r="J29" s="8">
        <v>461</v>
      </c>
      <c r="K29" s="8">
        <f t="shared" si="16"/>
        <v>19</v>
      </c>
      <c r="L29" s="8">
        <v>531</v>
      </c>
      <c r="M29" s="8">
        <f t="shared" si="17"/>
        <v>5</v>
      </c>
      <c r="N29" s="8">
        <v>794</v>
      </c>
      <c r="O29" s="8">
        <f t="shared" si="18"/>
        <v>14</v>
      </c>
      <c r="P29" s="10">
        <v>729</v>
      </c>
      <c r="Q29" s="10">
        <v>4</v>
      </c>
      <c r="R29" s="10">
        <f>[38]STOR951!$D$13</f>
        <v>517</v>
      </c>
      <c r="S29" s="10">
        <f t="shared" si="50"/>
        <v>4</v>
      </c>
      <c r="T29" s="10">
        <v>679</v>
      </c>
      <c r="U29" s="10">
        <f t="shared" si="47"/>
        <v>23</v>
      </c>
      <c r="V29" s="8">
        <f t="shared" si="21"/>
        <v>6.375</v>
      </c>
      <c r="X29" s="21"/>
      <c r="Z29" s="2">
        <v>36392</v>
      </c>
      <c r="AD29" s="6">
        <v>1458</v>
      </c>
      <c r="AE29" s="8">
        <f t="shared" si="22"/>
        <v>55</v>
      </c>
      <c r="AF29" s="6">
        <v>1351</v>
      </c>
      <c r="AG29" s="8">
        <f t="shared" si="23"/>
        <v>49</v>
      </c>
      <c r="AH29" s="6">
        <v>1250</v>
      </c>
      <c r="AI29" s="8">
        <f t="shared" si="24"/>
        <v>53</v>
      </c>
      <c r="AJ29" s="6">
        <v>1272</v>
      </c>
      <c r="AK29" s="8">
        <f t="shared" si="25"/>
        <v>55</v>
      </c>
      <c r="AL29" s="6">
        <v>1460</v>
      </c>
      <c r="AM29" s="8">
        <f t="shared" si="26"/>
        <v>47</v>
      </c>
      <c r="AN29" s="10">
        <v>1331</v>
      </c>
      <c r="AO29" s="10">
        <v>41</v>
      </c>
      <c r="AP29" s="10">
        <f>[38]STOR951!$D$17</f>
        <v>1209</v>
      </c>
      <c r="AQ29" s="10">
        <f t="shared" si="51"/>
        <v>52</v>
      </c>
      <c r="AR29" s="10">
        <v>1338</v>
      </c>
      <c r="AS29" s="10">
        <f t="shared" si="48"/>
        <v>57</v>
      </c>
      <c r="AT29" s="8">
        <f t="shared" si="29"/>
        <v>51.125</v>
      </c>
      <c r="AU29" s="7"/>
      <c r="AV29" s="22"/>
      <c r="AX29" s="2">
        <v>36392</v>
      </c>
      <c r="BB29" s="6">
        <v>384</v>
      </c>
      <c r="BC29" s="8">
        <f t="shared" si="30"/>
        <v>8</v>
      </c>
      <c r="BD29" s="6">
        <v>386</v>
      </c>
      <c r="BE29" s="8">
        <f t="shared" si="31"/>
        <v>4</v>
      </c>
      <c r="BF29" s="6">
        <v>315</v>
      </c>
      <c r="BG29" s="8">
        <f t="shared" si="32"/>
        <v>-1</v>
      </c>
      <c r="BH29" s="6">
        <v>325</v>
      </c>
      <c r="BI29" s="8">
        <f t="shared" si="33"/>
        <v>5</v>
      </c>
      <c r="BJ29" s="6">
        <v>361</v>
      </c>
      <c r="BK29" s="8">
        <f t="shared" si="34"/>
        <v>10</v>
      </c>
      <c r="BL29" s="10">
        <v>392</v>
      </c>
      <c r="BM29" s="8">
        <v>5</v>
      </c>
      <c r="BN29" s="10">
        <f>[38]STOR951!$D$21</f>
        <v>366</v>
      </c>
      <c r="BO29" s="8">
        <f t="shared" si="52"/>
        <v>-1</v>
      </c>
      <c r="BP29" s="8">
        <v>402</v>
      </c>
      <c r="BQ29" s="10">
        <f t="shared" si="49"/>
        <v>6</v>
      </c>
      <c r="BR29" s="8">
        <f t="shared" si="37"/>
        <v>4.5</v>
      </c>
      <c r="BU29" s="2">
        <v>36392</v>
      </c>
      <c r="BY29" s="6">
        <f t="shared" si="0"/>
        <v>2624</v>
      </c>
      <c r="BZ29" s="6">
        <f t="shared" si="1"/>
        <v>85</v>
      </c>
      <c r="CA29" s="6">
        <f t="shared" si="2"/>
        <v>2416</v>
      </c>
      <c r="CB29" s="6">
        <f t="shared" si="3"/>
        <v>59</v>
      </c>
      <c r="CC29" s="6">
        <f t="shared" si="4"/>
        <v>2026</v>
      </c>
      <c r="CD29" s="6">
        <f t="shared" si="5"/>
        <v>71</v>
      </c>
      <c r="CE29" s="6">
        <f t="shared" si="6"/>
        <v>2128</v>
      </c>
      <c r="CF29" s="6">
        <f t="shared" si="7"/>
        <v>65</v>
      </c>
      <c r="CG29" s="6">
        <f t="shared" si="8"/>
        <v>2615</v>
      </c>
      <c r="CH29" s="6">
        <f t="shared" si="9"/>
        <v>71</v>
      </c>
      <c r="CI29" s="11">
        <f t="shared" si="10"/>
        <v>2452</v>
      </c>
      <c r="CJ29" s="11">
        <f t="shared" si="11"/>
        <v>50</v>
      </c>
      <c r="CK29" s="11">
        <f t="shared" si="12"/>
        <v>2092</v>
      </c>
      <c r="CL29" s="11">
        <f t="shared" si="13"/>
        <v>55</v>
      </c>
      <c r="CM29" s="11">
        <f t="shared" si="38"/>
        <v>2419</v>
      </c>
      <c r="CN29" s="11">
        <f t="shared" si="39"/>
        <v>86</v>
      </c>
      <c r="CO29" s="15">
        <f t="shared" si="40"/>
        <v>67.75</v>
      </c>
      <c r="CP29" s="15">
        <f t="shared" si="41"/>
        <v>327</v>
      </c>
      <c r="CQ29" s="37">
        <f>CP29/11</f>
        <v>29.727272727272727</v>
      </c>
      <c r="CR29" s="37">
        <f t="shared" si="43"/>
        <v>4.2467532467532463</v>
      </c>
      <c r="CS29" s="15"/>
      <c r="CT29" s="1"/>
      <c r="CW29" s="15">
        <v>85</v>
      </c>
      <c r="CX29" s="28" t="s">
        <v>22</v>
      </c>
      <c r="CY29" s="15">
        <v>50</v>
      </c>
      <c r="CZ29" s="28" t="s">
        <v>30</v>
      </c>
      <c r="DA29" s="15">
        <f t="shared" si="42"/>
        <v>67.75</v>
      </c>
    </row>
    <row r="30" spans="2:105" ht="13.5" customHeight="1" x14ac:dyDescent="0.2">
      <c r="B30" s="2">
        <v>36763</v>
      </c>
      <c r="F30" s="8">
        <v>807</v>
      </c>
      <c r="G30" s="8">
        <f t="shared" si="14"/>
        <v>25</v>
      </c>
      <c r="H30" s="8">
        <v>680</v>
      </c>
      <c r="I30" s="8">
        <f t="shared" si="15"/>
        <v>1</v>
      </c>
      <c r="J30" s="8">
        <v>491</v>
      </c>
      <c r="K30" s="8">
        <f t="shared" si="16"/>
        <v>30</v>
      </c>
      <c r="L30" s="8">
        <v>554</v>
      </c>
      <c r="M30" s="8">
        <f t="shared" si="17"/>
        <v>23</v>
      </c>
      <c r="N30" s="8">
        <v>804</v>
      </c>
      <c r="O30" s="8">
        <f t="shared" si="18"/>
        <v>10</v>
      </c>
      <c r="P30" s="10">
        <v>749</v>
      </c>
      <c r="Q30" s="10">
        <v>20</v>
      </c>
      <c r="R30" s="10">
        <f>[39]STOR951!$D$13</f>
        <v>529</v>
      </c>
      <c r="S30" s="10">
        <f t="shared" ref="S30:S35" si="53">R30-R29</f>
        <v>12</v>
      </c>
      <c r="T30" s="10">
        <v>691</v>
      </c>
      <c r="U30" s="10">
        <f t="shared" si="47"/>
        <v>12</v>
      </c>
      <c r="V30" s="8">
        <f t="shared" si="21"/>
        <v>13.625</v>
      </c>
      <c r="Z30" s="2">
        <v>36399</v>
      </c>
      <c r="AD30" s="6">
        <v>1508</v>
      </c>
      <c r="AE30" s="8">
        <f t="shared" si="22"/>
        <v>50</v>
      </c>
      <c r="AF30" s="6">
        <v>1400</v>
      </c>
      <c r="AG30" s="8">
        <f t="shared" si="23"/>
        <v>49</v>
      </c>
      <c r="AH30" s="6">
        <v>1315</v>
      </c>
      <c r="AI30" s="8">
        <f t="shared" si="24"/>
        <v>65</v>
      </c>
      <c r="AJ30" s="6">
        <v>1327</v>
      </c>
      <c r="AK30" s="8">
        <f t="shared" si="25"/>
        <v>55</v>
      </c>
      <c r="AL30" s="6">
        <v>1500</v>
      </c>
      <c r="AM30" s="8">
        <f t="shared" si="26"/>
        <v>40</v>
      </c>
      <c r="AN30" s="10">
        <v>1382</v>
      </c>
      <c r="AO30" s="10">
        <v>51</v>
      </c>
      <c r="AP30" s="10">
        <f>[39]STOR951!$D$17</f>
        <v>1254</v>
      </c>
      <c r="AQ30" s="10">
        <f t="shared" ref="AQ30:AQ35" si="54">AP30-AP29</f>
        <v>45</v>
      </c>
      <c r="AR30" s="10">
        <v>1393</v>
      </c>
      <c r="AS30" s="10">
        <f t="shared" si="48"/>
        <v>55</v>
      </c>
      <c r="AT30" s="8">
        <f t="shared" si="29"/>
        <v>51.25</v>
      </c>
      <c r="AU30" s="7"/>
      <c r="AV30" s="7"/>
      <c r="AX30" s="2">
        <v>36399</v>
      </c>
      <c r="BB30" s="6">
        <v>392</v>
      </c>
      <c r="BC30" s="8">
        <f t="shared" si="30"/>
        <v>8</v>
      </c>
      <c r="BD30" s="6">
        <v>387</v>
      </c>
      <c r="BE30" s="8">
        <f t="shared" si="31"/>
        <v>1</v>
      </c>
      <c r="BF30" s="6">
        <v>314</v>
      </c>
      <c r="BG30" s="8">
        <f t="shared" si="32"/>
        <v>-1</v>
      </c>
      <c r="BH30" s="6">
        <v>331</v>
      </c>
      <c r="BI30" s="8">
        <f t="shared" si="33"/>
        <v>6</v>
      </c>
      <c r="BJ30" s="6">
        <v>368</v>
      </c>
      <c r="BK30" s="8">
        <f t="shared" si="34"/>
        <v>7</v>
      </c>
      <c r="BL30" s="10">
        <v>390</v>
      </c>
      <c r="BM30" s="8">
        <v>-2</v>
      </c>
      <c r="BN30" s="10">
        <f>[39]STOR951!$D$21</f>
        <v>361</v>
      </c>
      <c r="BO30" s="8">
        <f t="shared" ref="BO30:BO35" si="55">BN30-BN29</f>
        <v>-5</v>
      </c>
      <c r="BP30" s="8">
        <v>411</v>
      </c>
      <c r="BQ30" s="10">
        <f t="shared" si="49"/>
        <v>9</v>
      </c>
      <c r="BR30" s="8">
        <f t="shared" si="37"/>
        <v>2.875</v>
      </c>
      <c r="BU30" s="2">
        <v>36399</v>
      </c>
      <c r="BY30" s="6">
        <f t="shared" si="0"/>
        <v>2707</v>
      </c>
      <c r="BZ30" s="6">
        <f t="shared" si="1"/>
        <v>83</v>
      </c>
      <c r="CA30" s="6">
        <f t="shared" si="2"/>
        <v>2467</v>
      </c>
      <c r="CB30" s="6">
        <f t="shared" si="3"/>
        <v>51</v>
      </c>
      <c r="CC30" s="6">
        <f t="shared" si="4"/>
        <v>2120</v>
      </c>
      <c r="CD30" s="6">
        <f t="shared" si="5"/>
        <v>94</v>
      </c>
      <c r="CE30" s="6">
        <f t="shared" si="6"/>
        <v>2212</v>
      </c>
      <c r="CF30" s="6">
        <f t="shared" si="7"/>
        <v>84</v>
      </c>
      <c r="CG30" s="6">
        <f t="shared" si="8"/>
        <v>2672</v>
      </c>
      <c r="CH30" s="6">
        <f t="shared" si="9"/>
        <v>57</v>
      </c>
      <c r="CI30" s="11">
        <f t="shared" si="10"/>
        <v>2521</v>
      </c>
      <c r="CJ30" s="11">
        <f t="shared" si="11"/>
        <v>69</v>
      </c>
      <c r="CK30" s="11">
        <f t="shared" si="12"/>
        <v>2144</v>
      </c>
      <c r="CL30" s="11">
        <f t="shared" si="13"/>
        <v>52</v>
      </c>
      <c r="CM30" s="11">
        <f t="shared" si="38"/>
        <v>2495</v>
      </c>
      <c r="CN30" s="11">
        <f t="shared" si="39"/>
        <v>76</v>
      </c>
      <c r="CO30" s="15">
        <f t="shared" si="40"/>
        <v>70.75</v>
      </c>
      <c r="CP30" s="15">
        <f t="shared" si="41"/>
        <v>351</v>
      </c>
      <c r="CQ30" s="37">
        <f>CP30/10</f>
        <v>35.1</v>
      </c>
      <c r="CR30" s="37">
        <f t="shared" si="43"/>
        <v>5.0142857142857142</v>
      </c>
      <c r="CS30" s="15"/>
      <c r="CT30" s="1"/>
      <c r="CW30" s="15">
        <v>94</v>
      </c>
      <c r="CX30" s="28" t="s">
        <v>32</v>
      </c>
      <c r="CY30" s="15">
        <v>51</v>
      </c>
      <c r="CZ30" s="28" t="s">
        <v>31</v>
      </c>
      <c r="DA30" s="15">
        <f t="shared" si="42"/>
        <v>70.75</v>
      </c>
    </row>
    <row r="31" spans="2:105" ht="13.5" customHeight="1" x14ac:dyDescent="0.2">
      <c r="B31" s="2">
        <v>36770</v>
      </c>
      <c r="F31" s="8">
        <v>819</v>
      </c>
      <c r="G31" s="8">
        <f t="shared" si="14"/>
        <v>12</v>
      </c>
      <c r="H31" s="8">
        <v>700</v>
      </c>
      <c r="I31" s="8">
        <f t="shared" si="15"/>
        <v>20</v>
      </c>
      <c r="J31" s="8">
        <v>515</v>
      </c>
      <c r="K31" s="8">
        <f t="shared" si="16"/>
        <v>24</v>
      </c>
      <c r="L31" s="8">
        <v>585</v>
      </c>
      <c r="M31" s="8">
        <f t="shared" si="17"/>
        <v>31</v>
      </c>
      <c r="N31" s="8">
        <v>802</v>
      </c>
      <c r="O31" s="8">
        <f t="shared" si="18"/>
        <v>-2</v>
      </c>
      <c r="P31" s="10">
        <v>764</v>
      </c>
      <c r="Q31" s="10">
        <v>15</v>
      </c>
      <c r="R31" s="10">
        <f>[40]STOR951!$D$13</f>
        <v>532</v>
      </c>
      <c r="S31" s="10">
        <f t="shared" si="53"/>
        <v>3</v>
      </c>
      <c r="T31" s="10">
        <v>712</v>
      </c>
      <c r="U31" s="10">
        <f t="shared" si="47"/>
        <v>21</v>
      </c>
      <c r="V31" s="8">
        <f t="shared" si="21"/>
        <v>10.25</v>
      </c>
      <c r="Z31" s="2">
        <v>36406</v>
      </c>
      <c r="AD31" s="6">
        <v>1557</v>
      </c>
      <c r="AE31" s="8">
        <f t="shared" si="22"/>
        <v>49</v>
      </c>
      <c r="AF31" s="6">
        <v>1453</v>
      </c>
      <c r="AG31" s="8">
        <f t="shared" si="23"/>
        <v>53</v>
      </c>
      <c r="AH31" s="6">
        <v>1382</v>
      </c>
      <c r="AI31" s="8">
        <f t="shared" si="24"/>
        <v>67</v>
      </c>
      <c r="AJ31" s="6">
        <v>1386</v>
      </c>
      <c r="AK31" s="8">
        <f t="shared" si="25"/>
        <v>59</v>
      </c>
      <c r="AL31" s="6">
        <v>1536</v>
      </c>
      <c r="AM31" s="8">
        <f t="shared" si="26"/>
        <v>36</v>
      </c>
      <c r="AN31" s="10">
        <v>1427</v>
      </c>
      <c r="AO31" s="10">
        <v>45</v>
      </c>
      <c r="AP31" s="10">
        <f>[40]STOR951!$D$17</f>
        <v>1294</v>
      </c>
      <c r="AQ31" s="10">
        <f t="shared" si="54"/>
        <v>40</v>
      </c>
      <c r="AR31" s="10">
        <v>1442</v>
      </c>
      <c r="AS31" s="10">
        <f t="shared" si="48"/>
        <v>49</v>
      </c>
      <c r="AT31" s="8">
        <f t="shared" si="29"/>
        <v>49.75</v>
      </c>
      <c r="AU31" s="7"/>
      <c r="AV31" s="7"/>
      <c r="AX31" s="2">
        <v>36406</v>
      </c>
      <c r="BB31" s="6">
        <v>407</v>
      </c>
      <c r="BC31" s="8">
        <f t="shared" si="30"/>
        <v>15</v>
      </c>
      <c r="BD31" s="6">
        <v>390</v>
      </c>
      <c r="BE31" s="8">
        <f t="shared" si="31"/>
        <v>3</v>
      </c>
      <c r="BF31" s="6">
        <v>321</v>
      </c>
      <c r="BG31" s="8">
        <f t="shared" si="32"/>
        <v>7</v>
      </c>
      <c r="BH31" s="6">
        <v>337</v>
      </c>
      <c r="BI31" s="8">
        <f t="shared" si="33"/>
        <v>6</v>
      </c>
      <c r="BJ31" s="6">
        <v>369</v>
      </c>
      <c r="BK31" s="8">
        <f t="shared" si="34"/>
        <v>1</v>
      </c>
      <c r="BL31" s="10">
        <v>396</v>
      </c>
      <c r="BM31" s="8">
        <v>6</v>
      </c>
      <c r="BN31" s="10">
        <f>[40]STOR951!$D$21</f>
        <v>360</v>
      </c>
      <c r="BO31" s="8">
        <f t="shared" si="55"/>
        <v>-1</v>
      </c>
      <c r="BP31" s="8">
        <v>418</v>
      </c>
      <c r="BQ31" s="10">
        <f t="shared" si="49"/>
        <v>7</v>
      </c>
      <c r="BR31" s="8">
        <f t="shared" si="37"/>
        <v>5.5</v>
      </c>
      <c r="BU31" s="2">
        <v>36406</v>
      </c>
      <c r="BY31" s="6">
        <f t="shared" si="0"/>
        <v>2783</v>
      </c>
      <c r="BZ31" s="6">
        <f t="shared" si="1"/>
        <v>76</v>
      </c>
      <c r="CA31" s="6">
        <f t="shared" si="2"/>
        <v>2543</v>
      </c>
      <c r="CB31" s="6">
        <f t="shared" si="3"/>
        <v>76</v>
      </c>
      <c r="CC31" s="6">
        <f t="shared" si="4"/>
        <v>2218</v>
      </c>
      <c r="CD31" s="6">
        <f t="shared" si="5"/>
        <v>98</v>
      </c>
      <c r="CE31" s="6">
        <f t="shared" si="6"/>
        <v>2308</v>
      </c>
      <c r="CF31" s="6">
        <f t="shared" si="7"/>
        <v>96</v>
      </c>
      <c r="CG31" s="6">
        <f t="shared" si="8"/>
        <v>2707</v>
      </c>
      <c r="CH31" s="6">
        <f t="shared" si="9"/>
        <v>35</v>
      </c>
      <c r="CI31" s="11">
        <f t="shared" si="10"/>
        <v>2587</v>
      </c>
      <c r="CJ31" s="11">
        <f t="shared" si="11"/>
        <v>66</v>
      </c>
      <c r="CK31" s="11">
        <f t="shared" si="12"/>
        <v>2186</v>
      </c>
      <c r="CL31" s="11">
        <f t="shared" si="13"/>
        <v>42</v>
      </c>
      <c r="CM31" s="11">
        <f t="shared" si="38"/>
        <v>2572</v>
      </c>
      <c r="CN31" s="11">
        <f t="shared" si="39"/>
        <v>77</v>
      </c>
      <c r="CO31" s="15">
        <f t="shared" si="40"/>
        <v>70.75</v>
      </c>
      <c r="CP31" s="15">
        <f t="shared" si="41"/>
        <v>386</v>
      </c>
      <c r="CQ31" s="37">
        <f>CP31/9</f>
        <v>42.888888888888886</v>
      </c>
      <c r="CR31" s="37">
        <f t="shared" si="43"/>
        <v>6.1269841269841265</v>
      </c>
      <c r="CS31" s="15"/>
      <c r="CT31" s="1"/>
      <c r="CW31" s="15">
        <v>98</v>
      </c>
      <c r="CX31" s="28" t="s">
        <v>32</v>
      </c>
      <c r="CY31" s="15">
        <v>35</v>
      </c>
      <c r="CZ31" s="28" t="s">
        <v>33</v>
      </c>
      <c r="DA31" s="15">
        <f t="shared" si="42"/>
        <v>70.75</v>
      </c>
    </row>
    <row r="32" spans="2:105" ht="13.5" customHeight="1" x14ac:dyDescent="0.2">
      <c r="B32" s="2">
        <v>36777</v>
      </c>
      <c r="F32" s="8">
        <v>834</v>
      </c>
      <c r="G32" s="8">
        <f t="shared" si="14"/>
        <v>15</v>
      </c>
      <c r="H32" s="8">
        <v>718</v>
      </c>
      <c r="I32" s="8">
        <f t="shared" si="15"/>
        <v>18</v>
      </c>
      <c r="J32" s="8">
        <v>544</v>
      </c>
      <c r="K32" s="8">
        <f t="shared" si="16"/>
        <v>29</v>
      </c>
      <c r="L32" s="8">
        <v>614</v>
      </c>
      <c r="M32" s="8">
        <f t="shared" si="17"/>
        <v>29</v>
      </c>
      <c r="N32" s="8">
        <v>820</v>
      </c>
      <c r="O32" s="8">
        <f t="shared" si="18"/>
        <v>18</v>
      </c>
      <c r="P32" s="10">
        <v>782</v>
      </c>
      <c r="Q32" s="10">
        <v>18</v>
      </c>
      <c r="R32" s="10">
        <f>[41]STOR951!$D$13</f>
        <v>549</v>
      </c>
      <c r="S32" s="10">
        <f t="shared" si="53"/>
        <v>17</v>
      </c>
      <c r="T32" s="10">
        <v>737</v>
      </c>
      <c r="U32" s="10">
        <f t="shared" si="47"/>
        <v>25</v>
      </c>
      <c r="V32" s="8">
        <f t="shared" si="21"/>
        <v>14.875</v>
      </c>
      <c r="Z32" s="2">
        <v>36413</v>
      </c>
      <c r="AD32" s="6">
        <v>1598</v>
      </c>
      <c r="AE32" s="8">
        <f t="shared" si="22"/>
        <v>41</v>
      </c>
      <c r="AF32" s="6">
        <v>1499</v>
      </c>
      <c r="AG32" s="8">
        <f t="shared" si="23"/>
        <v>46</v>
      </c>
      <c r="AH32" s="6">
        <v>1434</v>
      </c>
      <c r="AI32" s="8">
        <f t="shared" si="24"/>
        <v>52</v>
      </c>
      <c r="AJ32" s="6">
        <v>1443</v>
      </c>
      <c r="AK32" s="8">
        <f t="shared" si="25"/>
        <v>57</v>
      </c>
      <c r="AL32" s="6">
        <v>1578</v>
      </c>
      <c r="AM32" s="8">
        <f t="shared" si="26"/>
        <v>42</v>
      </c>
      <c r="AN32" s="10">
        <v>1482</v>
      </c>
      <c r="AO32" s="10">
        <v>55</v>
      </c>
      <c r="AP32" s="10">
        <f>[41]STOR951!$D$17</f>
        <v>1344</v>
      </c>
      <c r="AQ32" s="10">
        <f t="shared" si="54"/>
        <v>50</v>
      </c>
      <c r="AR32" s="10">
        <v>1502</v>
      </c>
      <c r="AS32" s="10">
        <f t="shared" si="48"/>
        <v>60</v>
      </c>
      <c r="AT32" s="8">
        <f t="shared" si="29"/>
        <v>50.375</v>
      </c>
      <c r="AU32" s="7"/>
      <c r="AV32" s="7"/>
      <c r="AX32" s="2">
        <v>36413</v>
      </c>
      <c r="BB32" s="6">
        <v>418</v>
      </c>
      <c r="BC32" s="8">
        <f t="shared" si="30"/>
        <v>11</v>
      </c>
      <c r="BD32" s="6">
        <v>397</v>
      </c>
      <c r="BE32" s="8">
        <f t="shared" si="31"/>
        <v>7</v>
      </c>
      <c r="BF32" s="6">
        <v>324</v>
      </c>
      <c r="BG32" s="8">
        <f t="shared" si="32"/>
        <v>3</v>
      </c>
      <c r="BH32" s="6">
        <v>339</v>
      </c>
      <c r="BI32" s="8">
        <f t="shared" si="33"/>
        <v>2</v>
      </c>
      <c r="BJ32" s="6">
        <v>379</v>
      </c>
      <c r="BK32" s="8">
        <f t="shared" si="34"/>
        <v>10</v>
      </c>
      <c r="BL32" s="10">
        <v>404</v>
      </c>
      <c r="BM32" s="8">
        <v>8</v>
      </c>
      <c r="BN32" s="10">
        <f>[41]STOR951!$D$21</f>
        <v>365</v>
      </c>
      <c r="BO32" s="8">
        <f t="shared" si="55"/>
        <v>5</v>
      </c>
      <c r="BP32" s="8">
        <v>428</v>
      </c>
      <c r="BQ32" s="10">
        <f t="shared" si="49"/>
        <v>10</v>
      </c>
      <c r="BR32" s="8">
        <f t="shared" si="37"/>
        <v>7</v>
      </c>
      <c r="BU32" s="2">
        <v>36413</v>
      </c>
      <c r="BY32" s="6">
        <f t="shared" si="0"/>
        <v>2850</v>
      </c>
      <c r="BZ32" s="6">
        <f t="shared" si="1"/>
        <v>67</v>
      </c>
      <c r="CA32" s="6">
        <f t="shared" si="2"/>
        <v>2614</v>
      </c>
      <c r="CB32" s="6">
        <f t="shared" si="3"/>
        <v>71</v>
      </c>
      <c r="CC32" s="6">
        <f t="shared" si="4"/>
        <v>2302</v>
      </c>
      <c r="CD32" s="6">
        <f t="shared" si="5"/>
        <v>84</v>
      </c>
      <c r="CE32" s="6">
        <f t="shared" si="6"/>
        <v>2396</v>
      </c>
      <c r="CF32" s="6">
        <f t="shared" si="7"/>
        <v>88</v>
      </c>
      <c r="CG32" s="6">
        <f t="shared" si="8"/>
        <v>2777</v>
      </c>
      <c r="CH32" s="6">
        <f t="shared" si="9"/>
        <v>70</v>
      </c>
      <c r="CI32" s="11">
        <f t="shared" si="10"/>
        <v>2668</v>
      </c>
      <c r="CJ32" s="11">
        <f t="shared" si="11"/>
        <v>81</v>
      </c>
      <c r="CK32" s="11">
        <f t="shared" si="12"/>
        <v>2258</v>
      </c>
      <c r="CL32" s="11">
        <f t="shared" si="13"/>
        <v>72</v>
      </c>
      <c r="CM32" s="11">
        <f t="shared" si="38"/>
        <v>2667</v>
      </c>
      <c r="CN32" s="11">
        <f t="shared" si="39"/>
        <v>95</v>
      </c>
      <c r="CO32" s="15">
        <f t="shared" si="40"/>
        <v>78.5</v>
      </c>
      <c r="CP32" s="15">
        <f t="shared" si="41"/>
        <v>409</v>
      </c>
      <c r="CQ32" s="37">
        <f>CP32/8</f>
        <v>51.125</v>
      </c>
      <c r="CR32" s="37">
        <f t="shared" si="43"/>
        <v>7.3035714285714288</v>
      </c>
      <c r="CS32" s="15"/>
      <c r="CT32" s="1"/>
      <c r="CW32" s="15">
        <v>88</v>
      </c>
      <c r="CX32" s="28" t="s">
        <v>29</v>
      </c>
      <c r="CY32" s="15">
        <v>67</v>
      </c>
      <c r="CZ32" s="28" t="s">
        <v>22</v>
      </c>
      <c r="DA32" s="15">
        <f t="shared" si="42"/>
        <v>78.5</v>
      </c>
    </row>
    <row r="33" spans="2:105" ht="13.5" customHeight="1" x14ac:dyDescent="0.2">
      <c r="B33" s="2">
        <v>36784</v>
      </c>
      <c r="F33" s="8">
        <v>847</v>
      </c>
      <c r="G33" s="8">
        <f t="shared" si="14"/>
        <v>13</v>
      </c>
      <c r="H33" s="8">
        <v>737</v>
      </c>
      <c r="I33" s="8">
        <f t="shared" si="15"/>
        <v>19</v>
      </c>
      <c r="J33" s="8">
        <v>570</v>
      </c>
      <c r="K33" s="8">
        <f t="shared" si="16"/>
        <v>26</v>
      </c>
      <c r="L33" s="8">
        <v>629</v>
      </c>
      <c r="M33" s="8">
        <f t="shared" si="17"/>
        <v>15</v>
      </c>
      <c r="N33" s="8">
        <v>830</v>
      </c>
      <c r="O33" s="8">
        <f t="shared" si="18"/>
        <v>10</v>
      </c>
      <c r="P33" s="10">
        <v>806</v>
      </c>
      <c r="Q33" s="10">
        <v>24</v>
      </c>
      <c r="R33" s="10">
        <f>[42]STOR951!$D$13</f>
        <v>566</v>
      </c>
      <c r="S33" s="10">
        <f t="shared" si="53"/>
        <v>17</v>
      </c>
      <c r="T33" s="10">
        <v>765</v>
      </c>
      <c r="U33" s="10">
        <f t="shared" si="47"/>
        <v>28</v>
      </c>
      <c r="V33" s="8">
        <f t="shared" si="21"/>
        <v>12</v>
      </c>
      <c r="Z33" s="2">
        <v>36420</v>
      </c>
      <c r="AD33" s="6">
        <v>1641</v>
      </c>
      <c r="AE33" s="8">
        <f t="shared" si="22"/>
        <v>43</v>
      </c>
      <c r="AF33" s="6">
        <v>1545</v>
      </c>
      <c r="AG33" s="8">
        <f t="shared" si="23"/>
        <v>46</v>
      </c>
      <c r="AH33" s="6">
        <v>1491</v>
      </c>
      <c r="AI33" s="8">
        <f t="shared" si="24"/>
        <v>57</v>
      </c>
      <c r="AJ33" s="6">
        <v>1494</v>
      </c>
      <c r="AK33" s="8">
        <f t="shared" si="25"/>
        <v>51</v>
      </c>
      <c r="AL33" s="6">
        <v>1609</v>
      </c>
      <c r="AM33" s="8">
        <f t="shared" si="26"/>
        <v>31</v>
      </c>
      <c r="AN33" s="10">
        <v>1528</v>
      </c>
      <c r="AO33" s="10">
        <v>46</v>
      </c>
      <c r="AP33" s="10">
        <f>[42]STOR951!$D$17</f>
        <v>1392</v>
      </c>
      <c r="AQ33" s="10">
        <f t="shared" si="54"/>
        <v>48</v>
      </c>
      <c r="AR33" s="10">
        <v>1554</v>
      </c>
      <c r="AS33" s="10">
        <f t="shared" si="48"/>
        <v>52</v>
      </c>
      <c r="AT33" s="8">
        <f t="shared" si="29"/>
        <v>46.75</v>
      </c>
      <c r="AU33" s="7"/>
      <c r="AV33" s="7"/>
      <c r="AX33" s="2">
        <v>36420</v>
      </c>
      <c r="BB33" s="6">
        <v>416</v>
      </c>
      <c r="BC33" s="8">
        <f t="shared" si="30"/>
        <v>-2</v>
      </c>
      <c r="BD33" s="6">
        <v>401</v>
      </c>
      <c r="BE33" s="8">
        <f t="shared" si="31"/>
        <v>4</v>
      </c>
      <c r="BF33" s="6">
        <v>330</v>
      </c>
      <c r="BG33" s="8">
        <f t="shared" si="32"/>
        <v>6</v>
      </c>
      <c r="BH33" s="6">
        <v>346</v>
      </c>
      <c r="BI33" s="8">
        <f t="shared" si="33"/>
        <v>7</v>
      </c>
      <c r="BJ33" s="6">
        <v>390</v>
      </c>
      <c r="BK33" s="8">
        <f t="shared" si="34"/>
        <v>11</v>
      </c>
      <c r="BL33" s="10">
        <v>412</v>
      </c>
      <c r="BM33" s="8">
        <v>8</v>
      </c>
      <c r="BN33" s="10">
        <f>[42]STOR951!$D$21</f>
        <v>367</v>
      </c>
      <c r="BO33" s="8">
        <f t="shared" si="55"/>
        <v>2</v>
      </c>
      <c r="BP33" s="8">
        <v>438</v>
      </c>
      <c r="BQ33" s="10">
        <f t="shared" si="49"/>
        <v>10</v>
      </c>
      <c r="BR33" s="8">
        <f t="shared" si="37"/>
        <v>5.75</v>
      </c>
      <c r="BU33" s="2">
        <v>36420</v>
      </c>
      <c r="BY33" s="6">
        <f t="shared" si="0"/>
        <v>2904</v>
      </c>
      <c r="BZ33" s="6">
        <f t="shared" si="1"/>
        <v>54</v>
      </c>
      <c r="CA33" s="6">
        <f t="shared" si="2"/>
        <v>2683</v>
      </c>
      <c r="CB33" s="6">
        <f t="shared" si="3"/>
        <v>69</v>
      </c>
      <c r="CC33" s="6">
        <f t="shared" si="4"/>
        <v>2391</v>
      </c>
      <c r="CD33" s="6">
        <f t="shared" si="5"/>
        <v>89</v>
      </c>
      <c r="CE33" s="6">
        <f t="shared" si="6"/>
        <v>2469</v>
      </c>
      <c r="CF33" s="6">
        <f t="shared" si="7"/>
        <v>73</v>
      </c>
      <c r="CG33" s="6">
        <f t="shared" si="8"/>
        <v>2829</v>
      </c>
      <c r="CH33" s="6">
        <f t="shared" si="9"/>
        <v>52</v>
      </c>
      <c r="CI33" s="11">
        <f t="shared" si="10"/>
        <v>2746</v>
      </c>
      <c r="CJ33" s="11">
        <f t="shared" si="11"/>
        <v>78</v>
      </c>
      <c r="CK33" s="11">
        <f t="shared" si="12"/>
        <v>2325</v>
      </c>
      <c r="CL33" s="11">
        <f t="shared" si="13"/>
        <v>67</v>
      </c>
      <c r="CM33" s="11">
        <f t="shared" si="38"/>
        <v>2757</v>
      </c>
      <c r="CN33" s="11">
        <f t="shared" si="39"/>
        <v>90</v>
      </c>
      <c r="CO33" s="15">
        <f t="shared" si="40"/>
        <v>71.5</v>
      </c>
      <c r="CP33" s="15">
        <f t="shared" si="41"/>
        <v>432</v>
      </c>
      <c r="CQ33" s="37">
        <f>CP33/7</f>
        <v>61.714285714285715</v>
      </c>
      <c r="CR33" s="37">
        <f t="shared" si="43"/>
        <v>8.8163265306122458</v>
      </c>
      <c r="CS33" s="15"/>
      <c r="CT33" s="1"/>
      <c r="CW33" s="15">
        <v>89</v>
      </c>
      <c r="CX33" s="28" t="s">
        <v>32</v>
      </c>
      <c r="CY33" s="15">
        <v>52</v>
      </c>
      <c r="CZ33" s="28" t="s">
        <v>33</v>
      </c>
      <c r="DA33" s="15">
        <f t="shared" si="42"/>
        <v>71.5</v>
      </c>
    </row>
    <row r="34" spans="2:105" ht="13.5" customHeight="1" x14ac:dyDescent="0.2">
      <c r="B34" s="2">
        <v>36791</v>
      </c>
      <c r="F34" s="8">
        <v>856</v>
      </c>
      <c r="G34" s="8">
        <f t="shared" si="14"/>
        <v>9</v>
      </c>
      <c r="H34" s="8">
        <v>763</v>
      </c>
      <c r="I34" s="8">
        <f t="shared" si="15"/>
        <v>26</v>
      </c>
      <c r="J34" s="8">
        <v>600</v>
      </c>
      <c r="K34" s="8">
        <f t="shared" si="16"/>
        <v>30</v>
      </c>
      <c r="L34" s="8">
        <v>658</v>
      </c>
      <c r="M34" s="8">
        <f t="shared" si="17"/>
        <v>29</v>
      </c>
      <c r="N34" s="8">
        <v>837</v>
      </c>
      <c r="O34" s="8">
        <f t="shared" si="18"/>
        <v>7</v>
      </c>
      <c r="P34" s="10">
        <v>825</v>
      </c>
      <c r="Q34" s="10">
        <v>19</v>
      </c>
      <c r="R34" s="10">
        <f>[43]STOR951!$D$13</f>
        <v>584</v>
      </c>
      <c r="S34" s="10">
        <f t="shared" si="53"/>
        <v>18</v>
      </c>
      <c r="T34" s="10">
        <v>790</v>
      </c>
      <c r="U34" s="10">
        <f t="shared" si="47"/>
        <v>25</v>
      </c>
      <c r="V34" s="8">
        <f t="shared" si="21"/>
        <v>14.125</v>
      </c>
      <c r="Z34" s="2">
        <v>36427</v>
      </c>
      <c r="AD34" s="6">
        <v>1683</v>
      </c>
      <c r="AE34" s="8">
        <f t="shared" si="22"/>
        <v>42</v>
      </c>
      <c r="AF34" s="6">
        <v>1581</v>
      </c>
      <c r="AG34" s="8">
        <f t="shared" si="23"/>
        <v>36</v>
      </c>
      <c r="AH34" s="6">
        <v>1545</v>
      </c>
      <c r="AI34" s="8">
        <f t="shared" si="24"/>
        <v>54</v>
      </c>
      <c r="AJ34" s="6">
        <v>1546</v>
      </c>
      <c r="AK34" s="8">
        <f t="shared" si="25"/>
        <v>52</v>
      </c>
      <c r="AL34" s="6">
        <v>1639</v>
      </c>
      <c r="AM34" s="8">
        <f t="shared" si="26"/>
        <v>30</v>
      </c>
      <c r="AN34" s="10">
        <v>1581</v>
      </c>
      <c r="AO34" s="10">
        <v>53</v>
      </c>
      <c r="AP34" s="10">
        <f>[43]STOR951!$D$17</f>
        <v>1449</v>
      </c>
      <c r="AQ34" s="10">
        <f t="shared" si="54"/>
        <v>57</v>
      </c>
      <c r="AR34" s="10">
        <v>1612</v>
      </c>
      <c r="AS34" s="10">
        <f t="shared" si="48"/>
        <v>58</v>
      </c>
      <c r="AT34" s="8">
        <f t="shared" si="29"/>
        <v>47.75</v>
      </c>
      <c r="AU34" s="7"/>
      <c r="AV34" s="7"/>
      <c r="AX34" s="2">
        <v>36427</v>
      </c>
      <c r="BB34" s="6">
        <v>413</v>
      </c>
      <c r="BC34" s="8">
        <f t="shared" si="30"/>
        <v>-3</v>
      </c>
      <c r="BD34" s="6">
        <v>406</v>
      </c>
      <c r="BE34" s="8">
        <f t="shared" si="31"/>
        <v>5</v>
      </c>
      <c r="BF34" s="6">
        <v>330</v>
      </c>
      <c r="BG34" s="8">
        <f t="shared" si="32"/>
        <v>0</v>
      </c>
      <c r="BH34" s="6">
        <v>352</v>
      </c>
      <c r="BI34" s="8">
        <f t="shared" si="33"/>
        <v>6</v>
      </c>
      <c r="BJ34" s="6">
        <v>394</v>
      </c>
      <c r="BK34" s="8">
        <f t="shared" si="34"/>
        <v>4</v>
      </c>
      <c r="BL34" s="10">
        <v>419</v>
      </c>
      <c r="BM34" s="8">
        <v>7</v>
      </c>
      <c r="BN34" s="10">
        <f>[43]STOR951!$D$21</f>
        <v>369</v>
      </c>
      <c r="BO34" s="8">
        <f t="shared" si="55"/>
        <v>2</v>
      </c>
      <c r="BP34" s="8">
        <v>446</v>
      </c>
      <c r="BQ34" s="10">
        <f t="shared" si="49"/>
        <v>8</v>
      </c>
      <c r="BR34" s="8">
        <f t="shared" si="37"/>
        <v>3.625</v>
      </c>
      <c r="BU34" s="2">
        <v>36427</v>
      </c>
      <c r="BY34" s="6">
        <f t="shared" si="0"/>
        <v>2952</v>
      </c>
      <c r="BZ34" s="6">
        <f t="shared" si="1"/>
        <v>48</v>
      </c>
      <c r="CA34" s="6">
        <f t="shared" si="2"/>
        <v>2750</v>
      </c>
      <c r="CB34" s="6">
        <f t="shared" si="3"/>
        <v>67</v>
      </c>
      <c r="CC34" s="6">
        <f t="shared" si="4"/>
        <v>2475</v>
      </c>
      <c r="CD34" s="6">
        <f t="shared" si="5"/>
        <v>84</v>
      </c>
      <c r="CE34" s="6">
        <f t="shared" si="6"/>
        <v>2556</v>
      </c>
      <c r="CF34" s="6">
        <f t="shared" si="7"/>
        <v>87</v>
      </c>
      <c r="CG34" s="6">
        <f t="shared" si="8"/>
        <v>2870</v>
      </c>
      <c r="CH34" s="6">
        <f t="shared" si="9"/>
        <v>41</v>
      </c>
      <c r="CI34" s="11">
        <f t="shared" si="10"/>
        <v>2825</v>
      </c>
      <c r="CJ34" s="11">
        <f t="shared" si="11"/>
        <v>79</v>
      </c>
      <c r="CK34" s="11">
        <f t="shared" si="12"/>
        <v>2402</v>
      </c>
      <c r="CL34" s="11">
        <f t="shared" si="13"/>
        <v>77</v>
      </c>
      <c r="CM34" s="11">
        <f t="shared" si="38"/>
        <v>2848</v>
      </c>
      <c r="CN34" s="11">
        <f t="shared" si="39"/>
        <v>91</v>
      </c>
      <c r="CO34" s="15">
        <f t="shared" si="40"/>
        <v>71.75</v>
      </c>
      <c r="CP34" s="15">
        <f t="shared" si="41"/>
        <v>446</v>
      </c>
      <c r="CQ34" s="37">
        <f>CP34/6</f>
        <v>74.333333333333329</v>
      </c>
      <c r="CR34" s="37">
        <f t="shared" si="43"/>
        <v>10.619047619047619</v>
      </c>
      <c r="CS34" s="15"/>
      <c r="CT34" s="1"/>
      <c r="CW34" s="15">
        <v>87</v>
      </c>
      <c r="CX34" s="28" t="s">
        <v>29</v>
      </c>
      <c r="CY34" s="15">
        <v>41</v>
      </c>
      <c r="CZ34" s="28" t="s">
        <v>33</v>
      </c>
      <c r="DA34" s="15">
        <f t="shared" si="42"/>
        <v>71.75</v>
      </c>
    </row>
    <row r="35" spans="2:105" ht="13.5" customHeight="1" x14ac:dyDescent="0.2">
      <c r="B35" s="2">
        <v>36798</v>
      </c>
      <c r="F35" s="17">
        <v>870</v>
      </c>
      <c r="G35" s="8">
        <f t="shared" si="14"/>
        <v>14</v>
      </c>
      <c r="H35" s="8">
        <v>765</v>
      </c>
      <c r="I35" s="8">
        <f t="shared" si="15"/>
        <v>2</v>
      </c>
      <c r="J35" s="8">
        <v>635</v>
      </c>
      <c r="K35" s="8">
        <f t="shared" si="16"/>
        <v>35</v>
      </c>
      <c r="L35" s="8">
        <v>685</v>
      </c>
      <c r="M35" s="8">
        <f t="shared" si="17"/>
        <v>27</v>
      </c>
      <c r="N35" s="8">
        <v>839</v>
      </c>
      <c r="O35" s="8">
        <f t="shared" si="18"/>
        <v>2</v>
      </c>
      <c r="P35" s="10">
        <v>841</v>
      </c>
      <c r="Q35" s="10">
        <v>16</v>
      </c>
      <c r="R35" s="10">
        <f>[44]STOR951!$D$13</f>
        <v>609</v>
      </c>
      <c r="S35" s="10">
        <f t="shared" si="53"/>
        <v>25</v>
      </c>
      <c r="T35" s="10">
        <v>803</v>
      </c>
      <c r="U35" s="10">
        <f t="shared" si="47"/>
        <v>13</v>
      </c>
      <c r="V35" s="8">
        <f t="shared" si="21"/>
        <v>13.5</v>
      </c>
      <c r="Z35" s="2">
        <v>36434</v>
      </c>
      <c r="AD35" s="6">
        <v>1707</v>
      </c>
      <c r="AE35" s="8">
        <f t="shared" si="22"/>
        <v>24</v>
      </c>
      <c r="AF35" s="6">
        <v>1622</v>
      </c>
      <c r="AG35" s="8">
        <f t="shared" si="23"/>
        <v>41</v>
      </c>
      <c r="AH35" s="6">
        <v>1601</v>
      </c>
      <c r="AI35" s="8">
        <f t="shared" si="24"/>
        <v>56</v>
      </c>
      <c r="AJ35" s="6">
        <v>1601</v>
      </c>
      <c r="AK35" s="8">
        <f t="shared" si="25"/>
        <v>55</v>
      </c>
      <c r="AL35" s="6">
        <v>1666</v>
      </c>
      <c r="AM35" s="8">
        <f t="shared" si="26"/>
        <v>27</v>
      </c>
      <c r="AN35" s="10">
        <v>1625</v>
      </c>
      <c r="AO35" s="10">
        <v>44</v>
      </c>
      <c r="AP35" s="10">
        <f>[44]STOR951!$D$17</f>
        <v>1499</v>
      </c>
      <c r="AQ35" s="10">
        <f t="shared" si="54"/>
        <v>50</v>
      </c>
      <c r="AR35" s="10">
        <v>1659</v>
      </c>
      <c r="AS35" s="10">
        <f t="shared" si="48"/>
        <v>47</v>
      </c>
      <c r="AT35" s="8">
        <f t="shared" si="29"/>
        <v>43</v>
      </c>
      <c r="AU35" s="7"/>
      <c r="AV35" s="7"/>
      <c r="AX35" s="2">
        <v>36434</v>
      </c>
      <c r="BB35" s="6">
        <v>420</v>
      </c>
      <c r="BC35" s="8">
        <f t="shared" si="30"/>
        <v>7</v>
      </c>
      <c r="BD35" s="6">
        <v>411</v>
      </c>
      <c r="BE35" s="8">
        <f t="shared" si="31"/>
        <v>5</v>
      </c>
      <c r="BF35" s="6">
        <v>338</v>
      </c>
      <c r="BG35" s="8">
        <f t="shared" si="32"/>
        <v>8</v>
      </c>
      <c r="BH35" s="6">
        <v>357</v>
      </c>
      <c r="BI35" s="8">
        <f t="shared" si="33"/>
        <v>5</v>
      </c>
      <c r="BJ35" s="6">
        <v>406</v>
      </c>
      <c r="BK35" s="8">
        <f t="shared" si="34"/>
        <v>12</v>
      </c>
      <c r="BL35" s="10">
        <v>421</v>
      </c>
      <c r="BM35" s="8">
        <v>2</v>
      </c>
      <c r="BN35" s="10">
        <f>[44]STOR951!$D$21</f>
        <v>372</v>
      </c>
      <c r="BO35" s="8">
        <f t="shared" si="55"/>
        <v>3</v>
      </c>
      <c r="BP35" s="8">
        <v>452</v>
      </c>
      <c r="BQ35" s="10">
        <f t="shared" si="49"/>
        <v>6</v>
      </c>
      <c r="BR35" s="8">
        <f t="shared" si="37"/>
        <v>6</v>
      </c>
      <c r="BU35" s="2">
        <v>36434</v>
      </c>
      <c r="BY35" s="6">
        <f t="shared" si="0"/>
        <v>2997</v>
      </c>
      <c r="BZ35" s="6">
        <f t="shared" si="1"/>
        <v>45</v>
      </c>
      <c r="CA35" s="6">
        <f t="shared" si="2"/>
        <v>2798</v>
      </c>
      <c r="CB35" s="6">
        <f t="shared" si="3"/>
        <v>48</v>
      </c>
      <c r="CC35" s="6">
        <f t="shared" si="4"/>
        <v>2574</v>
      </c>
      <c r="CD35" s="6">
        <f t="shared" si="5"/>
        <v>99</v>
      </c>
      <c r="CE35" s="6">
        <f t="shared" si="6"/>
        <v>2643</v>
      </c>
      <c r="CF35" s="6">
        <f t="shared" si="7"/>
        <v>87</v>
      </c>
      <c r="CG35" s="6">
        <f t="shared" si="8"/>
        <v>2911</v>
      </c>
      <c r="CH35" s="6">
        <f t="shared" si="9"/>
        <v>41</v>
      </c>
      <c r="CI35" s="11">
        <f t="shared" si="10"/>
        <v>2887</v>
      </c>
      <c r="CJ35" s="11">
        <f t="shared" si="11"/>
        <v>62</v>
      </c>
      <c r="CK35" s="11">
        <f t="shared" si="12"/>
        <v>2480</v>
      </c>
      <c r="CL35" s="11">
        <f t="shared" si="13"/>
        <v>78</v>
      </c>
      <c r="CM35" s="11">
        <f t="shared" si="38"/>
        <v>2914</v>
      </c>
      <c r="CN35" s="11">
        <f t="shared" si="39"/>
        <v>66</v>
      </c>
      <c r="CO35" s="15">
        <f t="shared" si="40"/>
        <v>65.75</v>
      </c>
      <c r="CP35" s="15">
        <f t="shared" si="41"/>
        <v>434</v>
      </c>
      <c r="CQ35" s="37">
        <f>CP35/5</f>
        <v>86.8</v>
      </c>
      <c r="CR35" s="37">
        <f t="shared" si="43"/>
        <v>12.4</v>
      </c>
      <c r="CS35" s="15"/>
      <c r="CT35" s="1"/>
      <c r="CW35" s="15">
        <v>99</v>
      </c>
      <c r="CX35" s="28" t="s">
        <v>32</v>
      </c>
      <c r="CY35" s="15">
        <v>41</v>
      </c>
      <c r="CZ35" s="28" t="s">
        <v>33</v>
      </c>
      <c r="DA35" s="15">
        <f t="shared" si="42"/>
        <v>65.75</v>
      </c>
    </row>
    <row r="36" spans="2:105" ht="13.5" customHeight="1" x14ac:dyDescent="0.2">
      <c r="B36" s="2">
        <v>36805</v>
      </c>
      <c r="F36" s="8">
        <v>873</v>
      </c>
      <c r="G36" s="8">
        <f t="shared" si="14"/>
        <v>3</v>
      </c>
      <c r="H36" s="8">
        <v>783</v>
      </c>
      <c r="I36" s="8">
        <f t="shared" si="15"/>
        <v>18</v>
      </c>
      <c r="J36" s="8">
        <v>642</v>
      </c>
      <c r="K36" s="8">
        <f t="shared" si="16"/>
        <v>7</v>
      </c>
      <c r="L36" s="8">
        <v>706</v>
      </c>
      <c r="M36" s="8">
        <f t="shared" si="17"/>
        <v>21</v>
      </c>
      <c r="N36" s="8">
        <v>845</v>
      </c>
      <c r="O36" s="8">
        <f t="shared" si="18"/>
        <v>6</v>
      </c>
      <c r="P36" s="10">
        <v>852</v>
      </c>
      <c r="Q36" s="10">
        <v>11</v>
      </c>
      <c r="R36" s="10">
        <f>[45]STOR951!$D$13</f>
        <v>621</v>
      </c>
      <c r="S36" s="10">
        <f t="shared" ref="S36:S42" si="56">R36-R35</f>
        <v>12</v>
      </c>
      <c r="T36" s="10">
        <v>822</v>
      </c>
      <c r="U36" s="10">
        <f t="shared" si="47"/>
        <v>19</v>
      </c>
      <c r="V36" s="8">
        <f t="shared" si="21"/>
        <v>7.375</v>
      </c>
      <c r="Z36" s="2">
        <v>36441</v>
      </c>
      <c r="AD36" s="6">
        <v>1726</v>
      </c>
      <c r="AE36" s="8">
        <f t="shared" si="22"/>
        <v>19</v>
      </c>
      <c r="AF36" s="6">
        <v>1667</v>
      </c>
      <c r="AG36" s="8">
        <f t="shared" si="23"/>
        <v>45</v>
      </c>
      <c r="AH36" s="6">
        <v>1629</v>
      </c>
      <c r="AI36" s="8">
        <f t="shared" si="24"/>
        <v>28</v>
      </c>
      <c r="AJ36" s="6">
        <v>1651</v>
      </c>
      <c r="AK36" s="8">
        <f t="shared" si="25"/>
        <v>50</v>
      </c>
      <c r="AL36" s="6">
        <v>1695</v>
      </c>
      <c r="AM36" s="8">
        <f t="shared" si="26"/>
        <v>29</v>
      </c>
      <c r="AN36" s="10">
        <v>1656</v>
      </c>
      <c r="AO36" s="10">
        <v>31</v>
      </c>
      <c r="AP36" s="10">
        <f>[45]STOR951!$D$17</f>
        <v>1546</v>
      </c>
      <c r="AQ36" s="10">
        <f t="shared" ref="AQ36:AQ42" si="57">AP36-AP35</f>
        <v>47</v>
      </c>
      <c r="AR36" s="10">
        <v>1705</v>
      </c>
      <c r="AS36" s="10">
        <f t="shared" si="48"/>
        <v>46</v>
      </c>
      <c r="AT36" s="8">
        <f t="shared" si="29"/>
        <v>36.875</v>
      </c>
      <c r="AU36" s="7"/>
      <c r="AV36" s="7"/>
      <c r="AX36" s="2">
        <v>36441</v>
      </c>
      <c r="BB36" s="6">
        <v>422</v>
      </c>
      <c r="BC36" s="8">
        <f t="shared" si="30"/>
        <v>2</v>
      </c>
      <c r="BD36" s="6">
        <v>418</v>
      </c>
      <c r="BE36" s="8">
        <f t="shared" si="31"/>
        <v>7</v>
      </c>
      <c r="BF36" s="6">
        <v>336</v>
      </c>
      <c r="BG36" s="8">
        <f t="shared" si="32"/>
        <v>-2</v>
      </c>
      <c r="BH36" s="6">
        <v>363</v>
      </c>
      <c r="BI36" s="8">
        <f t="shared" si="33"/>
        <v>6</v>
      </c>
      <c r="BJ36" s="6">
        <v>412</v>
      </c>
      <c r="BK36" s="8">
        <f t="shared" si="34"/>
        <v>6</v>
      </c>
      <c r="BL36" s="10">
        <v>428</v>
      </c>
      <c r="BM36" s="8">
        <v>7</v>
      </c>
      <c r="BN36" s="10">
        <f>[45]STOR951!$D$21</f>
        <v>375</v>
      </c>
      <c r="BO36" s="8">
        <f t="shared" ref="BO36:BO42" si="58">BN36-BN35</f>
        <v>3</v>
      </c>
      <c r="BP36" s="8">
        <v>452</v>
      </c>
      <c r="BQ36" s="10">
        <f t="shared" si="49"/>
        <v>0</v>
      </c>
      <c r="BR36" s="8">
        <f t="shared" si="37"/>
        <v>3.625</v>
      </c>
      <c r="BU36" s="2">
        <v>36441</v>
      </c>
      <c r="BY36" s="6">
        <f t="shared" si="0"/>
        <v>3021</v>
      </c>
      <c r="BZ36" s="6">
        <f t="shared" si="1"/>
        <v>24</v>
      </c>
      <c r="CA36" s="6">
        <f t="shared" si="2"/>
        <v>2868</v>
      </c>
      <c r="CB36" s="6">
        <f t="shared" si="3"/>
        <v>70</v>
      </c>
      <c r="CC36" s="6">
        <f t="shared" si="4"/>
        <v>2607</v>
      </c>
      <c r="CD36" s="6">
        <f t="shared" si="5"/>
        <v>33</v>
      </c>
      <c r="CE36" s="6">
        <f t="shared" si="6"/>
        <v>2720</v>
      </c>
      <c r="CF36" s="6">
        <f t="shared" si="7"/>
        <v>77</v>
      </c>
      <c r="CG36" s="6">
        <f t="shared" si="8"/>
        <v>2952</v>
      </c>
      <c r="CH36" s="6">
        <f t="shared" si="9"/>
        <v>41</v>
      </c>
      <c r="CI36" s="11">
        <f t="shared" si="10"/>
        <v>2936</v>
      </c>
      <c r="CJ36" s="11">
        <f t="shared" si="11"/>
        <v>49</v>
      </c>
      <c r="CK36" s="11">
        <f t="shared" si="12"/>
        <v>2542</v>
      </c>
      <c r="CL36" s="11">
        <f t="shared" si="13"/>
        <v>62</v>
      </c>
      <c r="CM36" s="11">
        <f t="shared" si="38"/>
        <v>2979</v>
      </c>
      <c r="CN36" s="11">
        <f t="shared" si="39"/>
        <v>65</v>
      </c>
      <c r="CO36" s="15">
        <f t="shared" si="40"/>
        <v>52.625</v>
      </c>
      <c r="CP36" s="15">
        <f t="shared" si="41"/>
        <v>437</v>
      </c>
      <c r="CQ36" s="37">
        <f>CP36/4</f>
        <v>109.25</v>
      </c>
      <c r="CR36" s="37">
        <f t="shared" si="43"/>
        <v>15.607142857142858</v>
      </c>
      <c r="CS36" s="15"/>
      <c r="CT36" s="1"/>
      <c r="CW36" s="15">
        <v>77</v>
      </c>
      <c r="CX36" s="28" t="s">
        <v>29</v>
      </c>
      <c r="CY36" s="15">
        <v>24</v>
      </c>
      <c r="CZ36" s="28" t="s">
        <v>22</v>
      </c>
      <c r="DA36" s="15">
        <f t="shared" si="42"/>
        <v>52.625</v>
      </c>
    </row>
    <row r="37" spans="2:105" ht="13.5" customHeight="1" x14ac:dyDescent="0.2">
      <c r="B37" s="2">
        <v>36812</v>
      </c>
      <c r="F37" s="8">
        <v>874</v>
      </c>
      <c r="G37" s="8">
        <f t="shared" si="14"/>
        <v>1</v>
      </c>
      <c r="H37" s="8">
        <v>801</v>
      </c>
      <c r="I37" s="8">
        <f t="shared" si="15"/>
        <v>18</v>
      </c>
      <c r="J37" s="8">
        <v>651</v>
      </c>
      <c r="K37" s="8">
        <f t="shared" si="16"/>
        <v>9</v>
      </c>
      <c r="L37" s="8">
        <v>734</v>
      </c>
      <c r="M37" s="8">
        <f t="shared" si="17"/>
        <v>28</v>
      </c>
      <c r="N37" s="8">
        <v>869</v>
      </c>
      <c r="O37" s="8">
        <f t="shared" si="18"/>
        <v>24</v>
      </c>
      <c r="P37" s="10">
        <v>860</v>
      </c>
      <c r="Q37" s="10">
        <v>8</v>
      </c>
      <c r="R37" s="10">
        <f>[46]STOR951!$D$13</f>
        <v>627</v>
      </c>
      <c r="S37" s="10">
        <f t="shared" si="56"/>
        <v>6</v>
      </c>
      <c r="T37" s="10">
        <v>837</v>
      </c>
      <c r="U37" s="10">
        <f t="shared" si="47"/>
        <v>15</v>
      </c>
      <c r="V37" s="8">
        <f t="shared" si="21"/>
        <v>9.875</v>
      </c>
      <c r="Z37" s="2">
        <v>36448</v>
      </c>
      <c r="AD37" s="6">
        <v>1779</v>
      </c>
      <c r="AE37" s="8">
        <f t="shared" si="22"/>
        <v>53</v>
      </c>
      <c r="AF37" s="6">
        <v>1696</v>
      </c>
      <c r="AG37" s="8">
        <f t="shared" si="23"/>
        <v>29</v>
      </c>
      <c r="AH37" s="6">
        <v>1672</v>
      </c>
      <c r="AI37" s="8">
        <f t="shared" si="24"/>
        <v>43</v>
      </c>
      <c r="AJ37" s="6">
        <v>1686</v>
      </c>
      <c r="AK37" s="8">
        <f t="shared" si="25"/>
        <v>35</v>
      </c>
      <c r="AL37" s="6">
        <v>1723</v>
      </c>
      <c r="AM37" s="8">
        <f t="shared" si="26"/>
        <v>28</v>
      </c>
      <c r="AN37" s="10">
        <v>1688</v>
      </c>
      <c r="AO37" s="10">
        <v>32</v>
      </c>
      <c r="AP37" s="10">
        <f>[46]STOR951!$D$17</f>
        <v>1566</v>
      </c>
      <c r="AQ37" s="10">
        <f t="shared" si="57"/>
        <v>20</v>
      </c>
      <c r="AR37" s="10">
        <v>1741</v>
      </c>
      <c r="AS37" s="10">
        <f t="shared" si="48"/>
        <v>36</v>
      </c>
      <c r="AT37" s="8">
        <f t="shared" si="29"/>
        <v>34.5</v>
      </c>
      <c r="AU37" s="7"/>
      <c r="AV37" s="7"/>
      <c r="AX37" s="2">
        <v>36448</v>
      </c>
      <c r="BB37" s="6">
        <v>428</v>
      </c>
      <c r="BC37" s="8">
        <f t="shared" si="30"/>
        <v>6</v>
      </c>
      <c r="BD37" s="6">
        <v>423</v>
      </c>
      <c r="BE37" s="8">
        <f t="shared" si="31"/>
        <v>5</v>
      </c>
      <c r="BF37" s="18">
        <v>341</v>
      </c>
      <c r="BG37" s="8">
        <f t="shared" si="32"/>
        <v>5</v>
      </c>
      <c r="BH37" s="6">
        <v>363</v>
      </c>
      <c r="BI37" s="8">
        <f t="shared" si="33"/>
        <v>0</v>
      </c>
      <c r="BJ37" s="6">
        <v>418</v>
      </c>
      <c r="BK37" s="8">
        <f t="shared" si="34"/>
        <v>6</v>
      </c>
      <c r="BL37" s="10">
        <v>430</v>
      </c>
      <c r="BM37" s="8">
        <v>2</v>
      </c>
      <c r="BN37" s="10">
        <f>[46]STOR951!$D$21</f>
        <v>378</v>
      </c>
      <c r="BO37" s="8">
        <f t="shared" si="58"/>
        <v>3</v>
      </c>
      <c r="BP37" s="8">
        <v>464</v>
      </c>
      <c r="BQ37" s="10">
        <f t="shared" si="49"/>
        <v>12</v>
      </c>
      <c r="BR37" s="8">
        <f t="shared" si="37"/>
        <v>4.875</v>
      </c>
      <c r="BU37" s="2">
        <v>36448</v>
      </c>
      <c r="BY37" s="6">
        <f t="shared" si="0"/>
        <v>3081</v>
      </c>
      <c r="BZ37" s="6">
        <f t="shared" si="1"/>
        <v>60</v>
      </c>
      <c r="CA37" s="6">
        <f t="shared" si="2"/>
        <v>2920</v>
      </c>
      <c r="CB37" s="6">
        <f t="shared" si="3"/>
        <v>52</v>
      </c>
      <c r="CC37" s="6">
        <f t="shared" si="4"/>
        <v>2664</v>
      </c>
      <c r="CD37" s="6">
        <f t="shared" si="5"/>
        <v>57</v>
      </c>
      <c r="CE37" s="6">
        <f t="shared" si="6"/>
        <v>2783</v>
      </c>
      <c r="CF37" s="6">
        <f t="shared" si="7"/>
        <v>63</v>
      </c>
      <c r="CG37" s="6">
        <f t="shared" si="8"/>
        <v>3010</v>
      </c>
      <c r="CH37" s="6">
        <f t="shared" si="9"/>
        <v>58</v>
      </c>
      <c r="CI37" s="11">
        <f t="shared" si="10"/>
        <v>2978</v>
      </c>
      <c r="CJ37" s="11">
        <f t="shared" si="11"/>
        <v>42</v>
      </c>
      <c r="CK37" s="11">
        <f t="shared" si="12"/>
        <v>2571</v>
      </c>
      <c r="CL37" s="11">
        <f t="shared" si="13"/>
        <v>29</v>
      </c>
      <c r="CM37" s="11">
        <f t="shared" si="38"/>
        <v>3042</v>
      </c>
      <c r="CN37" s="11">
        <f t="shared" si="39"/>
        <v>63</v>
      </c>
      <c r="CO37" s="15">
        <f t="shared" si="40"/>
        <v>53</v>
      </c>
      <c r="CP37" s="15">
        <f t="shared" si="41"/>
        <v>471</v>
      </c>
      <c r="CQ37" s="37">
        <f>CP37/3</f>
        <v>157</v>
      </c>
      <c r="CR37" s="37">
        <f t="shared" si="43"/>
        <v>22.428571428571427</v>
      </c>
      <c r="CS37" s="15"/>
      <c r="CT37" s="1"/>
      <c r="CU37" s="21"/>
      <c r="CV37" s="21"/>
      <c r="CW37" s="27">
        <v>63</v>
      </c>
      <c r="CX37" s="29" t="s">
        <v>29</v>
      </c>
      <c r="CY37" s="15">
        <v>42</v>
      </c>
      <c r="CZ37" s="28" t="s">
        <v>30</v>
      </c>
      <c r="DA37" s="15">
        <f t="shared" si="42"/>
        <v>53</v>
      </c>
    </row>
    <row r="38" spans="2:105" ht="13.5" customHeight="1" x14ac:dyDescent="0.2">
      <c r="B38" s="2">
        <v>36819</v>
      </c>
      <c r="F38" s="8">
        <v>873</v>
      </c>
      <c r="G38" s="8">
        <f t="shared" si="14"/>
        <v>-1</v>
      </c>
      <c r="H38" s="17">
        <v>813</v>
      </c>
      <c r="I38" s="8">
        <f t="shared" si="15"/>
        <v>12</v>
      </c>
      <c r="J38" s="8">
        <v>660</v>
      </c>
      <c r="K38" s="8">
        <f t="shared" si="16"/>
        <v>9</v>
      </c>
      <c r="L38" s="8">
        <v>750</v>
      </c>
      <c r="M38" s="8">
        <f t="shared" si="17"/>
        <v>16</v>
      </c>
      <c r="N38" s="8">
        <v>885</v>
      </c>
      <c r="O38" s="8">
        <f t="shared" si="18"/>
        <v>16</v>
      </c>
      <c r="P38" s="10">
        <v>860</v>
      </c>
      <c r="Q38" s="10">
        <v>0</v>
      </c>
      <c r="R38" s="10">
        <f>[47]STOR951!$D$13</f>
        <v>649</v>
      </c>
      <c r="S38" s="10">
        <f t="shared" si="56"/>
        <v>22</v>
      </c>
      <c r="T38" s="10">
        <v>841</v>
      </c>
      <c r="U38" s="10">
        <f t="shared" si="47"/>
        <v>4</v>
      </c>
      <c r="V38" s="8">
        <f t="shared" si="21"/>
        <v>8.75</v>
      </c>
      <c r="Z38" s="2">
        <v>36455</v>
      </c>
      <c r="AD38" s="6">
        <v>1782</v>
      </c>
      <c r="AE38" s="8">
        <f t="shared" si="22"/>
        <v>3</v>
      </c>
      <c r="AF38" s="6">
        <v>1717</v>
      </c>
      <c r="AG38" s="8">
        <f t="shared" si="23"/>
        <v>21</v>
      </c>
      <c r="AH38" s="6">
        <v>1699</v>
      </c>
      <c r="AI38" s="8">
        <f t="shared" si="24"/>
        <v>27</v>
      </c>
      <c r="AJ38" s="6">
        <v>1693</v>
      </c>
      <c r="AK38" s="8">
        <f t="shared" si="25"/>
        <v>7</v>
      </c>
      <c r="AL38" s="6">
        <v>1734</v>
      </c>
      <c r="AM38" s="8">
        <f t="shared" si="26"/>
        <v>11</v>
      </c>
      <c r="AN38" s="10">
        <v>1701</v>
      </c>
      <c r="AO38" s="10">
        <v>13</v>
      </c>
      <c r="AP38" s="10">
        <f>[47]STOR951!$D$17</f>
        <v>1613</v>
      </c>
      <c r="AQ38" s="10">
        <f t="shared" si="57"/>
        <v>47</v>
      </c>
      <c r="AR38" s="10">
        <v>1757</v>
      </c>
      <c r="AS38" s="10">
        <f t="shared" si="48"/>
        <v>16</v>
      </c>
      <c r="AT38" s="8">
        <f t="shared" si="29"/>
        <v>18.125</v>
      </c>
      <c r="AU38" s="7"/>
      <c r="AV38" s="7"/>
      <c r="AX38" s="2">
        <v>36455</v>
      </c>
      <c r="BB38" s="6">
        <v>430</v>
      </c>
      <c r="BC38" s="8">
        <f t="shared" si="30"/>
        <v>2</v>
      </c>
      <c r="BD38" s="18">
        <v>424</v>
      </c>
      <c r="BE38" s="8">
        <f t="shared" si="31"/>
        <v>1</v>
      </c>
      <c r="BF38" s="6">
        <v>339</v>
      </c>
      <c r="BG38" s="8">
        <f t="shared" si="32"/>
        <v>-2</v>
      </c>
      <c r="BH38" s="18">
        <v>369</v>
      </c>
      <c r="BI38" s="8">
        <f t="shared" si="33"/>
        <v>6</v>
      </c>
      <c r="BJ38" s="6">
        <v>427</v>
      </c>
      <c r="BK38" s="8">
        <f t="shared" si="34"/>
        <v>9</v>
      </c>
      <c r="BL38" s="10">
        <v>430</v>
      </c>
      <c r="BM38" s="8">
        <v>0</v>
      </c>
      <c r="BN38" s="10">
        <f>[47]STOR951!$D$21</f>
        <v>380</v>
      </c>
      <c r="BO38" s="8">
        <f t="shared" si="58"/>
        <v>2</v>
      </c>
      <c r="BP38" s="8">
        <v>469</v>
      </c>
      <c r="BQ38" s="10">
        <f t="shared" si="49"/>
        <v>5</v>
      </c>
      <c r="BR38" s="8">
        <f t="shared" si="37"/>
        <v>2.875</v>
      </c>
      <c r="BU38" s="2">
        <v>36455</v>
      </c>
      <c r="BY38" s="6">
        <f t="shared" si="0"/>
        <v>3085</v>
      </c>
      <c r="BZ38" s="6">
        <f t="shared" si="1"/>
        <v>4</v>
      </c>
      <c r="CA38" s="6">
        <f t="shared" si="2"/>
        <v>2954</v>
      </c>
      <c r="CB38" s="6">
        <f t="shared" si="3"/>
        <v>34</v>
      </c>
      <c r="CC38" s="6">
        <f t="shared" si="4"/>
        <v>2698</v>
      </c>
      <c r="CD38" s="6">
        <f t="shared" si="5"/>
        <v>34</v>
      </c>
      <c r="CE38" s="39">
        <f t="shared" si="6"/>
        <v>2812</v>
      </c>
      <c r="CF38" s="6">
        <f t="shared" si="7"/>
        <v>29</v>
      </c>
      <c r="CG38" s="6">
        <f t="shared" si="8"/>
        <v>3046</v>
      </c>
      <c r="CH38" s="6">
        <f t="shared" si="9"/>
        <v>36</v>
      </c>
      <c r="CI38" s="11">
        <f t="shared" si="10"/>
        <v>2991</v>
      </c>
      <c r="CJ38" s="11">
        <f t="shared" si="11"/>
        <v>13</v>
      </c>
      <c r="CK38" s="11">
        <f t="shared" si="12"/>
        <v>2642</v>
      </c>
      <c r="CL38" s="11">
        <f t="shared" si="13"/>
        <v>71</v>
      </c>
      <c r="CM38" s="11">
        <f t="shared" si="38"/>
        <v>3067</v>
      </c>
      <c r="CN38" s="11">
        <f t="shared" si="39"/>
        <v>25</v>
      </c>
      <c r="CO38" s="15">
        <f t="shared" si="40"/>
        <v>30.75</v>
      </c>
      <c r="CP38" s="15">
        <f t="shared" si="41"/>
        <v>425</v>
      </c>
      <c r="CQ38" s="37">
        <f>CP38/2</f>
        <v>212.5</v>
      </c>
      <c r="CR38" s="37">
        <f t="shared" si="43"/>
        <v>30.357142857142858</v>
      </c>
      <c r="CS38" s="15"/>
      <c r="CT38" s="1"/>
      <c r="CW38" s="15">
        <v>36</v>
      </c>
      <c r="CX38" s="28" t="s">
        <v>33</v>
      </c>
      <c r="CY38" s="15">
        <v>4</v>
      </c>
      <c r="CZ38" s="28" t="s">
        <v>22</v>
      </c>
      <c r="DA38" s="15">
        <f t="shared" si="42"/>
        <v>30.75</v>
      </c>
    </row>
    <row r="39" spans="2:105" ht="13.5" customHeight="1" thickBot="1" x14ac:dyDescent="0.25">
      <c r="B39" s="2">
        <v>36826</v>
      </c>
      <c r="F39" s="8">
        <v>870</v>
      </c>
      <c r="G39" s="8">
        <f t="shared" si="14"/>
        <v>-3</v>
      </c>
      <c r="H39" s="8">
        <v>812</v>
      </c>
      <c r="I39" s="8">
        <f t="shared" si="15"/>
        <v>-1</v>
      </c>
      <c r="J39" s="17">
        <v>670</v>
      </c>
      <c r="K39" s="8">
        <f t="shared" si="16"/>
        <v>10</v>
      </c>
      <c r="L39" s="17">
        <v>749</v>
      </c>
      <c r="M39" s="8">
        <f t="shared" si="17"/>
        <v>-1</v>
      </c>
      <c r="N39" s="8">
        <v>896</v>
      </c>
      <c r="O39" s="8">
        <f t="shared" si="18"/>
        <v>11</v>
      </c>
      <c r="P39" s="10">
        <v>851</v>
      </c>
      <c r="Q39" s="10">
        <v>-9</v>
      </c>
      <c r="R39" s="10">
        <f>[48]STOR951!$D$13</f>
        <v>666</v>
      </c>
      <c r="S39" s="10">
        <f t="shared" si="56"/>
        <v>17</v>
      </c>
      <c r="T39" s="10">
        <v>839</v>
      </c>
      <c r="U39" s="10">
        <f t="shared" si="47"/>
        <v>-2</v>
      </c>
      <c r="V39" s="8">
        <f t="shared" si="21"/>
        <v>3.25</v>
      </c>
      <c r="Z39" s="2">
        <v>36462</v>
      </c>
      <c r="AD39" s="6">
        <v>1791</v>
      </c>
      <c r="AE39" s="8">
        <f t="shared" si="22"/>
        <v>9</v>
      </c>
      <c r="AF39" s="18">
        <v>1723</v>
      </c>
      <c r="AG39" s="8">
        <f t="shared" si="23"/>
        <v>6</v>
      </c>
      <c r="AH39" s="18">
        <v>1721</v>
      </c>
      <c r="AI39" s="8">
        <f t="shared" si="24"/>
        <v>22</v>
      </c>
      <c r="AJ39" s="6">
        <v>1691</v>
      </c>
      <c r="AK39" s="8">
        <f t="shared" si="25"/>
        <v>-2</v>
      </c>
      <c r="AL39" s="18">
        <v>1763</v>
      </c>
      <c r="AM39" s="8">
        <f t="shared" si="26"/>
        <v>29</v>
      </c>
      <c r="AN39" s="10">
        <v>1711</v>
      </c>
      <c r="AO39" s="10">
        <v>10</v>
      </c>
      <c r="AP39" s="10">
        <f>[48]STOR951!$D$17</f>
        <v>1661</v>
      </c>
      <c r="AQ39" s="10">
        <f t="shared" si="57"/>
        <v>48</v>
      </c>
      <c r="AR39" s="10">
        <v>1782</v>
      </c>
      <c r="AS39" s="10">
        <f t="shared" si="48"/>
        <v>25</v>
      </c>
      <c r="AT39" s="8">
        <f t="shared" si="29"/>
        <v>18.375</v>
      </c>
      <c r="AU39" s="7"/>
      <c r="AV39" s="7"/>
      <c r="AX39" s="2">
        <v>36462</v>
      </c>
      <c r="BB39" s="6">
        <v>427</v>
      </c>
      <c r="BC39" s="8">
        <f t="shared" si="30"/>
        <v>-3</v>
      </c>
      <c r="BD39" s="6">
        <v>423</v>
      </c>
      <c r="BE39" s="8">
        <f t="shared" si="31"/>
        <v>-1</v>
      </c>
      <c r="BF39" s="6">
        <v>334</v>
      </c>
      <c r="BG39" s="8">
        <f t="shared" si="32"/>
        <v>-5</v>
      </c>
      <c r="BH39" s="6">
        <v>367</v>
      </c>
      <c r="BI39" s="8">
        <f t="shared" si="33"/>
        <v>-2</v>
      </c>
      <c r="BJ39" s="6">
        <v>435</v>
      </c>
      <c r="BK39" s="8">
        <f t="shared" si="34"/>
        <v>8</v>
      </c>
      <c r="BL39" s="10">
        <v>433</v>
      </c>
      <c r="BM39" s="8">
        <v>3</v>
      </c>
      <c r="BN39" s="10">
        <f>[48]STOR951!$D$21</f>
        <v>385</v>
      </c>
      <c r="BO39" s="8">
        <f t="shared" si="58"/>
        <v>5</v>
      </c>
      <c r="BP39" s="8">
        <v>469</v>
      </c>
      <c r="BQ39" s="10">
        <f t="shared" si="49"/>
        <v>0</v>
      </c>
      <c r="BR39" s="8">
        <f t="shared" si="37"/>
        <v>0.625</v>
      </c>
      <c r="BU39" s="2">
        <v>36462</v>
      </c>
      <c r="BY39" s="6">
        <f t="shared" si="0"/>
        <v>3088</v>
      </c>
      <c r="BZ39" s="6">
        <f t="shared" si="1"/>
        <v>3</v>
      </c>
      <c r="CA39" s="47">
        <f t="shared" si="2"/>
        <v>2958</v>
      </c>
      <c r="CB39" s="6">
        <f t="shared" si="3"/>
        <v>4</v>
      </c>
      <c r="CC39" s="47">
        <f t="shared" si="4"/>
        <v>2725</v>
      </c>
      <c r="CD39" s="6">
        <f t="shared" si="5"/>
        <v>27</v>
      </c>
      <c r="CE39" s="6">
        <f t="shared" si="6"/>
        <v>2807</v>
      </c>
      <c r="CF39" s="6">
        <f t="shared" si="7"/>
        <v>-5</v>
      </c>
      <c r="CG39" s="6">
        <f t="shared" si="8"/>
        <v>3094</v>
      </c>
      <c r="CH39" s="6">
        <f t="shared" si="9"/>
        <v>48</v>
      </c>
      <c r="CI39" s="11">
        <f t="shared" si="10"/>
        <v>2995</v>
      </c>
      <c r="CJ39" s="11">
        <f t="shared" si="11"/>
        <v>4</v>
      </c>
      <c r="CK39" s="11">
        <f t="shared" si="12"/>
        <v>2712</v>
      </c>
      <c r="CL39" s="11">
        <f t="shared" si="13"/>
        <v>70</v>
      </c>
      <c r="CM39" s="11">
        <f t="shared" si="38"/>
        <v>3090</v>
      </c>
      <c r="CN39" s="11">
        <f t="shared" si="39"/>
        <v>23</v>
      </c>
      <c r="CO39" s="15">
        <f t="shared" si="40"/>
        <v>21.75</v>
      </c>
      <c r="CP39" s="15">
        <f t="shared" si="41"/>
        <v>378</v>
      </c>
      <c r="CQ39" s="37">
        <f>CP39/1</f>
        <v>378</v>
      </c>
      <c r="CR39" s="37">
        <f t="shared" si="43"/>
        <v>54</v>
      </c>
      <c r="CS39" s="15">
        <f>SUM(CO31:CO39)+CM30</f>
        <v>3011.375</v>
      </c>
      <c r="CT39" s="1"/>
      <c r="CW39" s="15">
        <v>48</v>
      </c>
      <c r="CX39" s="28" t="s">
        <v>33</v>
      </c>
      <c r="CY39" s="15">
        <v>-5</v>
      </c>
      <c r="CZ39" s="28" t="s">
        <v>29</v>
      </c>
      <c r="DA39" s="15">
        <f t="shared" si="42"/>
        <v>21.75</v>
      </c>
    </row>
    <row r="40" spans="2:105" ht="13.5" customHeight="1" x14ac:dyDescent="0.2">
      <c r="B40" s="2">
        <v>36833</v>
      </c>
      <c r="F40" s="8">
        <v>877</v>
      </c>
      <c r="G40" s="8">
        <f t="shared" si="14"/>
        <v>7</v>
      </c>
      <c r="H40" s="8">
        <v>794</v>
      </c>
      <c r="I40" s="8">
        <f t="shared" si="15"/>
        <v>-18</v>
      </c>
      <c r="J40" s="8">
        <v>658</v>
      </c>
      <c r="K40" s="8">
        <f t="shared" si="16"/>
        <v>-12</v>
      </c>
      <c r="L40" s="8">
        <v>748</v>
      </c>
      <c r="M40" s="8">
        <f t="shared" si="17"/>
        <v>-1</v>
      </c>
      <c r="N40" s="8">
        <v>923</v>
      </c>
      <c r="O40" s="8">
        <v>27</v>
      </c>
      <c r="P40" s="10">
        <v>852</v>
      </c>
      <c r="Q40" s="10">
        <v>1</v>
      </c>
      <c r="R40" s="10">
        <f>[49]STOR951!$D$13</f>
        <v>687</v>
      </c>
      <c r="S40" s="10">
        <f t="shared" si="56"/>
        <v>21</v>
      </c>
      <c r="T40" s="10">
        <v>839</v>
      </c>
      <c r="U40" s="10">
        <v>2</v>
      </c>
      <c r="V40" s="8">
        <f t="shared" si="21"/>
        <v>2.875</v>
      </c>
      <c r="Z40" s="2">
        <v>36469</v>
      </c>
      <c r="AD40" s="18">
        <v>1795</v>
      </c>
      <c r="AE40" s="8">
        <f t="shared" si="22"/>
        <v>4</v>
      </c>
      <c r="AF40" s="6">
        <v>1669</v>
      </c>
      <c r="AG40" s="8">
        <f t="shared" si="23"/>
        <v>-54</v>
      </c>
      <c r="AH40" s="6">
        <v>1714</v>
      </c>
      <c r="AI40" s="8">
        <f t="shared" si="24"/>
        <v>-7</v>
      </c>
      <c r="AJ40" s="18">
        <v>1695</v>
      </c>
      <c r="AK40" s="8">
        <f t="shared" si="25"/>
        <v>4</v>
      </c>
      <c r="AL40" s="6">
        <v>1755</v>
      </c>
      <c r="AM40" s="8">
        <v>-8</v>
      </c>
      <c r="AN40" s="10">
        <v>1721</v>
      </c>
      <c r="AO40" s="10">
        <v>10</v>
      </c>
      <c r="AP40" s="10">
        <f>[49]STOR951!$D$17</f>
        <v>1678</v>
      </c>
      <c r="AQ40" s="10">
        <f t="shared" si="57"/>
        <v>17</v>
      </c>
      <c r="AR40" s="10">
        <v>1782</v>
      </c>
      <c r="AS40" s="10">
        <v>4</v>
      </c>
      <c r="AT40" s="8">
        <f t="shared" si="29"/>
        <v>-3.75</v>
      </c>
      <c r="AU40" s="7"/>
      <c r="AV40" s="7"/>
      <c r="AX40" s="2">
        <v>36469</v>
      </c>
      <c r="BB40" s="6">
        <v>427</v>
      </c>
      <c r="BC40" s="8">
        <f t="shared" si="30"/>
        <v>0</v>
      </c>
      <c r="BD40" s="6">
        <v>410</v>
      </c>
      <c r="BE40" s="8">
        <f t="shared" si="31"/>
        <v>-13</v>
      </c>
      <c r="BF40" s="6">
        <v>331</v>
      </c>
      <c r="BG40" s="8">
        <f t="shared" si="32"/>
        <v>-3</v>
      </c>
      <c r="BH40" s="6">
        <v>371</v>
      </c>
      <c r="BI40" s="8">
        <f t="shared" si="33"/>
        <v>4</v>
      </c>
      <c r="BJ40" s="18">
        <v>449</v>
      </c>
      <c r="BK40" s="8">
        <v>14</v>
      </c>
      <c r="BL40" s="10">
        <v>434</v>
      </c>
      <c r="BM40" s="8">
        <v>1</v>
      </c>
      <c r="BN40" s="10">
        <f>[49]STOR951!$D$21</f>
        <v>383</v>
      </c>
      <c r="BO40" s="8">
        <f t="shared" si="58"/>
        <v>-2</v>
      </c>
      <c r="BP40" s="8">
        <v>469</v>
      </c>
      <c r="BQ40" s="8">
        <v>4</v>
      </c>
      <c r="BR40" s="8">
        <f t="shared" si="37"/>
        <v>0.625</v>
      </c>
      <c r="BU40" s="48">
        <v>36469</v>
      </c>
      <c r="BV40" s="49"/>
      <c r="BW40" s="49"/>
      <c r="BX40" s="49"/>
      <c r="BY40" s="50">
        <f t="shared" si="0"/>
        <v>3099</v>
      </c>
      <c r="BZ40" s="51">
        <f t="shared" si="1"/>
        <v>11</v>
      </c>
      <c r="CA40" s="51">
        <f t="shared" si="2"/>
        <v>2873</v>
      </c>
      <c r="CB40" s="51">
        <f t="shared" si="3"/>
        <v>-85</v>
      </c>
      <c r="CC40" s="51">
        <f t="shared" si="4"/>
        <v>2703</v>
      </c>
      <c r="CD40" s="51">
        <f t="shared" si="5"/>
        <v>-22</v>
      </c>
      <c r="CE40" s="51">
        <f t="shared" si="6"/>
        <v>2814</v>
      </c>
      <c r="CF40" s="51">
        <f t="shared" si="7"/>
        <v>7</v>
      </c>
      <c r="CG40" s="50">
        <f>BJ40+AL40+N40</f>
        <v>3127</v>
      </c>
      <c r="CH40" s="51">
        <f t="shared" si="9"/>
        <v>33</v>
      </c>
      <c r="CI40" s="52">
        <f t="shared" si="10"/>
        <v>3007</v>
      </c>
      <c r="CJ40" s="52">
        <f t="shared" si="11"/>
        <v>12</v>
      </c>
      <c r="CK40" s="53">
        <f t="shared" si="12"/>
        <v>2748</v>
      </c>
      <c r="CL40" s="52">
        <f t="shared" si="13"/>
        <v>36</v>
      </c>
      <c r="CM40" s="52">
        <f t="shared" si="38"/>
        <v>3090</v>
      </c>
      <c r="CN40" s="52">
        <f t="shared" si="39"/>
        <v>10</v>
      </c>
      <c r="CO40" s="54">
        <f t="shared" si="40"/>
        <v>0.25</v>
      </c>
      <c r="CP40" s="55">
        <f t="shared" si="41"/>
        <v>342</v>
      </c>
      <c r="CQ40" s="37"/>
      <c r="CR40" s="37"/>
      <c r="CS40" s="37"/>
      <c r="CT40" s="1">
        <f>SUM(CT15:CT39)</f>
        <v>0</v>
      </c>
      <c r="CW40" s="15">
        <v>12</v>
      </c>
      <c r="CX40" s="28" t="s">
        <v>30</v>
      </c>
      <c r="CY40" s="15">
        <v>-85</v>
      </c>
      <c r="CZ40" s="28" t="s">
        <v>31</v>
      </c>
      <c r="DA40" s="15">
        <f t="shared" si="42"/>
        <v>0.25</v>
      </c>
    </row>
    <row r="41" spans="2:105" ht="13.5" customHeight="1" x14ac:dyDescent="0.2">
      <c r="B41" s="2">
        <v>36840</v>
      </c>
      <c r="F41" s="8">
        <v>878</v>
      </c>
      <c r="G41" s="8">
        <f t="shared" si="14"/>
        <v>1</v>
      </c>
      <c r="H41" s="8">
        <v>769</v>
      </c>
      <c r="I41" s="8">
        <f t="shared" si="15"/>
        <v>-25</v>
      </c>
      <c r="J41" s="8">
        <v>629</v>
      </c>
      <c r="K41" s="8">
        <f t="shared" si="16"/>
        <v>-29</v>
      </c>
      <c r="L41" s="8">
        <v>717</v>
      </c>
      <c r="M41" s="8">
        <f t="shared" si="17"/>
        <v>-31</v>
      </c>
      <c r="N41" s="17">
        <v>903</v>
      </c>
      <c r="O41" s="8">
        <f t="shared" si="18"/>
        <v>-20</v>
      </c>
      <c r="P41" s="10">
        <v>847</v>
      </c>
      <c r="Q41" s="10">
        <v>-5</v>
      </c>
      <c r="R41" s="10">
        <f>[50]STOR951!$D$13</f>
        <v>688</v>
      </c>
      <c r="S41" s="10">
        <f t="shared" si="56"/>
        <v>1</v>
      </c>
      <c r="T41" s="10">
        <f>T40+U41</f>
        <v>848</v>
      </c>
      <c r="U41" s="10">
        <v>9</v>
      </c>
      <c r="V41" s="8">
        <f t="shared" si="21"/>
        <v>-14.625</v>
      </c>
      <c r="Z41" s="2">
        <v>36476</v>
      </c>
      <c r="AD41" s="6">
        <v>1786</v>
      </c>
      <c r="AE41" s="8">
        <f t="shared" si="22"/>
        <v>-9</v>
      </c>
      <c r="AF41" s="6">
        <v>1607</v>
      </c>
      <c r="AG41" s="8">
        <f t="shared" si="23"/>
        <v>-62</v>
      </c>
      <c r="AH41" s="6">
        <v>1656</v>
      </c>
      <c r="AI41" s="8">
        <f t="shared" si="24"/>
        <v>-58</v>
      </c>
      <c r="AJ41" s="6">
        <v>1666</v>
      </c>
      <c r="AK41" s="8">
        <f t="shared" si="25"/>
        <v>-29</v>
      </c>
      <c r="AL41" s="6">
        <v>1738</v>
      </c>
      <c r="AM41" s="8">
        <f t="shared" si="26"/>
        <v>-17</v>
      </c>
      <c r="AN41" s="10">
        <v>1730</v>
      </c>
      <c r="AO41" s="10">
        <v>9</v>
      </c>
      <c r="AP41" s="10">
        <f>[50]STOR951!$D$17</f>
        <v>1682</v>
      </c>
      <c r="AQ41" s="10">
        <f t="shared" si="57"/>
        <v>4</v>
      </c>
      <c r="AR41" s="10">
        <f>AR40+AS41</f>
        <v>1789</v>
      </c>
      <c r="AS41" s="10">
        <v>7</v>
      </c>
      <c r="AT41" s="8">
        <f t="shared" si="29"/>
        <v>-19.375</v>
      </c>
      <c r="AU41" s="7"/>
      <c r="AV41" s="7"/>
      <c r="AX41" s="2">
        <v>36476</v>
      </c>
      <c r="BB41" s="6">
        <v>420</v>
      </c>
      <c r="BC41" s="8">
        <f t="shared" si="30"/>
        <v>-7</v>
      </c>
      <c r="BD41" s="6">
        <v>422</v>
      </c>
      <c r="BE41" s="8">
        <f t="shared" si="31"/>
        <v>12</v>
      </c>
      <c r="BF41" s="6">
        <v>332</v>
      </c>
      <c r="BG41" s="8">
        <f t="shared" si="32"/>
        <v>1</v>
      </c>
      <c r="BH41" s="6">
        <v>367</v>
      </c>
      <c r="BI41" s="8">
        <f t="shared" si="33"/>
        <v>-4</v>
      </c>
      <c r="BJ41" s="6">
        <v>441</v>
      </c>
      <c r="BK41" s="8">
        <f t="shared" si="34"/>
        <v>-8</v>
      </c>
      <c r="BL41" s="10">
        <v>439</v>
      </c>
      <c r="BM41" s="8">
        <v>5</v>
      </c>
      <c r="BN41" s="10">
        <f>[50]STOR951!$D$21</f>
        <v>372</v>
      </c>
      <c r="BO41" s="8">
        <f t="shared" si="58"/>
        <v>-11</v>
      </c>
      <c r="BP41" s="8">
        <f>BP40+BQ41</f>
        <v>470</v>
      </c>
      <c r="BQ41" s="8">
        <v>1</v>
      </c>
      <c r="BR41" s="8">
        <f t="shared" si="37"/>
        <v>-1.375</v>
      </c>
      <c r="BU41" s="56">
        <v>36476</v>
      </c>
      <c r="BV41" s="57"/>
      <c r="BW41" s="57"/>
      <c r="BX41" s="57"/>
      <c r="BY41" s="58">
        <f t="shared" si="0"/>
        <v>3084</v>
      </c>
      <c r="BZ41" s="58">
        <f t="shared" si="1"/>
        <v>-15</v>
      </c>
      <c r="CA41" s="58">
        <f t="shared" si="2"/>
        <v>2798</v>
      </c>
      <c r="CB41" s="58">
        <f t="shared" si="3"/>
        <v>-75</v>
      </c>
      <c r="CC41" s="58">
        <f t="shared" si="4"/>
        <v>2617</v>
      </c>
      <c r="CD41" s="58">
        <f t="shared" si="5"/>
        <v>-86</v>
      </c>
      <c r="CE41" s="58">
        <f t="shared" si="6"/>
        <v>2750</v>
      </c>
      <c r="CF41" s="58">
        <f t="shared" si="7"/>
        <v>-64</v>
      </c>
      <c r="CG41" s="58">
        <f t="shared" si="8"/>
        <v>3082</v>
      </c>
      <c r="CH41" s="58">
        <f t="shared" si="9"/>
        <v>-45</v>
      </c>
      <c r="CI41" s="59">
        <f t="shared" si="10"/>
        <v>3016</v>
      </c>
      <c r="CJ41" s="60">
        <f t="shared" si="11"/>
        <v>9</v>
      </c>
      <c r="CK41" s="60">
        <f t="shared" si="12"/>
        <v>2742</v>
      </c>
      <c r="CL41" s="60">
        <f t="shared" si="13"/>
        <v>-6</v>
      </c>
      <c r="CM41" s="60">
        <f t="shared" si="38"/>
        <v>3107</v>
      </c>
      <c r="CN41" s="60">
        <f t="shared" si="39"/>
        <v>17</v>
      </c>
      <c r="CO41" s="61">
        <f t="shared" si="40"/>
        <v>-33.125</v>
      </c>
      <c r="CP41" s="62">
        <f t="shared" si="41"/>
        <v>365</v>
      </c>
      <c r="CQ41" s="15"/>
      <c r="CR41" s="15"/>
      <c r="CS41" s="15"/>
      <c r="CW41" s="15">
        <v>9</v>
      </c>
      <c r="CX41" s="28" t="s">
        <v>30</v>
      </c>
      <c r="CY41" s="15">
        <v>-86</v>
      </c>
      <c r="CZ41" s="28" t="s">
        <v>32</v>
      </c>
      <c r="DA41" s="15">
        <f t="shared" si="42"/>
        <v>-33.125</v>
      </c>
    </row>
    <row r="42" spans="2:105" ht="13.5" customHeight="1" x14ac:dyDescent="0.2">
      <c r="B42" s="2">
        <v>36847</v>
      </c>
      <c r="F42" s="8">
        <v>864</v>
      </c>
      <c r="G42" s="8">
        <f t="shared" si="14"/>
        <v>-14</v>
      </c>
      <c r="H42" s="8">
        <v>754</v>
      </c>
      <c r="I42" s="8">
        <f t="shared" si="15"/>
        <v>-15</v>
      </c>
      <c r="J42" s="8">
        <v>615</v>
      </c>
      <c r="K42" s="8">
        <f t="shared" si="16"/>
        <v>-14</v>
      </c>
      <c r="L42" s="8">
        <v>677</v>
      </c>
      <c r="M42" s="8">
        <f t="shared" si="17"/>
        <v>-40</v>
      </c>
      <c r="N42" s="8">
        <v>899</v>
      </c>
      <c r="O42" s="8">
        <f t="shared" si="18"/>
        <v>-4</v>
      </c>
      <c r="P42" s="10">
        <v>843</v>
      </c>
      <c r="Q42" s="10">
        <v>-4</v>
      </c>
      <c r="R42" s="10">
        <f>[51]STOR951!$D$13</f>
        <v>664</v>
      </c>
      <c r="S42" s="10">
        <f t="shared" si="56"/>
        <v>-24</v>
      </c>
      <c r="T42" s="10">
        <f>T41+U42</f>
        <v>861</v>
      </c>
      <c r="U42" s="10">
        <v>13</v>
      </c>
      <c r="V42" s="8">
        <f t="shared" si="21"/>
        <v>-16</v>
      </c>
      <c r="Z42" s="2">
        <v>36483</v>
      </c>
      <c r="AD42" s="6">
        <v>1751</v>
      </c>
      <c r="AE42" s="8">
        <f t="shared" si="22"/>
        <v>-35</v>
      </c>
      <c r="AF42" s="6">
        <v>1563</v>
      </c>
      <c r="AG42" s="8">
        <f t="shared" si="23"/>
        <v>-44</v>
      </c>
      <c r="AH42" s="6">
        <v>1610</v>
      </c>
      <c r="AI42" s="8">
        <f t="shared" si="24"/>
        <v>-46</v>
      </c>
      <c r="AJ42" s="6">
        <v>1606</v>
      </c>
      <c r="AK42" s="8">
        <f t="shared" si="25"/>
        <v>-60</v>
      </c>
      <c r="AL42" s="6">
        <v>1726</v>
      </c>
      <c r="AM42" s="8">
        <f t="shared" si="26"/>
        <v>-12</v>
      </c>
      <c r="AN42" s="10">
        <v>1711</v>
      </c>
      <c r="AO42" s="10">
        <v>-19</v>
      </c>
      <c r="AP42" s="10">
        <f>[51]STOR951!$D$17</f>
        <v>1643</v>
      </c>
      <c r="AQ42" s="10">
        <f t="shared" si="57"/>
        <v>-39</v>
      </c>
      <c r="AR42" s="10">
        <f>AR41+AS42</f>
        <v>1789</v>
      </c>
      <c r="AS42" s="10">
        <v>0</v>
      </c>
      <c r="AT42" s="8">
        <f t="shared" si="29"/>
        <v>-31.875</v>
      </c>
      <c r="AU42" s="7"/>
      <c r="AV42" s="7"/>
      <c r="AX42" s="2">
        <v>36483</v>
      </c>
      <c r="BB42" s="6">
        <v>412</v>
      </c>
      <c r="BC42" s="8">
        <f t="shared" si="30"/>
        <v>-8</v>
      </c>
      <c r="BD42" s="6">
        <v>420</v>
      </c>
      <c r="BE42" s="8">
        <f t="shared" si="31"/>
        <v>-2</v>
      </c>
      <c r="BF42" s="6">
        <v>326</v>
      </c>
      <c r="BG42" s="8">
        <f t="shared" si="32"/>
        <v>-6</v>
      </c>
      <c r="BH42" s="6">
        <v>359</v>
      </c>
      <c r="BI42" s="8">
        <f t="shared" si="33"/>
        <v>-8</v>
      </c>
      <c r="BJ42" s="6">
        <v>444</v>
      </c>
      <c r="BK42" s="8">
        <f t="shared" si="34"/>
        <v>3</v>
      </c>
      <c r="BL42" s="10">
        <v>442</v>
      </c>
      <c r="BM42" s="8">
        <v>3</v>
      </c>
      <c r="BN42" s="10">
        <f>[51]STOR951!$D$21</f>
        <v>341</v>
      </c>
      <c r="BO42" s="8">
        <f t="shared" si="58"/>
        <v>-31</v>
      </c>
      <c r="BP42" s="8">
        <f>BP41+BQ42</f>
        <v>472</v>
      </c>
      <c r="BQ42" s="8">
        <v>2</v>
      </c>
      <c r="BR42" s="8">
        <f t="shared" si="37"/>
        <v>-5.875</v>
      </c>
      <c r="BU42" s="56">
        <v>36483</v>
      </c>
      <c r="BV42" s="57"/>
      <c r="BW42" s="57"/>
      <c r="BX42" s="57"/>
      <c r="BY42" s="58">
        <f t="shared" ref="BY42:BY61" si="59">BB42+AD42+F42</f>
        <v>3027</v>
      </c>
      <c r="BZ42" s="58">
        <f t="shared" ref="BZ42:BZ61" si="60">BC42+AE42+G42</f>
        <v>-57</v>
      </c>
      <c r="CA42" s="58">
        <f t="shared" ref="CA42:CA61" si="61">BD42+AF42+H42</f>
        <v>2737</v>
      </c>
      <c r="CB42" s="58">
        <f t="shared" ref="CB42:CB61" si="62">BE42+AG42+I42</f>
        <v>-61</v>
      </c>
      <c r="CC42" s="58">
        <f t="shared" ref="CC42:CC61" si="63">BF42+AH42+J42</f>
        <v>2551</v>
      </c>
      <c r="CD42" s="58">
        <f t="shared" ref="CD42:CD61" si="64">BG42+AI42+K42</f>
        <v>-66</v>
      </c>
      <c r="CE42" s="58">
        <f t="shared" ref="CE42:CE61" si="65">BH42+AJ42+L42</f>
        <v>2642</v>
      </c>
      <c r="CF42" s="58">
        <f t="shared" ref="CF42:CF61" si="66">BI42+AK42+M42</f>
        <v>-108</v>
      </c>
      <c r="CG42" s="58">
        <f t="shared" ref="CG42:CG61" si="67">BJ42+AL42+N42</f>
        <v>3069</v>
      </c>
      <c r="CH42" s="58">
        <f t="shared" ref="CH42:CH61" si="68">BK42+AM42+O42</f>
        <v>-13</v>
      </c>
      <c r="CI42" s="60">
        <f t="shared" ref="CI42:CI60" si="69">BL42+AN42+P42</f>
        <v>2996</v>
      </c>
      <c r="CJ42" s="60">
        <f t="shared" ref="CJ42:CJ60" si="70">BM42+AO42+Q42</f>
        <v>-20</v>
      </c>
      <c r="CK42" s="60">
        <f t="shared" ref="CK42:CK61" si="71">BN42+AP42+R42</f>
        <v>2648</v>
      </c>
      <c r="CL42" s="60">
        <f t="shared" ref="CL42:CL61" si="72">BO42+AQ42+S42</f>
        <v>-94</v>
      </c>
      <c r="CM42" s="60">
        <f t="shared" si="38"/>
        <v>3122</v>
      </c>
      <c r="CN42" s="60">
        <f t="shared" si="39"/>
        <v>15</v>
      </c>
      <c r="CO42" s="61">
        <f t="shared" si="40"/>
        <v>-50.5</v>
      </c>
      <c r="CP42" s="62">
        <f>IF(CM42=0,0,CM42-CK42)</f>
        <v>474</v>
      </c>
      <c r="CQ42" s="15">
        <f t="shared" ref="CQ42:CQ47" si="73">(CK42+CI42+CG42+CE42+CC42+CA42+BY42)/7</f>
        <v>2810</v>
      </c>
      <c r="CR42" s="15">
        <f>CM42-CQ42</f>
        <v>312</v>
      </c>
      <c r="CS42" s="15"/>
      <c r="CW42" s="15">
        <v>-13</v>
      </c>
      <c r="CX42" s="28" t="s">
        <v>33</v>
      </c>
      <c r="CY42" s="15">
        <v>-108</v>
      </c>
      <c r="CZ42" s="28" t="s">
        <v>29</v>
      </c>
      <c r="DA42" s="15">
        <f t="shared" si="42"/>
        <v>-50.5</v>
      </c>
    </row>
    <row r="43" spans="2:105" ht="14.25" x14ac:dyDescent="0.2">
      <c r="B43" s="2">
        <v>36854</v>
      </c>
      <c r="D43" s="8"/>
      <c r="E43" s="8"/>
      <c r="F43" s="8">
        <v>833</v>
      </c>
      <c r="G43" s="8">
        <v>-31</v>
      </c>
      <c r="H43" s="8">
        <v>730</v>
      </c>
      <c r="I43" s="8">
        <v>-24</v>
      </c>
      <c r="J43" s="8">
        <v>579</v>
      </c>
      <c r="K43" s="8">
        <v>-36</v>
      </c>
      <c r="L43" s="8">
        <v>669</v>
      </c>
      <c r="M43" s="8">
        <v>-8</v>
      </c>
      <c r="N43" s="8">
        <v>906</v>
      </c>
      <c r="O43" s="8">
        <v>7</v>
      </c>
      <c r="P43" s="10">
        <v>848</v>
      </c>
      <c r="Q43" s="10">
        <v>5</v>
      </c>
      <c r="R43" s="10">
        <f>[52]STOR951!$D$13</f>
        <v>622</v>
      </c>
      <c r="S43" s="10">
        <f t="shared" ref="S43:S48" si="74">R43-R42</f>
        <v>-42</v>
      </c>
      <c r="T43" s="10"/>
      <c r="U43" s="10"/>
      <c r="V43" s="8">
        <f t="shared" si="21"/>
        <v>-18.428571428571427</v>
      </c>
      <c r="Z43" s="2">
        <v>36126</v>
      </c>
      <c r="AB43" s="6"/>
      <c r="AC43" s="6"/>
      <c r="AD43" s="6">
        <v>1709</v>
      </c>
      <c r="AE43" s="8">
        <v>-42</v>
      </c>
      <c r="AF43" s="6">
        <v>1514</v>
      </c>
      <c r="AG43" s="8">
        <v>-49</v>
      </c>
      <c r="AH43" s="6">
        <v>1548</v>
      </c>
      <c r="AI43" s="8">
        <v>-62</v>
      </c>
      <c r="AJ43" s="6">
        <v>1581</v>
      </c>
      <c r="AK43" s="8">
        <v>-25</v>
      </c>
      <c r="AL43" s="8">
        <v>1719</v>
      </c>
      <c r="AM43" s="8">
        <v>-7</v>
      </c>
      <c r="AN43" s="10">
        <v>1714</v>
      </c>
      <c r="AO43" s="10">
        <v>3</v>
      </c>
      <c r="AP43" s="10">
        <f>[52]STOR951!$D$17</f>
        <v>1552</v>
      </c>
      <c r="AQ43" s="10">
        <f t="shared" ref="AQ43:AQ48" si="75">AP43-AP42</f>
        <v>-91</v>
      </c>
      <c r="AR43" s="10"/>
      <c r="AS43" s="10"/>
      <c r="AT43" s="8">
        <f t="shared" si="29"/>
        <v>-39</v>
      </c>
      <c r="AU43" s="7"/>
      <c r="AV43" s="7"/>
      <c r="AX43" s="2">
        <v>36126</v>
      </c>
      <c r="AZ43" s="6"/>
      <c r="BA43" s="6"/>
      <c r="BB43" s="6">
        <v>400</v>
      </c>
      <c r="BC43" s="8">
        <v>-12</v>
      </c>
      <c r="BD43" s="6">
        <v>420</v>
      </c>
      <c r="BE43" s="8">
        <v>0</v>
      </c>
      <c r="BF43" s="6">
        <v>320</v>
      </c>
      <c r="BG43" s="8">
        <v>-6</v>
      </c>
      <c r="BH43" s="6">
        <v>356</v>
      </c>
      <c r="BI43" s="8">
        <v>-3</v>
      </c>
      <c r="BJ43" s="8">
        <v>452</v>
      </c>
      <c r="BK43" s="8">
        <v>8</v>
      </c>
      <c r="BL43" s="10">
        <v>439</v>
      </c>
      <c r="BM43" s="8">
        <v>-3</v>
      </c>
      <c r="BN43" s="10">
        <f>[52]STOR951!$D$21</f>
        <v>328</v>
      </c>
      <c r="BO43" s="8">
        <f t="shared" ref="BO43:BO48" si="76">BN43-BN42</f>
        <v>-13</v>
      </c>
      <c r="BP43" s="8"/>
      <c r="BQ43" s="8"/>
      <c r="BR43" s="8">
        <f t="shared" si="37"/>
        <v>-0.42857142857142855</v>
      </c>
      <c r="BU43" s="56">
        <f t="shared" ref="BU43:BU61" si="77">B43</f>
        <v>36854</v>
      </c>
      <c r="BV43" s="57"/>
      <c r="BW43" s="58"/>
      <c r="BX43" s="58"/>
      <c r="BY43" s="58">
        <f t="shared" si="59"/>
        <v>2942</v>
      </c>
      <c r="BZ43" s="58">
        <f t="shared" si="60"/>
        <v>-85</v>
      </c>
      <c r="CA43" s="58">
        <f t="shared" si="61"/>
        <v>2664</v>
      </c>
      <c r="CB43" s="58">
        <f t="shared" si="62"/>
        <v>-73</v>
      </c>
      <c r="CC43" s="58">
        <f t="shared" si="63"/>
        <v>2447</v>
      </c>
      <c r="CD43" s="58">
        <f t="shared" si="64"/>
        <v>-104</v>
      </c>
      <c r="CE43" s="58">
        <f t="shared" si="65"/>
        <v>2606</v>
      </c>
      <c r="CF43" s="58">
        <f t="shared" si="66"/>
        <v>-36</v>
      </c>
      <c r="CG43" s="58">
        <f t="shared" si="67"/>
        <v>3077</v>
      </c>
      <c r="CH43" s="58">
        <f t="shared" si="68"/>
        <v>8</v>
      </c>
      <c r="CI43" s="60">
        <f t="shared" si="69"/>
        <v>3001</v>
      </c>
      <c r="CJ43" s="60">
        <f t="shared" si="70"/>
        <v>5</v>
      </c>
      <c r="CK43" s="60">
        <f t="shared" si="71"/>
        <v>2502</v>
      </c>
      <c r="CL43" s="60">
        <f t="shared" si="72"/>
        <v>-146</v>
      </c>
      <c r="CM43" s="60">
        <f t="shared" si="38"/>
        <v>0</v>
      </c>
      <c r="CN43" s="60">
        <f t="shared" si="39"/>
        <v>0</v>
      </c>
      <c r="CO43" s="61">
        <f t="shared" si="40"/>
        <v>-61.571428571428569</v>
      </c>
      <c r="CP43" s="62">
        <f t="shared" si="41"/>
        <v>0</v>
      </c>
      <c r="CQ43" s="15">
        <f t="shared" si="73"/>
        <v>2748.4285714285716</v>
      </c>
      <c r="CR43" s="15">
        <f t="shared" ref="CR43:CR61" si="78">CM43-CQ43</f>
        <v>-2748.4285714285716</v>
      </c>
      <c r="CS43" s="15"/>
      <c r="CW43" s="15">
        <v>8</v>
      </c>
      <c r="CX43" s="28" t="s">
        <v>33</v>
      </c>
      <c r="CY43" s="15">
        <v>-104</v>
      </c>
      <c r="CZ43" s="28" t="s">
        <v>32</v>
      </c>
      <c r="DA43" s="15">
        <f t="shared" si="42"/>
        <v>-61.571428571428569</v>
      </c>
    </row>
    <row r="44" spans="2:105" ht="15" thickBot="1" x14ac:dyDescent="0.25">
      <c r="B44" s="2">
        <v>36861</v>
      </c>
      <c r="D44" s="8"/>
      <c r="E44" s="8"/>
      <c r="F44" s="8">
        <v>822</v>
      </c>
      <c r="G44" s="8">
        <f t="shared" ref="G44:G61" si="79">F44-F43</f>
        <v>-11</v>
      </c>
      <c r="H44" s="8">
        <v>714</v>
      </c>
      <c r="I44" s="8">
        <f t="shared" ref="I44:I61" si="80">H44-H43</f>
        <v>-16</v>
      </c>
      <c r="J44" s="8">
        <v>555</v>
      </c>
      <c r="K44" s="8">
        <f t="shared" ref="K44:M61" si="81">J44-J43</f>
        <v>-24</v>
      </c>
      <c r="L44" s="8">
        <v>644</v>
      </c>
      <c r="M44" s="8">
        <f t="shared" si="81"/>
        <v>-25</v>
      </c>
      <c r="N44" s="8">
        <v>920</v>
      </c>
      <c r="O44" s="8">
        <f t="shared" ref="O44:O51" si="82">N44-N43</f>
        <v>14</v>
      </c>
      <c r="P44" s="10">
        <v>837</v>
      </c>
      <c r="Q44" s="10">
        <v>-11</v>
      </c>
      <c r="R44" s="10">
        <f>[53]STOR951!$D$13</f>
        <v>611</v>
      </c>
      <c r="S44" s="10">
        <f t="shared" si="74"/>
        <v>-11</v>
      </c>
      <c r="T44" s="10"/>
      <c r="U44" s="10"/>
      <c r="V44" s="8">
        <f t="shared" si="21"/>
        <v>-12</v>
      </c>
      <c r="Z44" s="2">
        <v>36133</v>
      </c>
      <c r="AB44" s="6"/>
      <c r="AC44" s="6"/>
      <c r="AD44" s="6">
        <v>1679</v>
      </c>
      <c r="AE44" s="8">
        <f t="shared" ref="AE44:AG61" si="83">AD44-AD43</f>
        <v>-30</v>
      </c>
      <c r="AF44" s="6">
        <v>1464</v>
      </c>
      <c r="AG44" s="8">
        <f t="shared" si="83"/>
        <v>-50</v>
      </c>
      <c r="AH44" s="6">
        <v>1508</v>
      </c>
      <c r="AI44" s="8">
        <f t="shared" ref="AI44:AI61" si="84">AH44-AH43</f>
        <v>-40</v>
      </c>
      <c r="AJ44" s="6">
        <v>1549</v>
      </c>
      <c r="AK44" s="8">
        <f>AJ44-AJ43</f>
        <v>-32</v>
      </c>
      <c r="AL44" s="8">
        <v>1733</v>
      </c>
      <c r="AM44" s="8">
        <f>AL44-AL43</f>
        <v>14</v>
      </c>
      <c r="AN44" s="10">
        <v>1658</v>
      </c>
      <c r="AO44" s="10">
        <v>-56</v>
      </c>
      <c r="AP44" s="10">
        <f>[53]STOR951!$D$17</f>
        <v>1495</v>
      </c>
      <c r="AQ44" s="10">
        <f t="shared" si="75"/>
        <v>-57</v>
      </c>
      <c r="AR44" s="10"/>
      <c r="AS44" s="10"/>
      <c r="AT44" s="8">
        <f t="shared" si="29"/>
        <v>-35.857142857142854</v>
      </c>
      <c r="AU44" s="7"/>
      <c r="AV44" s="7"/>
      <c r="AX44" s="2">
        <v>36133</v>
      </c>
      <c r="AZ44" s="6"/>
      <c r="BA44" s="6"/>
      <c r="BB44" s="6">
        <v>385</v>
      </c>
      <c r="BC44" s="8">
        <f t="shared" ref="BC44:BE61" si="85">BB44-BB43</f>
        <v>-15</v>
      </c>
      <c r="BD44" s="6">
        <v>411</v>
      </c>
      <c r="BE44" s="8">
        <f t="shared" si="85"/>
        <v>-9</v>
      </c>
      <c r="BF44" s="6">
        <v>312</v>
      </c>
      <c r="BG44" s="8">
        <f t="shared" ref="BG44:BG61" si="86">BF44-BF43</f>
        <v>-8</v>
      </c>
      <c r="BH44" s="6">
        <v>344</v>
      </c>
      <c r="BI44" s="8">
        <f t="shared" ref="BI44:BI61" si="87">BH44-BH43</f>
        <v>-12</v>
      </c>
      <c r="BJ44" s="8">
        <v>451</v>
      </c>
      <c r="BK44" s="8">
        <f>BJ44-BJ43</f>
        <v>-1</v>
      </c>
      <c r="BL44" s="10">
        <v>437</v>
      </c>
      <c r="BM44" s="8">
        <v>-2</v>
      </c>
      <c r="BN44" s="10">
        <f>[53]STOR951!$D$21</f>
        <v>323</v>
      </c>
      <c r="BO44" s="8">
        <f t="shared" si="76"/>
        <v>-5</v>
      </c>
      <c r="BP44" s="8"/>
      <c r="BQ44" s="8"/>
      <c r="BR44" s="8">
        <f t="shared" si="37"/>
        <v>-6</v>
      </c>
      <c r="BU44" s="63">
        <f t="shared" si="77"/>
        <v>36861</v>
      </c>
      <c r="BV44" s="64"/>
      <c r="BW44" s="65"/>
      <c r="BX44" s="65"/>
      <c r="BY44" s="65">
        <f t="shared" si="59"/>
        <v>2886</v>
      </c>
      <c r="BZ44" s="65">
        <f t="shared" si="60"/>
        <v>-56</v>
      </c>
      <c r="CA44" s="65">
        <f t="shared" si="61"/>
        <v>2589</v>
      </c>
      <c r="CB44" s="65">
        <f t="shared" si="62"/>
        <v>-75</v>
      </c>
      <c r="CC44" s="65">
        <f t="shared" si="63"/>
        <v>2375</v>
      </c>
      <c r="CD44" s="65">
        <f t="shared" si="64"/>
        <v>-72</v>
      </c>
      <c r="CE44" s="65">
        <f t="shared" si="65"/>
        <v>2537</v>
      </c>
      <c r="CF44" s="65">
        <f t="shared" si="66"/>
        <v>-69</v>
      </c>
      <c r="CG44" s="65">
        <f t="shared" si="67"/>
        <v>3104</v>
      </c>
      <c r="CH44" s="65">
        <f t="shared" si="68"/>
        <v>27</v>
      </c>
      <c r="CI44" s="66">
        <f t="shared" si="69"/>
        <v>2932</v>
      </c>
      <c r="CJ44" s="66">
        <f t="shared" si="70"/>
        <v>-69</v>
      </c>
      <c r="CK44" s="66">
        <f t="shared" si="71"/>
        <v>2429</v>
      </c>
      <c r="CL44" s="66">
        <f t="shared" si="72"/>
        <v>-73</v>
      </c>
      <c r="CM44" s="66">
        <f t="shared" si="38"/>
        <v>0</v>
      </c>
      <c r="CN44" s="66">
        <f t="shared" si="39"/>
        <v>0</v>
      </c>
      <c r="CO44" s="67">
        <f t="shared" si="40"/>
        <v>-55.285714285714285</v>
      </c>
      <c r="CP44" s="68">
        <f t="shared" si="41"/>
        <v>0</v>
      </c>
      <c r="CQ44" s="15">
        <f t="shared" si="73"/>
        <v>2693.1428571428573</v>
      </c>
      <c r="CR44" s="15">
        <f t="shared" si="78"/>
        <v>-2693.1428571428573</v>
      </c>
      <c r="CS44" s="15"/>
      <c r="CW44" s="15">
        <v>27</v>
      </c>
      <c r="CX44" s="28" t="s">
        <v>33</v>
      </c>
      <c r="CY44" s="15">
        <v>-75</v>
      </c>
      <c r="CZ44" s="28" t="s">
        <v>31</v>
      </c>
      <c r="DA44" s="15">
        <f t="shared" si="42"/>
        <v>-55.285714285714285</v>
      </c>
    </row>
    <row r="45" spans="2:105" ht="14.25" x14ac:dyDescent="0.2">
      <c r="B45" s="2">
        <v>36868</v>
      </c>
      <c r="D45" s="8"/>
      <c r="E45" s="8"/>
      <c r="F45" s="8">
        <v>774</v>
      </c>
      <c r="G45" s="8">
        <f t="shared" si="79"/>
        <v>-48</v>
      </c>
      <c r="H45" s="8">
        <v>673</v>
      </c>
      <c r="I45" s="8">
        <f t="shared" si="80"/>
        <v>-41</v>
      </c>
      <c r="J45" s="8">
        <v>550</v>
      </c>
      <c r="K45" s="8">
        <f t="shared" si="81"/>
        <v>-5</v>
      </c>
      <c r="L45" s="8">
        <v>603</v>
      </c>
      <c r="M45" s="8">
        <f t="shared" si="81"/>
        <v>-41</v>
      </c>
      <c r="N45" s="10">
        <v>904</v>
      </c>
      <c r="O45" s="10">
        <f t="shared" si="82"/>
        <v>-16</v>
      </c>
      <c r="P45" s="10">
        <v>815</v>
      </c>
      <c r="Q45" s="10">
        <v>-22</v>
      </c>
      <c r="R45" s="10">
        <f>[54]STOR951!$D$13</f>
        <v>570</v>
      </c>
      <c r="S45" s="10">
        <f t="shared" si="74"/>
        <v>-41</v>
      </c>
      <c r="T45" s="10"/>
      <c r="U45" s="10"/>
      <c r="V45" s="8">
        <f t="shared" si="21"/>
        <v>-30.571428571428573</v>
      </c>
      <c r="Z45" s="2">
        <v>36140</v>
      </c>
      <c r="AB45" s="6"/>
      <c r="AC45" s="6"/>
      <c r="AD45" s="6">
        <v>1590</v>
      </c>
      <c r="AE45" s="8">
        <f t="shared" si="83"/>
        <v>-89</v>
      </c>
      <c r="AF45" s="6">
        <v>1336</v>
      </c>
      <c r="AG45" s="8">
        <f t="shared" si="83"/>
        <v>-128</v>
      </c>
      <c r="AH45" s="6">
        <v>1464</v>
      </c>
      <c r="AI45" s="8">
        <f t="shared" si="84"/>
        <v>-44</v>
      </c>
      <c r="AJ45" s="6">
        <v>1473</v>
      </c>
      <c r="AK45" s="8">
        <f>AJ45-AJ44</f>
        <v>-76</v>
      </c>
      <c r="AL45" s="10">
        <f>[1]STOR951!$D$17</f>
        <v>1714</v>
      </c>
      <c r="AM45" s="10">
        <f>AL45-AL44</f>
        <v>-19</v>
      </c>
      <c r="AN45" s="10">
        <v>1621</v>
      </c>
      <c r="AO45" s="10">
        <v>-37</v>
      </c>
      <c r="AP45" s="10">
        <f>[54]STOR951!$D$17</f>
        <v>1385</v>
      </c>
      <c r="AQ45" s="10">
        <f t="shared" si="75"/>
        <v>-110</v>
      </c>
      <c r="AR45" s="10"/>
      <c r="AS45" s="10"/>
      <c r="AT45" s="8">
        <f t="shared" si="29"/>
        <v>-71.857142857142861</v>
      </c>
      <c r="AU45" s="7"/>
      <c r="AV45" s="7"/>
      <c r="AX45" s="2">
        <v>36140</v>
      </c>
      <c r="AZ45" s="6"/>
      <c r="BA45" s="6"/>
      <c r="BB45" s="6">
        <v>361</v>
      </c>
      <c r="BC45" s="8">
        <f t="shared" si="85"/>
        <v>-24</v>
      </c>
      <c r="BD45" s="6">
        <v>402</v>
      </c>
      <c r="BE45" s="8">
        <f t="shared" si="85"/>
        <v>-9</v>
      </c>
      <c r="BF45" s="6">
        <v>308</v>
      </c>
      <c r="BG45" s="8">
        <f t="shared" si="86"/>
        <v>-4</v>
      </c>
      <c r="BH45" s="6">
        <v>325</v>
      </c>
      <c r="BI45" s="8">
        <f t="shared" si="87"/>
        <v>-19</v>
      </c>
      <c r="BJ45" s="10">
        <f>[1]STOR951!$D$21</f>
        <v>437</v>
      </c>
      <c r="BK45" s="8">
        <f>BJ45-BJ44</f>
        <v>-14</v>
      </c>
      <c r="BL45" s="10">
        <v>423</v>
      </c>
      <c r="BM45" s="8">
        <v>-14</v>
      </c>
      <c r="BN45" s="10">
        <f>[54]STOR951!$D$21</f>
        <v>316</v>
      </c>
      <c r="BO45" s="8">
        <f t="shared" si="76"/>
        <v>-7</v>
      </c>
      <c r="BP45" s="8"/>
      <c r="BQ45" s="8"/>
      <c r="BR45" s="8">
        <f t="shared" si="37"/>
        <v>-11</v>
      </c>
      <c r="BU45" s="48">
        <f t="shared" si="77"/>
        <v>36868</v>
      </c>
      <c r="BV45" s="49"/>
      <c r="BW45" s="51"/>
      <c r="BX45" s="51"/>
      <c r="BY45" s="51">
        <f t="shared" si="59"/>
        <v>2725</v>
      </c>
      <c r="BZ45" s="51">
        <f t="shared" si="60"/>
        <v>-161</v>
      </c>
      <c r="CA45" s="51">
        <f t="shared" si="61"/>
        <v>2411</v>
      </c>
      <c r="CB45" s="51">
        <f t="shared" si="62"/>
        <v>-178</v>
      </c>
      <c r="CC45" s="51">
        <f t="shared" si="63"/>
        <v>2322</v>
      </c>
      <c r="CD45" s="51">
        <f t="shared" si="64"/>
        <v>-53</v>
      </c>
      <c r="CE45" s="51">
        <f t="shared" si="65"/>
        <v>2401</v>
      </c>
      <c r="CF45" s="51">
        <f t="shared" si="66"/>
        <v>-136</v>
      </c>
      <c r="CG45" s="51">
        <f t="shared" si="67"/>
        <v>3055</v>
      </c>
      <c r="CH45" s="51">
        <f t="shared" si="68"/>
        <v>-49</v>
      </c>
      <c r="CI45" s="52">
        <f t="shared" si="69"/>
        <v>2859</v>
      </c>
      <c r="CJ45" s="52">
        <f t="shared" si="70"/>
        <v>-73</v>
      </c>
      <c r="CK45" s="52">
        <f>BN45+AP45+R45</f>
        <v>2271</v>
      </c>
      <c r="CL45" s="52">
        <f>BO45+AQ45+S45</f>
        <v>-158</v>
      </c>
      <c r="CM45" s="52">
        <f t="shared" si="38"/>
        <v>0</v>
      </c>
      <c r="CN45" s="52">
        <f t="shared" si="39"/>
        <v>0</v>
      </c>
      <c r="CO45" s="54">
        <f t="shared" si="40"/>
        <v>-115.42857142857143</v>
      </c>
      <c r="CP45" s="55">
        <f t="shared" si="41"/>
        <v>0</v>
      </c>
      <c r="CQ45" s="15">
        <f t="shared" si="73"/>
        <v>2577.7142857142858</v>
      </c>
      <c r="CR45" s="15">
        <f t="shared" si="78"/>
        <v>-2577.7142857142858</v>
      </c>
      <c r="CS45" s="15"/>
      <c r="DA45" s="15">
        <f t="shared" si="42"/>
        <v>-115.42857142857143</v>
      </c>
    </row>
    <row r="46" spans="2:105" ht="14.25" x14ac:dyDescent="0.2">
      <c r="B46" s="2">
        <v>36875</v>
      </c>
      <c r="D46" s="8"/>
      <c r="E46" s="8"/>
      <c r="F46" s="8">
        <v>749</v>
      </c>
      <c r="G46" s="8">
        <f t="shared" si="79"/>
        <v>-25</v>
      </c>
      <c r="H46" s="8">
        <v>616</v>
      </c>
      <c r="I46" s="8">
        <f t="shared" si="80"/>
        <v>-57</v>
      </c>
      <c r="J46" s="8">
        <v>498</v>
      </c>
      <c r="K46" s="8">
        <f t="shared" si="81"/>
        <v>-52</v>
      </c>
      <c r="L46" s="8">
        <v>563</v>
      </c>
      <c r="M46" s="8">
        <f t="shared" si="81"/>
        <v>-40</v>
      </c>
      <c r="N46" s="10">
        <v>883</v>
      </c>
      <c r="O46" s="10">
        <f t="shared" si="82"/>
        <v>-21</v>
      </c>
      <c r="P46" s="10">
        <v>789</v>
      </c>
      <c r="Q46" s="10">
        <v>-26</v>
      </c>
      <c r="R46" s="10">
        <f>[55]STOR951!$D$13</f>
        <v>524</v>
      </c>
      <c r="S46" s="10">
        <f t="shared" si="74"/>
        <v>-46</v>
      </c>
      <c r="T46" s="10"/>
      <c r="U46" s="10"/>
      <c r="V46" s="8">
        <f t="shared" si="21"/>
        <v>-38.142857142857146</v>
      </c>
      <c r="Z46" s="2">
        <v>36147</v>
      </c>
      <c r="AB46" s="6"/>
      <c r="AC46" s="6"/>
      <c r="AD46" s="6">
        <v>1534</v>
      </c>
      <c r="AE46" s="8">
        <f t="shared" si="83"/>
        <v>-56</v>
      </c>
      <c r="AF46" s="6">
        <v>1251</v>
      </c>
      <c r="AG46" s="8">
        <f t="shared" si="83"/>
        <v>-85</v>
      </c>
      <c r="AH46" s="6">
        <v>1402</v>
      </c>
      <c r="AI46" s="8">
        <f t="shared" si="84"/>
        <v>-62</v>
      </c>
      <c r="AJ46" s="6">
        <v>1407</v>
      </c>
      <c r="AK46" s="8">
        <f>AJ46-AJ45</f>
        <v>-66</v>
      </c>
      <c r="AL46" s="10">
        <f>[2]STOR951!$D$17</f>
        <v>1657</v>
      </c>
      <c r="AM46" s="10">
        <f t="shared" ref="AM46:AM51" si="88">AL46-AL45</f>
        <v>-57</v>
      </c>
      <c r="AN46" s="10">
        <v>1546</v>
      </c>
      <c r="AO46" s="10">
        <v>-75</v>
      </c>
      <c r="AP46" s="10">
        <f>[55]STOR951!$D$17</f>
        <v>1285</v>
      </c>
      <c r="AQ46" s="10">
        <f t="shared" si="75"/>
        <v>-100</v>
      </c>
      <c r="AR46" s="10"/>
      <c r="AS46" s="10"/>
      <c r="AT46" s="8">
        <f t="shared" si="29"/>
        <v>-71.571428571428569</v>
      </c>
      <c r="AU46" s="7"/>
      <c r="AV46" s="7"/>
      <c r="AX46" s="2">
        <v>36147</v>
      </c>
      <c r="AZ46" s="6"/>
      <c r="BA46" s="6"/>
      <c r="BB46" s="6">
        <v>363</v>
      </c>
      <c r="BC46" s="8">
        <f t="shared" si="85"/>
        <v>2</v>
      </c>
      <c r="BD46" s="6">
        <v>390</v>
      </c>
      <c r="BE46" s="8">
        <f t="shared" si="85"/>
        <v>-12</v>
      </c>
      <c r="BF46" s="6">
        <v>292</v>
      </c>
      <c r="BG46" s="8">
        <f t="shared" si="86"/>
        <v>-16</v>
      </c>
      <c r="BH46" s="6">
        <v>296</v>
      </c>
      <c r="BI46" s="8">
        <f t="shared" si="87"/>
        <v>-29</v>
      </c>
      <c r="BJ46" s="10">
        <f>[2]STOR951!$D$21</f>
        <v>430</v>
      </c>
      <c r="BK46" s="8">
        <f t="shared" ref="BK46:BK51" si="89">BJ46-BJ45</f>
        <v>-7</v>
      </c>
      <c r="BL46" s="10">
        <v>408</v>
      </c>
      <c r="BM46" s="8">
        <v>-15</v>
      </c>
      <c r="BN46" s="10">
        <f>[55]STOR951!$D$21</f>
        <v>304</v>
      </c>
      <c r="BO46" s="8">
        <f t="shared" si="76"/>
        <v>-12</v>
      </c>
      <c r="BP46" s="8"/>
      <c r="BQ46" s="8"/>
      <c r="BR46" s="8">
        <f t="shared" si="37"/>
        <v>-9.2857142857142865</v>
      </c>
      <c r="BU46" s="56">
        <f t="shared" si="77"/>
        <v>36875</v>
      </c>
      <c r="BV46" s="57"/>
      <c r="BW46" s="58"/>
      <c r="BX46" s="58"/>
      <c r="BY46" s="58">
        <f t="shared" si="59"/>
        <v>2646</v>
      </c>
      <c r="BZ46" s="58">
        <f t="shared" si="60"/>
        <v>-79</v>
      </c>
      <c r="CA46" s="58">
        <f t="shared" si="61"/>
        <v>2257</v>
      </c>
      <c r="CB46" s="58">
        <f t="shared" si="62"/>
        <v>-154</v>
      </c>
      <c r="CC46" s="58">
        <f t="shared" si="63"/>
        <v>2192</v>
      </c>
      <c r="CD46" s="58">
        <f t="shared" si="64"/>
        <v>-130</v>
      </c>
      <c r="CE46" s="58">
        <f t="shared" si="65"/>
        <v>2266</v>
      </c>
      <c r="CF46" s="58">
        <f t="shared" si="66"/>
        <v>-135</v>
      </c>
      <c r="CG46" s="58">
        <f t="shared" si="67"/>
        <v>2970</v>
      </c>
      <c r="CH46" s="58">
        <f t="shared" si="68"/>
        <v>-85</v>
      </c>
      <c r="CI46" s="60">
        <f t="shared" si="69"/>
        <v>2743</v>
      </c>
      <c r="CJ46" s="60">
        <f t="shared" si="70"/>
        <v>-116</v>
      </c>
      <c r="CK46" s="60">
        <f>BN46+AP46+R46</f>
        <v>2113</v>
      </c>
      <c r="CL46" s="60">
        <f>BO46+AQ46+S46</f>
        <v>-158</v>
      </c>
      <c r="CM46" s="60">
        <f t="shared" si="38"/>
        <v>0</v>
      </c>
      <c r="CN46" s="60">
        <f t="shared" si="39"/>
        <v>0</v>
      </c>
      <c r="CO46" s="61">
        <f t="shared" si="40"/>
        <v>-122.42857142857143</v>
      </c>
      <c r="CP46" s="62">
        <f t="shared" si="41"/>
        <v>0</v>
      </c>
      <c r="CQ46" s="15">
        <f t="shared" si="73"/>
        <v>2455.2857142857142</v>
      </c>
      <c r="CR46" s="15">
        <f t="shared" si="78"/>
        <v>-2455.2857142857142</v>
      </c>
      <c r="CS46" s="15"/>
      <c r="DA46" s="15">
        <f t="shared" si="42"/>
        <v>-122.42857142857143</v>
      </c>
    </row>
    <row r="47" spans="2:105" ht="14.25" x14ac:dyDescent="0.2">
      <c r="B47" s="2">
        <v>36882</v>
      </c>
      <c r="D47" s="8"/>
      <c r="E47" s="8"/>
      <c r="F47" s="8">
        <v>725</v>
      </c>
      <c r="G47" s="8">
        <f t="shared" si="79"/>
        <v>-24</v>
      </c>
      <c r="H47" s="8">
        <v>585</v>
      </c>
      <c r="I47" s="8">
        <f t="shared" si="80"/>
        <v>-31</v>
      </c>
      <c r="J47" s="8">
        <v>468</v>
      </c>
      <c r="K47" s="8">
        <f t="shared" si="81"/>
        <v>-30</v>
      </c>
      <c r="L47" s="8">
        <v>544</v>
      </c>
      <c r="M47" s="8">
        <f t="shared" si="81"/>
        <v>-19</v>
      </c>
      <c r="N47" s="10">
        <v>847</v>
      </c>
      <c r="O47" s="10">
        <f t="shared" si="82"/>
        <v>-36</v>
      </c>
      <c r="P47" s="10">
        <v>740</v>
      </c>
      <c r="Q47" s="10">
        <v>-49</v>
      </c>
      <c r="R47" s="10">
        <f>[56]STOR951!$D$13</f>
        <v>473</v>
      </c>
      <c r="S47" s="10">
        <f t="shared" si="74"/>
        <v>-51</v>
      </c>
      <c r="T47" s="10"/>
      <c r="U47" s="10"/>
      <c r="V47" s="8">
        <f t="shared" si="21"/>
        <v>-34.285714285714285</v>
      </c>
      <c r="Z47" s="2">
        <v>36154</v>
      </c>
      <c r="AB47" s="6"/>
      <c r="AC47" s="6"/>
      <c r="AD47" s="6">
        <v>1488</v>
      </c>
      <c r="AE47" s="8">
        <f t="shared" si="83"/>
        <v>-46</v>
      </c>
      <c r="AF47" s="6">
        <v>1167</v>
      </c>
      <c r="AG47" s="8">
        <f t="shared" si="83"/>
        <v>-84</v>
      </c>
      <c r="AH47" s="6">
        <v>1318</v>
      </c>
      <c r="AI47" s="8">
        <f t="shared" si="84"/>
        <v>-84</v>
      </c>
      <c r="AJ47" s="6">
        <v>1352</v>
      </c>
      <c r="AK47" s="8">
        <f>AJ47-AJ46</f>
        <v>-55</v>
      </c>
      <c r="AL47" s="10">
        <f>[3]STOR951!$D$17</f>
        <v>1564</v>
      </c>
      <c r="AM47" s="10">
        <f t="shared" si="88"/>
        <v>-93</v>
      </c>
      <c r="AN47" s="10">
        <v>1437</v>
      </c>
      <c r="AO47" s="10">
        <v>-109</v>
      </c>
      <c r="AP47" s="10">
        <f>[56]STOR951!$D$17</f>
        <v>1175</v>
      </c>
      <c r="AQ47" s="10">
        <f t="shared" si="75"/>
        <v>-110</v>
      </c>
      <c r="AR47" s="10"/>
      <c r="AS47" s="10"/>
      <c r="AT47" s="8">
        <f t="shared" si="29"/>
        <v>-83</v>
      </c>
      <c r="AU47" s="7"/>
      <c r="AV47" s="7"/>
      <c r="AX47" s="2">
        <v>36154</v>
      </c>
      <c r="AZ47" s="6"/>
      <c r="BA47" s="6"/>
      <c r="BB47" s="6">
        <v>360</v>
      </c>
      <c r="BC47" s="8">
        <f t="shared" si="85"/>
        <v>-3</v>
      </c>
      <c r="BD47" s="6">
        <v>366</v>
      </c>
      <c r="BE47" s="8">
        <f t="shared" si="85"/>
        <v>-24</v>
      </c>
      <c r="BF47" s="6">
        <v>278</v>
      </c>
      <c r="BG47" s="8">
        <f t="shared" si="86"/>
        <v>-14</v>
      </c>
      <c r="BH47" s="6">
        <v>274</v>
      </c>
      <c r="BI47" s="8">
        <f t="shared" si="87"/>
        <v>-22</v>
      </c>
      <c r="BJ47" s="10">
        <f>[3]STOR951!$D$21</f>
        <v>392</v>
      </c>
      <c r="BK47" s="8">
        <f t="shared" si="89"/>
        <v>-38</v>
      </c>
      <c r="BL47" s="10">
        <v>393</v>
      </c>
      <c r="BM47" s="8">
        <v>-15</v>
      </c>
      <c r="BN47" s="10">
        <f>[56]STOR951!$D$21</f>
        <v>290</v>
      </c>
      <c r="BO47" s="8">
        <f t="shared" si="76"/>
        <v>-14</v>
      </c>
      <c r="BP47" s="8"/>
      <c r="BQ47" s="8"/>
      <c r="BR47" s="8">
        <f t="shared" si="37"/>
        <v>-14.571428571428571</v>
      </c>
      <c r="BU47" s="56">
        <f t="shared" si="77"/>
        <v>36882</v>
      </c>
      <c r="BV47" s="57"/>
      <c r="BW47" s="58"/>
      <c r="BX47" s="58"/>
      <c r="BY47" s="58">
        <f t="shared" si="59"/>
        <v>2573</v>
      </c>
      <c r="BZ47" s="58">
        <f t="shared" si="60"/>
        <v>-73</v>
      </c>
      <c r="CA47" s="58">
        <f t="shared" si="61"/>
        <v>2118</v>
      </c>
      <c r="CB47" s="58">
        <f t="shared" si="62"/>
        <v>-139</v>
      </c>
      <c r="CC47" s="58">
        <f t="shared" si="63"/>
        <v>2064</v>
      </c>
      <c r="CD47" s="58">
        <f t="shared" si="64"/>
        <v>-128</v>
      </c>
      <c r="CE47" s="58">
        <f t="shared" si="65"/>
        <v>2170</v>
      </c>
      <c r="CF47" s="58">
        <f t="shared" si="66"/>
        <v>-96</v>
      </c>
      <c r="CG47" s="58">
        <f t="shared" si="67"/>
        <v>2803</v>
      </c>
      <c r="CH47" s="58">
        <f t="shared" si="68"/>
        <v>-167</v>
      </c>
      <c r="CI47" s="60">
        <f t="shared" si="69"/>
        <v>2570</v>
      </c>
      <c r="CJ47" s="60">
        <f t="shared" si="70"/>
        <v>-173</v>
      </c>
      <c r="CK47" s="60">
        <f t="shared" si="71"/>
        <v>1938</v>
      </c>
      <c r="CL47" s="60">
        <f t="shared" si="72"/>
        <v>-175</v>
      </c>
      <c r="CM47" s="60">
        <f t="shared" si="38"/>
        <v>0</v>
      </c>
      <c r="CN47" s="60">
        <f t="shared" si="39"/>
        <v>0</v>
      </c>
      <c r="CO47" s="61">
        <f t="shared" si="40"/>
        <v>-135.85714285714286</v>
      </c>
      <c r="CP47" s="62">
        <f t="shared" si="41"/>
        <v>0</v>
      </c>
      <c r="CQ47" s="15">
        <f t="shared" si="73"/>
        <v>2319.4285714285716</v>
      </c>
      <c r="CR47" s="15">
        <f t="shared" si="78"/>
        <v>-2319.4285714285716</v>
      </c>
      <c r="CS47" s="15"/>
      <c r="DA47" s="15">
        <f t="shared" si="42"/>
        <v>-135.85714285714286</v>
      </c>
    </row>
    <row r="48" spans="2:105" ht="15" thickBot="1" x14ac:dyDescent="0.25">
      <c r="B48" s="2">
        <v>36889</v>
      </c>
      <c r="D48" s="8">
        <v>580</v>
      </c>
      <c r="E48" s="8">
        <v>-51</v>
      </c>
      <c r="F48" s="8">
        <v>672</v>
      </c>
      <c r="G48" s="8">
        <f t="shared" si="79"/>
        <v>-53</v>
      </c>
      <c r="H48" s="8">
        <v>543</v>
      </c>
      <c r="I48" s="8">
        <f t="shared" si="80"/>
        <v>-42</v>
      </c>
      <c r="J48" s="8">
        <v>475</v>
      </c>
      <c r="K48" s="8">
        <f t="shared" si="81"/>
        <v>7</v>
      </c>
      <c r="L48" s="8">
        <v>503</v>
      </c>
      <c r="M48" s="8">
        <f t="shared" si="81"/>
        <v>-41</v>
      </c>
      <c r="N48" s="10">
        <v>791</v>
      </c>
      <c r="O48" s="10">
        <f t="shared" si="82"/>
        <v>-56</v>
      </c>
      <c r="P48" s="10">
        <v>715</v>
      </c>
      <c r="Q48" s="10">
        <v>-25</v>
      </c>
      <c r="R48" s="10">
        <f>[57]STOR951!$D$13</f>
        <v>410</v>
      </c>
      <c r="S48" s="10">
        <f t="shared" si="74"/>
        <v>-63</v>
      </c>
      <c r="T48" s="10"/>
      <c r="U48" s="10"/>
      <c r="V48" s="8">
        <f t="shared" si="21"/>
        <v>-39</v>
      </c>
      <c r="Z48" s="2">
        <v>36161</v>
      </c>
      <c r="AB48" s="6">
        <v>1260</v>
      </c>
      <c r="AC48" s="6">
        <v>-112</v>
      </c>
      <c r="AD48" s="6">
        <v>1376</v>
      </c>
      <c r="AE48" s="8">
        <f t="shared" si="83"/>
        <v>-112</v>
      </c>
      <c r="AF48" s="6">
        <v>1081</v>
      </c>
      <c r="AG48" s="8">
        <f t="shared" si="83"/>
        <v>-86</v>
      </c>
      <c r="AH48" s="6">
        <v>1292</v>
      </c>
      <c r="AI48" s="8">
        <f t="shared" si="84"/>
        <v>-26</v>
      </c>
      <c r="AJ48" s="6">
        <v>1280</v>
      </c>
      <c r="AK48" s="8">
        <v>-79</v>
      </c>
      <c r="AL48" s="10">
        <f>[4]STOR951!$D$17</f>
        <v>1469</v>
      </c>
      <c r="AM48" s="10">
        <f t="shared" si="88"/>
        <v>-95</v>
      </c>
      <c r="AN48" s="10">
        <v>1339</v>
      </c>
      <c r="AO48" s="10">
        <v>-98</v>
      </c>
      <c r="AP48" s="10">
        <f>[57]STOR951!$D$17</f>
        <v>1033</v>
      </c>
      <c r="AQ48" s="10">
        <f t="shared" si="75"/>
        <v>-142</v>
      </c>
      <c r="AR48" s="10"/>
      <c r="AS48" s="10"/>
      <c r="AT48" s="8">
        <f t="shared" si="29"/>
        <v>-91.142857142857139</v>
      </c>
      <c r="AU48" s="7"/>
      <c r="AV48" s="7"/>
      <c r="AX48" s="2">
        <v>36161</v>
      </c>
      <c r="AZ48" s="6">
        <v>363</v>
      </c>
      <c r="BA48" s="8">
        <v>-1</v>
      </c>
      <c r="BB48" s="6">
        <v>333</v>
      </c>
      <c r="BC48" s="8">
        <f t="shared" si="85"/>
        <v>-27</v>
      </c>
      <c r="BD48" s="6">
        <v>356</v>
      </c>
      <c r="BE48" s="8">
        <f t="shared" si="85"/>
        <v>-10</v>
      </c>
      <c r="BF48" s="6">
        <v>282</v>
      </c>
      <c r="BG48" s="8">
        <f t="shared" si="86"/>
        <v>4</v>
      </c>
      <c r="BH48" s="6">
        <v>263</v>
      </c>
      <c r="BI48" s="8">
        <f t="shared" si="87"/>
        <v>-11</v>
      </c>
      <c r="BJ48" s="10">
        <f>[4]STOR951!$D$21</f>
        <v>385</v>
      </c>
      <c r="BK48" s="8">
        <f t="shared" si="89"/>
        <v>-7</v>
      </c>
      <c r="BL48" s="10">
        <v>383</v>
      </c>
      <c r="BM48" s="8">
        <v>-10</v>
      </c>
      <c r="BN48" s="10">
        <f>[57]STOR951!$D$21</f>
        <v>286</v>
      </c>
      <c r="BO48" s="8">
        <f t="shared" si="76"/>
        <v>-4</v>
      </c>
      <c r="BP48" s="8"/>
      <c r="BQ48" s="8"/>
      <c r="BR48" s="8">
        <f t="shared" si="37"/>
        <v>-8.1428571428571423</v>
      </c>
      <c r="BU48" s="63">
        <f t="shared" si="77"/>
        <v>36889</v>
      </c>
      <c r="BV48" s="64"/>
      <c r="BW48" s="65">
        <f t="shared" ref="BW48:BW61" si="90">AZ48+AB48+D48</f>
        <v>2203</v>
      </c>
      <c r="BX48" s="65">
        <f t="shared" ref="BX48:BX61" si="91">BA48+AC48+E48</f>
        <v>-164</v>
      </c>
      <c r="BY48" s="65">
        <f t="shared" si="59"/>
        <v>2381</v>
      </c>
      <c r="BZ48" s="65">
        <f t="shared" si="60"/>
        <v>-192</v>
      </c>
      <c r="CA48" s="65">
        <f t="shared" si="61"/>
        <v>1980</v>
      </c>
      <c r="CB48" s="65">
        <f t="shared" si="62"/>
        <v>-138</v>
      </c>
      <c r="CC48" s="65">
        <f t="shared" si="63"/>
        <v>2049</v>
      </c>
      <c r="CD48" s="65">
        <f t="shared" si="64"/>
        <v>-15</v>
      </c>
      <c r="CE48" s="65">
        <f t="shared" si="65"/>
        <v>2046</v>
      </c>
      <c r="CF48" s="65">
        <f t="shared" si="66"/>
        <v>-131</v>
      </c>
      <c r="CG48" s="65">
        <f t="shared" si="67"/>
        <v>2645</v>
      </c>
      <c r="CH48" s="65">
        <f t="shared" si="68"/>
        <v>-158</v>
      </c>
      <c r="CI48" s="66">
        <f t="shared" si="69"/>
        <v>2437</v>
      </c>
      <c r="CJ48" s="66">
        <f t="shared" si="70"/>
        <v>-133</v>
      </c>
      <c r="CK48" s="66">
        <f t="shared" si="71"/>
        <v>1729</v>
      </c>
      <c r="CL48" s="66">
        <f t="shared" si="72"/>
        <v>-209</v>
      </c>
      <c r="CM48" s="66">
        <f t="shared" si="38"/>
        <v>0</v>
      </c>
      <c r="CN48" s="66">
        <f t="shared" si="39"/>
        <v>0</v>
      </c>
      <c r="CO48" s="67">
        <f t="shared" si="40"/>
        <v>-139.42857142857142</v>
      </c>
      <c r="CP48" s="68">
        <f t="shared" si="41"/>
        <v>0</v>
      </c>
      <c r="CQ48" s="15">
        <f>(CK48+CI48+CG48+CE48+CC48+CA48+BY48+BW48)/8</f>
        <v>2183.75</v>
      </c>
      <c r="CR48" s="15">
        <f t="shared" si="78"/>
        <v>-2183.75</v>
      </c>
      <c r="CS48" s="15"/>
      <c r="DA48" s="15">
        <f t="shared" si="42"/>
        <v>-139.42857142857142</v>
      </c>
    </row>
    <row r="49" spans="1:105" ht="14.25" x14ac:dyDescent="0.2">
      <c r="B49" s="2">
        <v>36896</v>
      </c>
      <c r="D49" s="8">
        <v>540</v>
      </c>
      <c r="E49" s="8">
        <f t="shared" ref="E49:E61" si="92">D49-D48</f>
        <v>-40</v>
      </c>
      <c r="F49" s="8">
        <v>642</v>
      </c>
      <c r="G49" s="8">
        <f t="shared" si="79"/>
        <v>-30</v>
      </c>
      <c r="H49" s="8">
        <v>484</v>
      </c>
      <c r="I49" s="8">
        <f t="shared" si="80"/>
        <v>-59</v>
      </c>
      <c r="J49" s="8">
        <v>440</v>
      </c>
      <c r="K49" s="8">
        <f t="shared" si="81"/>
        <v>-35</v>
      </c>
      <c r="L49" s="8">
        <v>493</v>
      </c>
      <c r="M49" s="8">
        <f t="shared" si="81"/>
        <v>-10</v>
      </c>
      <c r="N49" s="10">
        <v>727</v>
      </c>
      <c r="O49" s="10">
        <f t="shared" si="82"/>
        <v>-64</v>
      </c>
      <c r="P49" s="10">
        <v>680</v>
      </c>
      <c r="Q49" s="10">
        <v>-35</v>
      </c>
      <c r="R49" s="10">
        <f>[58]STOR951!$D$13</f>
        <v>350</v>
      </c>
      <c r="S49" s="10">
        <f t="shared" ref="S49:S54" si="93">R49-R48</f>
        <v>-60</v>
      </c>
      <c r="T49" s="10"/>
      <c r="U49" s="10"/>
      <c r="V49" s="8">
        <f t="shared" si="21"/>
        <v>-41.857142857142854</v>
      </c>
      <c r="Z49" s="2">
        <v>36168</v>
      </c>
      <c r="AB49" s="6">
        <v>1125</v>
      </c>
      <c r="AC49" s="8">
        <f t="shared" ref="AC49:AC61" si="94">AB49-AB48</f>
        <v>-135</v>
      </c>
      <c r="AD49" s="6">
        <v>1291</v>
      </c>
      <c r="AE49" s="8">
        <f t="shared" si="83"/>
        <v>-85</v>
      </c>
      <c r="AF49" s="6">
        <v>954</v>
      </c>
      <c r="AG49" s="8">
        <f t="shared" si="83"/>
        <v>-127</v>
      </c>
      <c r="AH49" s="6">
        <v>1217</v>
      </c>
      <c r="AI49" s="8">
        <f t="shared" si="84"/>
        <v>-75</v>
      </c>
      <c r="AJ49" s="6">
        <v>1256</v>
      </c>
      <c r="AK49" s="8">
        <v>-17</v>
      </c>
      <c r="AL49" s="10">
        <f>[5]STOR951!$D$17</f>
        <v>1317</v>
      </c>
      <c r="AM49" s="10">
        <f t="shared" si="88"/>
        <v>-152</v>
      </c>
      <c r="AN49" s="10">
        <v>1286</v>
      </c>
      <c r="AO49" s="10">
        <v>-53</v>
      </c>
      <c r="AP49" s="10">
        <f>[58]STOR951!$D$17</f>
        <v>935</v>
      </c>
      <c r="AQ49" s="10">
        <f t="shared" ref="AQ49:AQ54" si="95">AP49-AP48</f>
        <v>-98</v>
      </c>
      <c r="AR49" s="10"/>
      <c r="AS49" s="10"/>
      <c r="AT49" s="8">
        <f t="shared" si="29"/>
        <v>-86.714285714285708</v>
      </c>
      <c r="AU49" s="7"/>
      <c r="AV49" s="7"/>
      <c r="AX49" s="2">
        <v>36168</v>
      </c>
      <c r="AZ49" s="6">
        <v>348</v>
      </c>
      <c r="BA49" s="8">
        <f t="shared" ref="BA49:BA61" si="96">AZ49-AZ48</f>
        <v>-15</v>
      </c>
      <c r="BB49" s="6">
        <v>330</v>
      </c>
      <c r="BC49" s="8">
        <f t="shared" si="85"/>
        <v>-3</v>
      </c>
      <c r="BD49" s="6">
        <v>345</v>
      </c>
      <c r="BE49" s="8">
        <f t="shared" si="85"/>
        <v>-11</v>
      </c>
      <c r="BF49" s="6">
        <v>265</v>
      </c>
      <c r="BG49" s="8">
        <f t="shared" si="86"/>
        <v>-17</v>
      </c>
      <c r="BH49" s="6">
        <v>247</v>
      </c>
      <c r="BI49" s="8">
        <f t="shared" si="87"/>
        <v>-16</v>
      </c>
      <c r="BJ49" s="10">
        <f>[5]STOR951!$D$21</f>
        <v>368</v>
      </c>
      <c r="BK49" s="8">
        <f t="shared" si="89"/>
        <v>-17</v>
      </c>
      <c r="BL49" s="10">
        <v>356</v>
      </c>
      <c r="BM49" s="8">
        <v>-27</v>
      </c>
      <c r="BN49" s="10">
        <f>[58]STOR951!$D$21</f>
        <v>277</v>
      </c>
      <c r="BO49" s="8">
        <f t="shared" ref="BO49:BO54" si="97">BN49-BN48</f>
        <v>-9</v>
      </c>
      <c r="BP49" s="8"/>
      <c r="BQ49" s="8"/>
      <c r="BR49" s="8">
        <f t="shared" si="37"/>
        <v>-11.714285714285714</v>
      </c>
      <c r="BU49" s="48">
        <f t="shared" si="77"/>
        <v>36896</v>
      </c>
      <c r="BV49" s="49"/>
      <c r="BW49" s="51">
        <f t="shared" si="90"/>
        <v>2013</v>
      </c>
      <c r="BX49" s="51">
        <f t="shared" si="91"/>
        <v>-190</v>
      </c>
      <c r="BY49" s="51">
        <f t="shared" si="59"/>
        <v>2263</v>
      </c>
      <c r="BZ49" s="51">
        <f t="shared" si="60"/>
        <v>-118</v>
      </c>
      <c r="CA49" s="51">
        <f t="shared" si="61"/>
        <v>1783</v>
      </c>
      <c r="CB49" s="51">
        <f t="shared" si="62"/>
        <v>-197</v>
      </c>
      <c r="CC49" s="51">
        <f t="shared" si="63"/>
        <v>1922</v>
      </c>
      <c r="CD49" s="51">
        <f t="shared" si="64"/>
        <v>-127</v>
      </c>
      <c r="CE49" s="51">
        <f t="shared" si="65"/>
        <v>1996</v>
      </c>
      <c r="CF49" s="51">
        <f t="shared" si="66"/>
        <v>-43</v>
      </c>
      <c r="CG49" s="51">
        <f t="shared" si="67"/>
        <v>2412</v>
      </c>
      <c r="CH49" s="51">
        <f t="shared" si="68"/>
        <v>-233</v>
      </c>
      <c r="CI49" s="52">
        <f t="shared" si="69"/>
        <v>2322</v>
      </c>
      <c r="CJ49" s="52">
        <f t="shared" si="70"/>
        <v>-115</v>
      </c>
      <c r="CK49" s="52">
        <f t="shared" si="71"/>
        <v>1562</v>
      </c>
      <c r="CL49" s="52">
        <f t="shared" si="72"/>
        <v>-167</v>
      </c>
      <c r="CM49" s="52">
        <f t="shared" si="38"/>
        <v>0</v>
      </c>
      <c r="CN49" s="52">
        <f t="shared" si="39"/>
        <v>0</v>
      </c>
      <c r="CO49" s="54">
        <f t="shared" si="40"/>
        <v>-142.85714285714286</v>
      </c>
      <c r="CP49" s="55">
        <f t="shared" si="41"/>
        <v>0</v>
      </c>
      <c r="CQ49" s="15">
        <f t="shared" ref="CQ49:CQ61" si="98">(CK49+CI49+CG49+CE49+CC49+CA49+BY49+BW49)/8</f>
        <v>2034.125</v>
      </c>
      <c r="CR49" s="15">
        <f t="shared" si="78"/>
        <v>-2034.125</v>
      </c>
      <c r="CS49" s="15"/>
      <c r="DA49" s="15">
        <f t="shared" si="42"/>
        <v>-142.85714285714286</v>
      </c>
    </row>
    <row r="50" spans="1:105" ht="13.5" customHeight="1" x14ac:dyDescent="0.2">
      <c r="B50" s="2">
        <v>36903</v>
      </c>
      <c r="D50" s="8">
        <v>464</v>
      </c>
      <c r="E50" s="8">
        <f t="shared" si="92"/>
        <v>-76</v>
      </c>
      <c r="F50" s="8">
        <v>615</v>
      </c>
      <c r="G50" s="8">
        <f t="shared" si="79"/>
        <v>-27</v>
      </c>
      <c r="H50" s="8">
        <v>455</v>
      </c>
      <c r="I50" s="8">
        <f t="shared" si="80"/>
        <v>-29</v>
      </c>
      <c r="J50" s="8">
        <v>357</v>
      </c>
      <c r="K50" s="8">
        <f t="shared" si="81"/>
        <v>-83</v>
      </c>
      <c r="L50" s="8">
        <v>451</v>
      </c>
      <c r="M50" s="8">
        <f t="shared" si="81"/>
        <v>-42</v>
      </c>
      <c r="N50" s="10">
        <v>671</v>
      </c>
      <c r="O50" s="10">
        <f t="shared" si="82"/>
        <v>-56</v>
      </c>
      <c r="P50" s="10">
        <v>665</v>
      </c>
      <c r="Q50" s="10">
        <v>-15</v>
      </c>
      <c r="R50" s="10">
        <f>[59]STOR951!$D$13</f>
        <v>323</v>
      </c>
      <c r="S50" s="10">
        <f t="shared" si="93"/>
        <v>-27</v>
      </c>
      <c r="T50" s="10"/>
      <c r="U50" s="10"/>
      <c r="V50" s="8">
        <f t="shared" si="21"/>
        <v>-39.857142857142854</v>
      </c>
      <c r="Z50" s="2">
        <v>36175</v>
      </c>
      <c r="AB50" s="6">
        <v>962</v>
      </c>
      <c r="AC50" s="8">
        <f t="shared" si="94"/>
        <v>-163</v>
      </c>
      <c r="AD50" s="6">
        <v>1263</v>
      </c>
      <c r="AE50" s="8">
        <f t="shared" si="83"/>
        <v>-28</v>
      </c>
      <c r="AF50" s="6">
        <v>893</v>
      </c>
      <c r="AG50" s="8">
        <f t="shared" si="83"/>
        <v>-61</v>
      </c>
      <c r="AH50" s="6">
        <v>1066</v>
      </c>
      <c r="AI50" s="8">
        <f t="shared" si="84"/>
        <v>-151</v>
      </c>
      <c r="AJ50" s="6">
        <v>1157</v>
      </c>
      <c r="AK50" s="8">
        <f t="shared" ref="AK50:AK61" si="99">AJ50-AJ49</f>
        <v>-99</v>
      </c>
      <c r="AL50" s="10">
        <f>[6]STOR951!$D$17</f>
        <v>1182</v>
      </c>
      <c r="AM50" s="10">
        <f t="shared" si="88"/>
        <v>-135</v>
      </c>
      <c r="AN50" s="10">
        <v>1200</v>
      </c>
      <c r="AO50" s="10">
        <v>-86</v>
      </c>
      <c r="AP50" s="10">
        <f>[59]STOR951!$D$17</f>
        <v>872</v>
      </c>
      <c r="AQ50" s="10">
        <f t="shared" si="95"/>
        <v>-63</v>
      </c>
      <c r="AR50" s="10"/>
      <c r="AS50" s="10"/>
      <c r="AT50" s="8">
        <f t="shared" si="29"/>
        <v>-89</v>
      </c>
      <c r="AU50" s="7"/>
      <c r="AV50" s="7"/>
      <c r="AX50" s="2">
        <v>36175</v>
      </c>
      <c r="AZ50" s="6">
        <v>334</v>
      </c>
      <c r="BA50" s="8">
        <f t="shared" si="96"/>
        <v>-14</v>
      </c>
      <c r="BB50" s="6">
        <v>317</v>
      </c>
      <c r="BC50" s="8">
        <f t="shared" si="85"/>
        <v>-13</v>
      </c>
      <c r="BD50" s="6">
        <v>330</v>
      </c>
      <c r="BE50" s="8">
        <f t="shared" si="85"/>
        <v>-15</v>
      </c>
      <c r="BF50" s="6">
        <v>237</v>
      </c>
      <c r="BG50" s="8">
        <f t="shared" si="86"/>
        <v>-28</v>
      </c>
      <c r="BH50" s="6">
        <v>229</v>
      </c>
      <c r="BI50" s="8">
        <f t="shared" si="87"/>
        <v>-18</v>
      </c>
      <c r="BJ50" s="10">
        <f>[6]STOR951!$D$21</f>
        <v>356</v>
      </c>
      <c r="BK50" s="8">
        <f t="shared" si="89"/>
        <v>-12</v>
      </c>
      <c r="BL50" s="10">
        <v>347</v>
      </c>
      <c r="BM50" s="8">
        <v>-9</v>
      </c>
      <c r="BN50" s="10">
        <f>[59]STOR951!$D$21</f>
        <v>264</v>
      </c>
      <c r="BO50" s="8">
        <f t="shared" si="97"/>
        <v>-13</v>
      </c>
      <c r="BP50" s="8"/>
      <c r="BQ50" s="8"/>
      <c r="BR50" s="8">
        <f t="shared" si="37"/>
        <v>-11.714285714285714</v>
      </c>
      <c r="BU50" s="56">
        <f t="shared" si="77"/>
        <v>36903</v>
      </c>
      <c r="BV50" s="57"/>
      <c r="BW50" s="58">
        <f t="shared" si="90"/>
        <v>1760</v>
      </c>
      <c r="BX50" s="58">
        <f t="shared" si="91"/>
        <v>-253</v>
      </c>
      <c r="BY50" s="58">
        <f t="shared" si="59"/>
        <v>2195</v>
      </c>
      <c r="BZ50" s="58">
        <f t="shared" si="60"/>
        <v>-68</v>
      </c>
      <c r="CA50" s="58">
        <f t="shared" si="61"/>
        <v>1678</v>
      </c>
      <c r="CB50" s="58">
        <f t="shared" si="62"/>
        <v>-105</v>
      </c>
      <c r="CC50" s="58">
        <f t="shared" si="63"/>
        <v>1660</v>
      </c>
      <c r="CD50" s="58">
        <f t="shared" si="64"/>
        <v>-262</v>
      </c>
      <c r="CE50" s="58">
        <f t="shared" si="65"/>
        <v>1837</v>
      </c>
      <c r="CF50" s="58">
        <f t="shared" si="66"/>
        <v>-159</v>
      </c>
      <c r="CG50" s="58">
        <f t="shared" si="67"/>
        <v>2209</v>
      </c>
      <c r="CH50" s="58">
        <f t="shared" si="68"/>
        <v>-203</v>
      </c>
      <c r="CI50" s="60">
        <f t="shared" si="69"/>
        <v>2212</v>
      </c>
      <c r="CJ50" s="60">
        <f t="shared" si="70"/>
        <v>-110</v>
      </c>
      <c r="CK50" s="60">
        <f t="shared" si="71"/>
        <v>1459</v>
      </c>
      <c r="CL50" s="60">
        <f t="shared" si="72"/>
        <v>-103</v>
      </c>
      <c r="CM50" s="60">
        <f t="shared" si="38"/>
        <v>0</v>
      </c>
      <c r="CN50" s="60">
        <f t="shared" si="39"/>
        <v>0</v>
      </c>
      <c r="CO50" s="61">
        <f t="shared" si="40"/>
        <v>-144.28571428571428</v>
      </c>
      <c r="CP50" s="62">
        <f t="shared" si="41"/>
        <v>0</v>
      </c>
      <c r="CQ50" s="15">
        <f t="shared" si="98"/>
        <v>1876.25</v>
      </c>
      <c r="CR50" s="15">
        <f t="shared" si="78"/>
        <v>-1876.25</v>
      </c>
      <c r="CS50" s="15"/>
      <c r="DA50" s="15">
        <f t="shared" si="42"/>
        <v>-144.28571428571428</v>
      </c>
    </row>
    <row r="51" spans="1:105" ht="13.5" customHeight="1" x14ac:dyDescent="0.2">
      <c r="B51" s="2">
        <v>36910</v>
      </c>
      <c r="D51" s="8">
        <v>430</v>
      </c>
      <c r="E51" s="8">
        <f t="shared" si="92"/>
        <v>-34</v>
      </c>
      <c r="F51" s="8">
        <v>580</v>
      </c>
      <c r="G51" s="8">
        <f t="shared" si="79"/>
        <v>-35</v>
      </c>
      <c r="H51" s="8">
        <v>407</v>
      </c>
      <c r="I51" s="8">
        <f t="shared" si="80"/>
        <v>-48</v>
      </c>
      <c r="J51" s="8">
        <v>334</v>
      </c>
      <c r="K51" s="8">
        <f t="shared" si="81"/>
        <v>-23</v>
      </c>
      <c r="L51" s="8">
        <v>419</v>
      </c>
      <c r="M51" s="8">
        <f t="shared" si="81"/>
        <v>-32</v>
      </c>
      <c r="N51" s="10">
        <v>652</v>
      </c>
      <c r="O51" s="10">
        <f t="shared" si="82"/>
        <v>-19</v>
      </c>
      <c r="P51" s="10">
        <v>616</v>
      </c>
      <c r="Q51" s="10">
        <v>-49</v>
      </c>
      <c r="R51" s="10">
        <f>[60]STOR951!$D$13</f>
        <v>312</v>
      </c>
      <c r="S51" s="10">
        <f t="shared" si="93"/>
        <v>-11</v>
      </c>
      <c r="T51" s="10"/>
      <c r="U51" s="10"/>
      <c r="V51" s="8">
        <f t="shared" si="21"/>
        <v>-31</v>
      </c>
      <c r="Z51" s="2">
        <v>36182</v>
      </c>
      <c r="AB51" s="6">
        <v>874</v>
      </c>
      <c r="AC51" s="8">
        <f t="shared" si="94"/>
        <v>-88</v>
      </c>
      <c r="AD51" s="6">
        <v>1149</v>
      </c>
      <c r="AE51" s="8">
        <f t="shared" si="83"/>
        <v>-114</v>
      </c>
      <c r="AF51" s="6">
        <v>807</v>
      </c>
      <c r="AG51" s="8">
        <f t="shared" si="83"/>
        <v>-86</v>
      </c>
      <c r="AH51" s="6">
        <v>954</v>
      </c>
      <c r="AI51" s="8">
        <f t="shared" si="84"/>
        <v>-112</v>
      </c>
      <c r="AJ51" s="6">
        <v>1061</v>
      </c>
      <c r="AK51" s="8">
        <f t="shared" si="99"/>
        <v>-96</v>
      </c>
      <c r="AL51" s="10">
        <f>[7]STOR951!$D$17</f>
        <v>1115</v>
      </c>
      <c r="AM51" s="10">
        <f t="shared" si="88"/>
        <v>-67</v>
      </c>
      <c r="AN51" s="10">
        <v>1064</v>
      </c>
      <c r="AO51" s="10">
        <v>-136</v>
      </c>
      <c r="AP51" s="10">
        <f>[60]STOR951!$D$17</f>
        <v>816</v>
      </c>
      <c r="AQ51" s="10">
        <f t="shared" si="95"/>
        <v>-56</v>
      </c>
      <c r="AR51" s="10"/>
      <c r="AS51" s="10"/>
      <c r="AT51" s="8">
        <f t="shared" si="29"/>
        <v>-95.285714285714292</v>
      </c>
      <c r="AU51" s="7"/>
      <c r="AV51" s="7"/>
      <c r="AX51" s="2">
        <v>36182</v>
      </c>
      <c r="AZ51" s="6">
        <v>321</v>
      </c>
      <c r="BA51" s="8">
        <f t="shared" si="96"/>
        <v>-13</v>
      </c>
      <c r="BB51" s="6">
        <v>304</v>
      </c>
      <c r="BC51" s="8">
        <f t="shared" si="85"/>
        <v>-13</v>
      </c>
      <c r="BD51" s="6">
        <v>303</v>
      </c>
      <c r="BE51" s="8">
        <f t="shared" si="85"/>
        <v>-27</v>
      </c>
      <c r="BF51" s="6">
        <v>222</v>
      </c>
      <c r="BG51" s="8">
        <f t="shared" si="86"/>
        <v>-15</v>
      </c>
      <c r="BH51" s="6">
        <v>221</v>
      </c>
      <c r="BI51" s="8">
        <f t="shared" si="87"/>
        <v>-8</v>
      </c>
      <c r="BJ51" s="10">
        <f>[7]STOR951!$D$21</f>
        <v>350</v>
      </c>
      <c r="BK51" s="8">
        <f t="shared" si="89"/>
        <v>-6</v>
      </c>
      <c r="BL51" s="10">
        <v>337</v>
      </c>
      <c r="BM51" s="8">
        <v>-10</v>
      </c>
      <c r="BN51" s="10">
        <f>[60]STOR951!$D$21</f>
        <v>241</v>
      </c>
      <c r="BO51" s="8">
        <f t="shared" si="97"/>
        <v>-23</v>
      </c>
      <c r="BP51" s="8"/>
      <c r="BQ51" s="8"/>
      <c r="BR51" s="8">
        <f t="shared" si="37"/>
        <v>-8</v>
      </c>
      <c r="BU51" s="56">
        <f t="shared" si="77"/>
        <v>36910</v>
      </c>
      <c r="BV51" s="57"/>
      <c r="BW51" s="58">
        <f t="shared" si="90"/>
        <v>1625</v>
      </c>
      <c r="BX51" s="58">
        <f t="shared" si="91"/>
        <v>-135</v>
      </c>
      <c r="BY51" s="58">
        <f t="shared" si="59"/>
        <v>2033</v>
      </c>
      <c r="BZ51" s="58">
        <f t="shared" si="60"/>
        <v>-162</v>
      </c>
      <c r="CA51" s="58">
        <f t="shared" si="61"/>
        <v>1517</v>
      </c>
      <c r="CB51" s="58">
        <f t="shared" si="62"/>
        <v>-161</v>
      </c>
      <c r="CC51" s="58">
        <f t="shared" si="63"/>
        <v>1510</v>
      </c>
      <c r="CD51" s="58">
        <f t="shared" si="64"/>
        <v>-150</v>
      </c>
      <c r="CE51" s="58">
        <f t="shared" si="65"/>
        <v>1701</v>
      </c>
      <c r="CF51" s="58">
        <f t="shared" si="66"/>
        <v>-136</v>
      </c>
      <c r="CG51" s="58">
        <f t="shared" si="67"/>
        <v>2117</v>
      </c>
      <c r="CH51" s="58">
        <f t="shared" si="68"/>
        <v>-92</v>
      </c>
      <c r="CI51" s="60">
        <f t="shared" si="69"/>
        <v>2017</v>
      </c>
      <c r="CJ51" s="60">
        <f t="shared" si="70"/>
        <v>-195</v>
      </c>
      <c r="CK51" s="60">
        <f t="shared" si="71"/>
        <v>1369</v>
      </c>
      <c r="CL51" s="60">
        <f t="shared" si="72"/>
        <v>-90</v>
      </c>
      <c r="CM51" s="60">
        <f t="shared" si="38"/>
        <v>0</v>
      </c>
      <c r="CN51" s="60">
        <f t="shared" si="39"/>
        <v>0</v>
      </c>
      <c r="CO51" s="61">
        <f t="shared" si="40"/>
        <v>-140.85714285714286</v>
      </c>
      <c r="CP51" s="62">
        <f t="shared" si="41"/>
        <v>0</v>
      </c>
      <c r="CQ51" s="15">
        <f t="shared" si="98"/>
        <v>1736.125</v>
      </c>
      <c r="CR51" s="15">
        <f t="shared" si="78"/>
        <v>-1736.125</v>
      </c>
      <c r="CS51" s="15"/>
      <c r="DA51" s="15">
        <f t="shared" si="42"/>
        <v>-140.85714285714286</v>
      </c>
    </row>
    <row r="52" spans="1:105" ht="13.5" customHeight="1" x14ac:dyDescent="0.2">
      <c r="B52" s="2">
        <v>36917</v>
      </c>
      <c r="D52" s="8">
        <v>375</v>
      </c>
      <c r="E52" s="8">
        <f t="shared" si="92"/>
        <v>-55</v>
      </c>
      <c r="F52" s="8">
        <v>540</v>
      </c>
      <c r="G52" s="8">
        <f t="shared" si="79"/>
        <v>-40</v>
      </c>
      <c r="H52" s="8">
        <v>353</v>
      </c>
      <c r="I52" s="8">
        <f t="shared" si="80"/>
        <v>-54</v>
      </c>
      <c r="J52" s="8">
        <v>298</v>
      </c>
      <c r="K52" s="8">
        <f t="shared" si="81"/>
        <v>-36</v>
      </c>
      <c r="L52" s="8">
        <v>399</v>
      </c>
      <c r="M52" s="8">
        <f t="shared" si="81"/>
        <v>-20</v>
      </c>
      <c r="N52" s="10">
        <v>638</v>
      </c>
      <c r="O52" s="10">
        <f t="shared" ref="O52:O57" si="100">N52-N51</f>
        <v>-14</v>
      </c>
      <c r="P52" s="10">
        <v>548</v>
      </c>
      <c r="Q52" s="10">
        <v>-68</v>
      </c>
      <c r="R52" s="10">
        <f>[61]STOR951!$D$13</f>
        <v>296</v>
      </c>
      <c r="S52" s="10">
        <f t="shared" si="93"/>
        <v>-16</v>
      </c>
      <c r="T52" s="10"/>
      <c r="U52" s="10"/>
      <c r="V52" s="8">
        <f t="shared" si="21"/>
        <v>-35.428571428571431</v>
      </c>
      <c r="Z52" s="2">
        <v>36189</v>
      </c>
      <c r="AB52" s="6">
        <v>750</v>
      </c>
      <c r="AC52" s="8">
        <f t="shared" si="94"/>
        <v>-124</v>
      </c>
      <c r="AD52" s="6">
        <v>1051</v>
      </c>
      <c r="AE52" s="8">
        <f t="shared" si="83"/>
        <v>-98</v>
      </c>
      <c r="AF52" s="6">
        <v>680</v>
      </c>
      <c r="AG52" s="8">
        <f t="shared" si="83"/>
        <v>-127</v>
      </c>
      <c r="AH52" s="6">
        <v>838</v>
      </c>
      <c r="AI52" s="8">
        <f t="shared" si="84"/>
        <v>-116</v>
      </c>
      <c r="AJ52" s="6">
        <v>985</v>
      </c>
      <c r="AK52" s="8">
        <f t="shared" si="99"/>
        <v>-76</v>
      </c>
      <c r="AL52" s="10">
        <f>[8]STOR951!$D$17</f>
        <v>1069</v>
      </c>
      <c r="AM52" s="10">
        <f t="shared" ref="AM52:AM57" si="101">AL52-AL51</f>
        <v>-46</v>
      </c>
      <c r="AN52" s="10">
        <v>906</v>
      </c>
      <c r="AO52" s="10">
        <v>-158</v>
      </c>
      <c r="AP52" s="10">
        <f>[61]STOR951!$D$17</f>
        <v>723</v>
      </c>
      <c r="AQ52" s="10">
        <f t="shared" si="95"/>
        <v>-93</v>
      </c>
      <c r="AR52" s="10"/>
      <c r="AS52" s="10"/>
      <c r="AT52" s="8">
        <f t="shared" si="29"/>
        <v>-102</v>
      </c>
      <c r="AU52" s="7"/>
      <c r="AV52" s="7"/>
      <c r="AX52" s="2">
        <v>36189</v>
      </c>
      <c r="AZ52" s="6">
        <v>296</v>
      </c>
      <c r="BA52" s="8">
        <f t="shared" si="96"/>
        <v>-25</v>
      </c>
      <c r="BB52" s="6">
        <v>302</v>
      </c>
      <c r="BC52" s="8">
        <f t="shared" si="85"/>
        <v>-2</v>
      </c>
      <c r="BD52" s="6">
        <v>271</v>
      </c>
      <c r="BE52" s="8">
        <f t="shared" si="85"/>
        <v>-32</v>
      </c>
      <c r="BF52" s="6">
        <v>213</v>
      </c>
      <c r="BG52" s="8">
        <f t="shared" si="86"/>
        <v>-9</v>
      </c>
      <c r="BH52" s="6">
        <v>215</v>
      </c>
      <c r="BI52" s="8">
        <f t="shared" si="87"/>
        <v>-6</v>
      </c>
      <c r="BJ52" s="10">
        <f>[8]STOR951!$D$21</f>
        <v>332</v>
      </c>
      <c r="BK52" s="8">
        <f t="shared" ref="BK52:BK57" si="102">BJ52-BJ51</f>
        <v>-18</v>
      </c>
      <c r="BL52" s="10">
        <v>321</v>
      </c>
      <c r="BM52" s="8">
        <v>-16</v>
      </c>
      <c r="BN52" s="10">
        <f>[61]STOR951!$D$21</f>
        <v>222</v>
      </c>
      <c r="BO52" s="8">
        <f t="shared" si="97"/>
        <v>-19</v>
      </c>
      <c r="BP52" s="8"/>
      <c r="BQ52" s="8"/>
      <c r="BR52" s="8">
        <f t="shared" si="37"/>
        <v>-9.1428571428571423</v>
      </c>
      <c r="BU52" s="56">
        <f t="shared" si="77"/>
        <v>36917</v>
      </c>
      <c r="BV52" s="57"/>
      <c r="BW52" s="58">
        <f t="shared" si="90"/>
        <v>1421</v>
      </c>
      <c r="BX52" s="58">
        <f t="shared" si="91"/>
        <v>-204</v>
      </c>
      <c r="BY52" s="58">
        <f t="shared" si="59"/>
        <v>1893</v>
      </c>
      <c r="BZ52" s="58">
        <f t="shared" si="60"/>
        <v>-140</v>
      </c>
      <c r="CA52" s="58">
        <f t="shared" si="61"/>
        <v>1304</v>
      </c>
      <c r="CB52" s="58">
        <f t="shared" si="62"/>
        <v>-213</v>
      </c>
      <c r="CC52" s="58">
        <f t="shared" si="63"/>
        <v>1349</v>
      </c>
      <c r="CD52" s="58">
        <f t="shared" si="64"/>
        <v>-161</v>
      </c>
      <c r="CE52" s="58">
        <f t="shared" si="65"/>
        <v>1599</v>
      </c>
      <c r="CF52" s="58">
        <f t="shared" si="66"/>
        <v>-102</v>
      </c>
      <c r="CG52" s="58">
        <f t="shared" si="67"/>
        <v>2039</v>
      </c>
      <c r="CH52" s="58">
        <f t="shared" si="68"/>
        <v>-78</v>
      </c>
      <c r="CI52" s="60">
        <f t="shared" si="69"/>
        <v>1775</v>
      </c>
      <c r="CJ52" s="60">
        <f t="shared" si="70"/>
        <v>-242</v>
      </c>
      <c r="CK52" s="60">
        <f t="shared" si="71"/>
        <v>1241</v>
      </c>
      <c r="CL52" s="60">
        <f t="shared" si="72"/>
        <v>-128</v>
      </c>
      <c r="CM52" s="60">
        <f t="shared" si="38"/>
        <v>0</v>
      </c>
      <c r="CN52" s="60">
        <f t="shared" si="39"/>
        <v>0</v>
      </c>
      <c r="CO52" s="61">
        <f t="shared" si="40"/>
        <v>-152</v>
      </c>
      <c r="CP52" s="62">
        <f t="shared" si="41"/>
        <v>0</v>
      </c>
      <c r="CQ52" s="15">
        <f t="shared" si="98"/>
        <v>1577.625</v>
      </c>
      <c r="CR52" s="15">
        <f t="shared" si="78"/>
        <v>-1577.625</v>
      </c>
      <c r="CS52" s="15"/>
      <c r="DA52" s="15">
        <f t="shared" si="42"/>
        <v>-152</v>
      </c>
    </row>
    <row r="53" spans="1:105" ht="13.5" customHeight="1" thickBot="1" x14ac:dyDescent="0.25">
      <c r="B53" s="2">
        <v>36924</v>
      </c>
      <c r="D53" s="8">
        <v>335</v>
      </c>
      <c r="E53" s="8">
        <f t="shared" si="92"/>
        <v>-40</v>
      </c>
      <c r="F53" s="8">
        <v>497</v>
      </c>
      <c r="G53" s="8">
        <f t="shared" si="79"/>
        <v>-43</v>
      </c>
      <c r="H53" s="8">
        <v>291</v>
      </c>
      <c r="I53" s="8">
        <f t="shared" si="80"/>
        <v>-62</v>
      </c>
      <c r="J53" s="8">
        <v>288</v>
      </c>
      <c r="K53" s="8">
        <f t="shared" si="81"/>
        <v>-10</v>
      </c>
      <c r="L53" s="8">
        <v>381</v>
      </c>
      <c r="M53" s="8">
        <f t="shared" si="81"/>
        <v>-18</v>
      </c>
      <c r="N53" s="10">
        <v>620</v>
      </c>
      <c r="O53" s="10">
        <f t="shared" si="100"/>
        <v>-18</v>
      </c>
      <c r="P53" s="10">
        <v>472</v>
      </c>
      <c r="Q53" s="10">
        <v>-76</v>
      </c>
      <c r="R53" s="10">
        <f>[62]STOR951!$D$13</f>
        <v>277</v>
      </c>
      <c r="S53" s="10">
        <f t="shared" si="93"/>
        <v>-19</v>
      </c>
      <c r="T53" s="10"/>
      <c r="U53" s="10"/>
      <c r="V53" s="8">
        <f t="shared" si="21"/>
        <v>-35.142857142857146</v>
      </c>
      <c r="Z53" s="2">
        <v>36196</v>
      </c>
      <c r="AB53" s="6">
        <v>636</v>
      </c>
      <c r="AC53" s="8">
        <f t="shared" si="94"/>
        <v>-114</v>
      </c>
      <c r="AD53" s="6">
        <v>906</v>
      </c>
      <c r="AE53" s="8">
        <f t="shared" si="83"/>
        <v>-145</v>
      </c>
      <c r="AF53" s="6">
        <v>523</v>
      </c>
      <c r="AG53" s="8">
        <f t="shared" si="83"/>
        <v>-157</v>
      </c>
      <c r="AH53" s="6">
        <v>784</v>
      </c>
      <c r="AI53" s="8">
        <f t="shared" si="84"/>
        <v>-54</v>
      </c>
      <c r="AJ53" s="6">
        <v>904</v>
      </c>
      <c r="AK53" s="8">
        <f t="shared" si="99"/>
        <v>-81</v>
      </c>
      <c r="AL53" s="10">
        <f>[9]STOR951!$D$17</f>
        <v>1006</v>
      </c>
      <c r="AM53" s="10">
        <f t="shared" si="101"/>
        <v>-63</v>
      </c>
      <c r="AN53" s="10">
        <v>780</v>
      </c>
      <c r="AO53" s="10">
        <v>-126</v>
      </c>
      <c r="AP53" s="10">
        <f>[62]STOR951!$D$17</f>
        <v>657</v>
      </c>
      <c r="AQ53" s="10">
        <f t="shared" si="95"/>
        <v>-66</v>
      </c>
      <c r="AR53" s="10"/>
      <c r="AS53" s="10"/>
      <c r="AT53" s="8">
        <f t="shared" si="29"/>
        <v>-98.857142857142861</v>
      </c>
      <c r="AU53" s="7"/>
      <c r="AV53" s="7"/>
      <c r="AX53" s="2">
        <v>36196</v>
      </c>
      <c r="AZ53" s="6">
        <v>276</v>
      </c>
      <c r="BA53" s="8">
        <f t="shared" si="96"/>
        <v>-20</v>
      </c>
      <c r="BB53" s="6">
        <v>297</v>
      </c>
      <c r="BC53" s="8">
        <f t="shared" si="85"/>
        <v>-5</v>
      </c>
      <c r="BD53" s="6">
        <v>263</v>
      </c>
      <c r="BE53" s="8">
        <f t="shared" si="85"/>
        <v>-8</v>
      </c>
      <c r="BF53" s="6">
        <v>202</v>
      </c>
      <c r="BG53" s="8">
        <f t="shared" si="86"/>
        <v>-11</v>
      </c>
      <c r="BH53" s="6">
        <v>233</v>
      </c>
      <c r="BI53" s="8">
        <f t="shared" si="87"/>
        <v>18</v>
      </c>
      <c r="BJ53" s="10">
        <f>[9]STOR951!$D$21</f>
        <v>320</v>
      </c>
      <c r="BK53" s="8">
        <f t="shared" si="102"/>
        <v>-12</v>
      </c>
      <c r="BL53" s="10">
        <v>310</v>
      </c>
      <c r="BM53" s="8">
        <v>-11</v>
      </c>
      <c r="BN53" s="10">
        <f>[62]STOR951!$D$21</f>
        <v>202</v>
      </c>
      <c r="BO53" s="8">
        <f t="shared" si="97"/>
        <v>-20</v>
      </c>
      <c r="BP53" s="8"/>
      <c r="BQ53" s="8"/>
      <c r="BR53" s="8">
        <f t="shared" si="37"/>
        <v>-1.2857142857142858</v>
      </c>
      <c r="BU53" s="63">
        <f t="shared" si="77"/>
        <v>36924</v>
      </c>
      <c r="BV53" s="64"/>
      <c r="BW53" s="65">
        <f t="shared" si="90"/>
        <v>1247</v>
      </c>
      <c r="BX53" s="65">
        <f t="shared" si="91"/>
        <v>-174</v>
      </c>
      <c r="BY53" s="65">
        <f t="shared" si="59"/>
        <v>1700</v>
      </c>
      <c r="BZ53" s="65">
        <f t="shared" si="60"/>
        <v>-193</v>
      </c>
      <c r="CA53" s="65">
        <f t="shared" si="61"/>
        <v>1077</v>
      </c>
      <c r="CB53" s="65">
        <f t="shared" si="62"/>
        <v>-227</v>
      </c>
      <c r="CC53" s="65">
        <f t="shared" si="63"/>
        <v>1274</v>
      </c>
      <c r="CD53" s="65">
        <f t="shared" si="64"/>
        <v>-75</v>
      </c>
      <c r="CE53" s="65">
        <f t="shared" si="65"/>
        <v>1518</v>
      </c>
      <c r="CF53" s="65">
        <f t="shared" si="66"/>
        <v>-81</v>
      </c>
      <c r="CG53" s="65">
        <f t="shared" si="67"/>
        <v>1946</v>
      </c>
      <c r="CH53" s="65">
        <f t="shared" si="68"/>
        <v>-93</v>
      </c>
      <c r="CI53" s="66">
        <f t="shared" si="69"/>
        <v>1562</v>
      </c>
      <c r="CJ53" s="66">
        <f t="shared" si="70"/>
        <v>-213</v>
      </c>
      <c r="CK53" s="66">
        <f t="shared" si="71"/>
        <v>1136</v>
      </c>
      <c r="CL53" s="66">
        <f t="shared" si="72"/>
        <v>-105</v>
      </c>
      <c r="CM53" s="66">
        <f t="shared" si="38"/>
        <v>0</v>
      </c>
      <c r="CN53" s="66">
        <f t="shared" si="39"/>
        <v>0</v>
      </c>
      <c r="CO53" s="67">
        <f t="shared" si="40"/>
        <v>-141</v>
      </c>
      <c r="CP53" s="68">
        <f t="shared" si="41"/>
        <v>0</v>
      </c>
      <c r="CQ53" s="15">
        <f t="shared" si="98"/>
        <v>1432.5</v>
      </c>
      <c r="CR53" s="15">
        <f t="shared" si="78"/>
        <v>-1432.5</v>
      </c>
      <c r="CS53" s="15"/>
      <c r="DA53" s="15">
        <f t="shared" si="42"/>
        <v>-141</v>
      </c>
    </row>
    <row r="54" spans="1:105" ht="13.5" customHeight="1" x14ac:dyDescent="0.2">
      <c r="B54" s="2">
        <v>36931</v>
      </c>
      <c r="D54" s="8">
        <v>312</v>
      </c>
      <c r="E54" s="8">
        <f t="shared" si="92"/>
        <v>-23</v>
      </c>
      <c r="F54" s="8">
        <v>449</v>
      </c>
      <c r="G54" s="8">
        <f t="shared" si="79"/>
        <v>-48</v>
      </c>
      <c r="H54" s="8">
        <v>270</v>
      </c>
      <c r="I54" s="8">
        <f t="shared" si="80"/>
        <v>-21</v>
      </c>
      <c r="J54" s="8">
        <v>252</v>
      </c>
      <c r="K54" s="8">
        <f t="shared" si="81"/>
        <v>-36</v>
      </c>
      <c r="L54" s="8">
        <v>371</v>
      </c>
      <c r="M54" s="8">
        <f t="shared" si="81"/>
        <v>-10</v>
      </c>
      <c r="N54" s="10">
        <v>625</v>
      </c>
      <c r="O54" s="10">
        <f t="shared" si="100"/>
        <v>5</v>
      </c>
      <c r="P54" s="10">
        <v>425</v>
      </c>
      <c r="Q54" s="10">
        <v>-47</v>
      </c>
      <c r="R54" s="10">
        <f>[63]STOR951!$D$13</f>
        <v>267</v>
      </c>
      <c r="S54" s="10">
        <f t="shared" si="93"/>
        <v>-10</v>
      </c>
      <c r="T54" s="10"/>
      <c r="U54" s="10"/>
      <c r="V54" s="8">
        <f t="shared" si="21"/>
        <v>-23.857142857142858</v>
      </c>
      <c r="Z54" s="2">
        <v>36203</v>
      </c>
      <c r="AB54" s="6">
        <v>568</v>
      </c>
      <c r="AC54" s="8">
        <f t="shared" si="94"/>
        <v>-68</v>
      </c>
      <c r="AD54" s="6">
        <v>763</v>
      </c>
      <c r="AE54" s="8">
        <f t="shared" si="83"/>
        <v>-143</v>
      </c>
      <c r="AF54" s="6">
        <v>454</v>
      </c>
      <c r="AG54" s="8">
        <f t="shared" si="83"/>
        <v>-69</v>
      </c>
      <c r="AH54" s="6">
        <v>687</v>
      </c>
      <c r="AI54" s="8">
        <f t="shared" si="84"/>
        <v>-97</v>
      </c>
      <c r="AJ54" s="6">
        <v>842</v>
      </c>
      <c r="AK54" s="8">
        <f t="shared" si="99"/>
        <v>-62</v>
      </c>
      <c r="AL54" s="10">
        <f>[10]STOR951!$D$17</f>
        <v>963</v>
      </c>
      <c r="AM54" s="10">
        <f t="shared" si="101"/>
        <v>-43</v>
      </c>
      <c r="AN54" s="10">
        <v>684</v>
      </c>
      <c r="AO54" s="10">
        <v>-96</v>
      </c>
      <c r="AP54" s="10">
        <f>[63]STOR951!$D$17</f>
        <v>592</v>
      </c>
      <c r="AQ54" s="10">
        <f t="shared" si="95"/>
        <v>-65</v>
      </c>
      <c r="AR54" s="10"/>
      <c r="AS54" s="10"/>
      <c r="AT54" s="8">
        <f t="shared" si="29"/>
        <v>-82.142857142857139</v>
      </c>
      <c r="AU54" s="7"/>
      <c r="AV54" s="7"/>
      <c r="AX54" s="2">
        <v>36203</v>
      </c>
      <c r="AZ54" s="6">
        <v>258</v>
      </c>
      <c r="BA54" s="8">
        <f t="shared" si="96"/>
        <v>-18</v>
      </c>
      <c r="BB54" s="6">
        <v>282</v>
      </c>
      <c r="BC54" s="8">
        <f t="shared" si="85"/>
        <v>-15</v>
      </c>
      <c r="BD54" s="6">
        <v>260</v>
      </c>
      <c r="BE54" s="8">
        <f t="shared" si="85"/>
        <v>-3</v>
      </c>
      <c r="BF54" s="6">
        <v>188</v>
      </c>
      <c r="BG54" s="8">
        <f t="shared" si="86"/>
        <v>-14</v>
      </c>
      <c r="BH54" s="6">
        <v>212</v>
      </c>
      <c r="BI54" s="8">
        <f t="shared" si="87"/>
        <v>-21</v>
      </c>
      <c r="BJ54" s="10">
        <f>[10]STOR951!$D$21</f>
        <v>299</v>
      </c>
      <c r="BK54" s="8">
        <f t="shared" si="102"/>
        <v>-21</v>
      </c>
      <c r="BL54" s="10">
        <v>295</v>
      </c>
      <c r="BM54" s="8">
        <v>-15</v>
      </c>
      <c r="BN54" s="10">
        <f>[63]STOR951!$D$21</f>
        <v>182</v>
      </c>
      <c r="BO54" s="8">
        <f t="shared" si="97"/>
        <v>-20</v>
      </c>
      <c r="BP54" s="8"/>
      <c r="BQ54" s="8"/>
      <c r="BR54" s="8">
        <f t="shared" si="37"/>
        <v>-9.8571428571428577</v>
      </c>
      <c r="BU54" s="48">
        <f t="shared" si="77"/>
        <v>36931</v>
      </c>
      <c r="BV54" s="49"/>
      <c r="BW54" s="51">
        <f t="shared" si="90"/>
        <v>1138</v>
      </c>
      <c r="BX54" s="51">
        <f t="shared" si="91"/>
        <v>-109</v>
      </c>
      <c r="BY54" s="51">
        <f t="shared" si="59"/>
        <v>1494</v>
      </c>
      <c r="BZ54" s="51">
        <f t="shared" si="60"/>
        <v>-206</v>
      </c>
      <c r="CA54" s="51">
        <f t="shared" si="61"/>
        <v>984</v>
      </c>
      <c r="CB54" s="51">
        <f t="shared" si="62"/>
        <v>-93</v>
      </c>
      <c r="CC54" s="51">
        <f t="shared" si="63"/>
        <v>1127</v>
      </c>
      <c r="CD54" s="51">
        <f t="shared" si="64"/>
        <v>-147</v>
      </c>
      <c r="CE54" s="51">
        <f t="shared" si="65"/>
        <v>1425</v>
      </c>
      <c r="CF54" s="51">
        <f t="shared" si="66"/>
        <v>-93</v>
      </c>
      <c r="CG54" s="51">
        <f t="shared" si="67"/>
        <v>1887</v>
      </c>
      <c r="CH54" s="51">
        <f t="shared" si="68"/>
        <v>-59</v>
      </c>
      <c r="CI54" s="52">
        <f t="shared" si="69"/>
        <v>1404</v>
      </c>
      <c r="CJ54" s="52">
        <f t="shared" si="70"/>
        <v>-158</v>
      </c>
      <c r="CK54" s="52">
        <f t="shared" si="71"/>
        <v>1041</v>
      </c>
      <c r="CL54" s="52">
        <f t="shared" si="72"/>
        <v>-95</v>
      </c>
      <c r="CM54" s="52">
        <f t="shared" si="38"/>
        <v>0</v>
      </c>
      <c r="CN54" s="52">
        <f t="shared" si="39"/>
        <v>0</v>
      </c>
      <c r="CO54" s="54">
        <f t="shared" si="40"/>
        <v>-121.57142857142857</v>
      </c>
      <c r="CP54" s="55">
        <f t="shared" si="41"/>
        <v>0</v>
      </c>
      <c r="CQ54" s="15">
        <f t="shared" si="98"/>
        <v>1312.5</v>
      </c>
      <c r="CR54" s="15">
        <f t="shared" si="78"/>
        <v>-1312.5</v>
      </c>
      <c r="CS54" s="15"/>
      <c r="DA54" s="15">
        <f t="shared" si="42"/>
        <v>-121.57142857142857</v>
      </c>
    </row>
    <row r="55" spans="1:105" ht="13.5" customHeight="1" x14ac:dyDescent="0.2">
      <c r="B55" s="2">
        <v>36938</v>
      </c>
      <c r="D55" s="8">
        <v>308</v>
      </c>
      <c r="E55" s="8">
        <f t="shared" si="92"/>
        <v>-4</v>
      </c>
      <c r="F55" s="8">
        <v>440</v>
      </c>
      <c r="G55" s="8">
        <f t="shared" si="79"/>
        <v>-9</v>
      </c>
      <c r="H55" s="8">
        <v>261</v>
      </c>
      <c r="I55" s="8">
        <f t="shared" si="80"/>
        <v>-9</v>
      </c>
      <c r="J55" s="8">
        <v>248</v>
      </c>
      <c r="K55" s="8">
        <f t="shared" si="81"/>
        <v>-4</v>
      </c>
      <c r="L55" s="8">
        <v>368</v>
      </c>
      <c r="M55" s="8">
        <f t="shared" si="81"/>
        <v>-3</v>
      </c>
      <c r="N55" s="10">
        <v>609</v>
      </c>
      <c r="O55" s="10">
        <f t="shared" si="100"/>
        <v>-16</v>
      </c>
      <c r="P55" s="10">
        <v>394</v>
      </c>
      <c r="Q55" s="10">
        <v>-31</v>
      </c>
      <c r="R55" s="10">
        <f>[64]STOR951!$D$13</f>
        <v>257</v>
      </c>
      <c r="S55" s="10">
        <f t="shared" ref="S55:S60" si="103">R55-R54</f>
        <v>-10</v>
      </c>
      <c r="T55" s="10"/>
      <c r="U55" s="10"/>
      <c r="V55" s="8">
        <f t="shared" si="21"/>
        <v>-11.714285714285714</v>
      </c>
      <c r="Z55" s="2">
        <v>36210</v>
      </c>
      <c r="AB55" s="6">
        <v>524</v>
      </c>
      <c r="AC55" s="8">
        <f t="shared" si="94"/>
        <v>-44</v>
      </c>
      <c r="AD55" s="6">
        <v>724</v>
      </c>
      <c r="AE55" s="8">
        <f t="shared" si="83"/>
        <v>-39</v>
      </c>
      <c r="AF55" s="6">
        <v>404</v>
      </c>
      <c r="AG55" s="8">
        <f t="shared" si="83"/>
        <v>-50</v>
      </c>
      <c r="AH55" s="6">
        <v>629</v>
      </c>
      <c r="AI55" s="8">
        <f t="shared" si="84"/>
        <v>-58</v>
      </c>
      <c r="AJ55" s="6">
        <v>778</v>
      </c>
      <c r="AK55" s="8">
        <f t="shared" si="99"/>
        <v>-64</v>
      </c>
      <c r="AL55" s="10">
        <f>[11]STOR951!$D$17</f>
        <v>891</v>
      </c>
      <c r="AM55" s="10">
        <f t="shared" si="101"/>
        <v>-72</v>
      </c>
      <c r="AN55" s="10">
        <v>594</v>
      </c>
      <c r="AO55" s="10">
        <v>-90</v>
      </c>
      <c r="AP55" s="10">
        <f>[64]STOR951!$D$17</f>
        <v>537</v>
      </c>
      <c r="AQ55" s="10">
        <f t="shared" ref="AQ55:AQ60" si="104">AP55-AP54</f>
        <v>-55</v>
      </c>
      <c r="AR55" s="10"/>
      <c r="AS55" s="10"/>
      <c r="AT55" s="8">
        <f t="shared" si="29"/>
        <v>-61.142857142857146</v>
      </c>
      <c r="AU55" s="7"/>
      <c r="AV55" s="7"/>
      <c r="AX55" s="2">
        <v>36210</v>
      </c>
      <c r="AZ55" s="6">
        <v>242</v>
      </c>
      <c r="BA55" s="8">
        <f t="shared" si="96"/>
        <v>-16</v>
      </c>
      <c r="BB55" s="6">
        <v>284</v>
      </c>
      <c r="BC55" s="8">
        <f t="shared" si="85"/>
        <v>2</v>
      </c>
      <c r="BD55" s="6">
        <v>255</v>
      </c>
      <c r="BE55" s="8">
        <f t="shared" si="85"/>
        <v>-5</v>
      </c>
      <c r="BF55" s="6">
        <v>187</v>
      </c>
      <c r="BG55" s="8">
        <f t="shared" si="86"/>
        <v>-1</v>
      </c>
      <c r="BH55" s="6">
        <v>202</v>
      </c>
      <c r="BI55" s="8">
        <f t="shared" si="87"/>
        <v>-10</v>
      </c>
      <c r="BJ55" s="10">
        <f>[11]STOR951!$D$21</f>
        <v>290</v>
      </c>
      <c r="BK55" s="8">
        <f t="shared" si="102"/>
        <v>-9</v>
      </c>
      <c r="BL55" s="10">
        <v>280</v>
      </c>
      <c r="BM55" s="8">
        <v>-15</v>
      </c>
      <c r="BN55" s="10">
        <f>[64]STOR951!$D$21</f>
        <v>166</v>
      </c>
      <c r="BO55" s="8">
        <f t="shared" ref="BO55:BO60" si="105">BN55-BN54</f>
        <v>-16</v>
      </c>
      <c r="BP55" s="8"/>
      <c r="BQ55" s="8"/>
      <c r="BR55" s="8">
        <f t="shared" si="37"/>
        <v>-3.1428571428571428</v>
      </c>
      <c r="BU55" s="56">
        <f t="shared" si="77"/>
        <v>36938</v>
      </c>
      <c r="BV55" s="57"/>
      <c r="BW55" s="58">
        <f t="shared" si="90"/>
        <v>1074</v>
      </c>
      <c r="BX55" s="58">
        <f t="shared" si="91"/>
        <v>-64</v>
      </c>
      <c r="BY55" s="58">
        <f t="shared" si="59"/>
        <v>1448</v>
      </c>
      <c r="BZ55" s="58">
        <f t="shared" si="60"/>
        <v>-46</v>
      </c>
      <c r="CA55" s="58">
        <f t="shared" si="61"/>
        <v>920</v>
      </c>
      <c r="CB55" s="58">
        <f t="shared" si="62"/>
        <v>-64</v>
      </c>
      <c r="CC55" s="58">
        <f t="shared" si="63"/>
        <v>1064</v>
      </c>
      <c r="CD55" s="58">
        <f t="shared" si="64"/>
        <v>-63</v>
      </c>
      <c r="CE55" s="58">
        <f t="shared" si="65"/>
        <v>1348</v>
      </c>
      <c r="CF55" s="58">
        <f t="shared" si="66"/>
        <v>-77</v>
      </c>
      <c r="CG55" s="58">
        <f t="shared" si="67"/>
        <v>1790</v>
      </c>
      <c r="CH55" s="58">
        <f t="shared" si="68"/>
        <v>-97</v>
      </c>
      <c r="CI55" s="60">
        <f t="shared" si="69"/>
        <v>1268</v>
      </c>
      <c r="CJ55" s="60">
        <f t="shared" si="70"/>
        <v>-136</v>
      </c>
      <c r="CK55" s="60">
        <f t="shared" si="71"/>
        <v>960</v>
      </c>
      <c r="CL55" s="60">
        <f t="shared" si="72"/>
        <v>-81</v>
      </c>
      <c r="CM55" s="60">
        <f t="shared" si="38"/>
        <v>0</v>
      </c>
      <c r="CN55" s="60">
        <f t="shared" si="39"/>
        <v>0</v>
      </c>
      <c r="CO55" s="61">
        <f t="shared" si="40"/>
        <v>-80.571428571428569</v>
      </c>
      <c r="CP55" s="62">
        <f t="shared" si="41"/>
        <v>0</v>
      </c>
      <c r="CQ55" s="15">
        <f t="shared" si="98"/>
        <v>1234</v>
      </c>
      <c r="CR55" s="15">
        <f t="shared" si="78"/>
        <v>-1234</v>
      </c>
      <c r="CS55" s="15"/>
      <c r="DA55" s="15">
        <f t="shared" si="42"/>
        <v>-80.571428571428569</v>
      </c>
    </row>
    <row r="56" spans="1:105" ht="13.5" customHeight="1" x14ac:dyDescent="0.2">
      <c r="B56" s="2">
        <v>36945</v>
      </c>
      <c r="D56" s="8">
        <v>277</v>
      </c>
      <c r="E56" s="8">
        <f t="shared" si="92"/>
        <v>-31</v>
      </c>
      <c r="F56" s="8">
        <v>415</v>
      </c>
      <c r="G56" s="8">
        <f t="shared" si="79"/>
        <v>-25</v>
      </c>
      <c r="H56" s="8">
        <v>249</v>
      </c>
      <c r="I56" s="8">
        <f t="shared" si="80"/>
        <v>-12</v>
      </c>
      <c r="J56" s="8">
        <v>237</v>
      </c>
      <c r="K56" s="8">
        <f t="shared" si="81"/>
        <v>-11</v>
      </c>
      <c r="L56" s="8">
        <v>382</v>
      </c>
      <c r="M56" s="8">
        <f t="shared" si="81"/>
        <v>14</v>
      </c>
      <c r="N56" s="10">
        <v>583</v>
      </c>
      <c r="O56" s="10">
        <f t="shared" si="100"/>
        <v>-26</v>
      </c>
      <c r="P56" s="10">
        <v>376</v>
      </c>
      <c r="Q56" s="10">
        <v>-18</v>
      </c>
      <c r="R56" s="10">
        <f>[65]STOR951!$D$13</f>
        <v>242</v>
      </c>
      <c r="S56" s="10">
        <f t="shared" si="103"/>
        <v>-15</v>
      </c>
      <c r="T56" s="10"/>
      <c r="U56" s="10"/>
      <c r="V56" s="8">
        <f t="shared" si="21"/>
        <v>-13.285714285714286</v>
      </c>
      <c r="Z56" s="2">
        <v>36217</v>
      </c>
      <c r="AB56" s="6">
        <v>430</v>
      </c>
      <c r="AC56" s="8">
        <f t="shared" si="94"/>
        <v>-94</v>
      </c>
      <c r="AD56" s="6">
        <v>638</v>
      </c>
      <c r="AE56" s="8">
        <f t="shared" si="83"/>
        <v>-86</v>
      </c>
      <c r="AF56" s="6">
        <v>377</v>
      </c>
      <c r="AG56" s="8">
        <f t="shared" si="83"/>
        <v>-27</v>
      </c>
      <c r="AH56" s="6">
        <v>575</v>
      </c>
      <c r="AI56" s="8">
        <f t="shared" si="84"/>
        <v>-54</v>
      </c>
      <c r="AJ56" s="6">
        <v>733</v>
      </c>
      <c r="AK56" s="8">
        <f t="shared" si="99"/>
        <v>-45</v>
      </c>
      <c r="AL56" s="10">
        <f>[12]STOR951!$D$17</f>
        <v>795</v>
      </c>
      <c r="AM56" s="10">
        <f t="shared" si="101"/>
        <v>-96</v>
      </c>
      <c r="AN56" s="10">
        <v>551</v>
      </c>
      <c r="AO56" s="10">
        <v>-43</v>
      </c>
      <c r="AP56" s="10">
        <f>[65]STOR951!$D$17</f>
        <v>456</v>
      </c>
      <c r="AQ56" s="10">
        <f t="shared" si="104"/>
        <v>-81</v>
      </c>
      <c r="AR56" s="10"/>
      <c r="AS56" s="10"/>
      <c r="AT56" s="8">
        <f t="shared" si="29"/>
        <v>-61.714285714285715</v>
      </c>
      <c r="AU56" s="7"/>
      <c r="AV56" s="7"/>
      <c r="AX56" s="2">
        <v>36217</v>
      </c>
      <c r="AZ56" s="6">
        <v>235</v>
      </c>
      <c r="BA56" s="8">
        <f t="shared" si="96"/>
        <v>-7</v>
      </c>
      <c r="BB56" s="6">
        <v>277</v>
      </c>
      <c r="BC56" s="8">
        <f t="shared" si="85"/>
        <v>-7</v>
      </c>
      <c r="BD56" s="6">
        <v>232</v>
      </c>
      <c r="BE56" s="8">
        <f t="shared" si="85"/>
        <v>-23</v>
      </c>
      <c r="BF56" s="6">
        <v>176</v>
      </c>
      <c r="BG56" s="8">
        <f t="shared" si="86"/>
        <v>-11</v>
      </c>
      <c r="BH56" s="6">
        <v>186</v>
      </c>
      <c r="BI56" s="8">
        <f t="shared" si="87"/>
        <v>-16</v>
      </c>
      <c r="BJ56" s="10">
        <f>[12]STOR951!$D$21</f>
        <v>284</v>
      </c>
      <c r="BK56" s="8">
        <f t="shared" si="102"/>
        <v>-6</v>
      </c>
      <c r="BL56" s="10">
        <v>267</v>
      </c>
      <c r="BM56" s="8">
        <v>-13</v>
      </c>
      <c r="BN56" s="10">
        <f>[65]STOR951!$D$21</f>
        <v>161</v>
      </c>
      <c r="BO56" s="8">
        <f t="shared" si="105"/>
        <v>-5</v>
      </c>
      <c r="BP56" s="8"/>
      <c r="BQ56" s="8"/>
      <c r="BR56" s="8">
        <f t="shared" si="37"/>
        <v>-10.142857142857142</v>
      </c>
      <c r="BU56" s="56">
        <f t="shared" si="77"/>
        <v>36945</v>
      </c>
      <c r="BV56" s="57"/>
      <c r="BW56" s="58">
        <f t="shared" si="90"/>
        <v>942</v>
      </c>
      <c r="BX56" s="58">
        <f t="shared" si="91"/>
        <v>-132</v>
      </c>
      <c r="BY56" s="58">
        <f t="shared" si="59"/>
        <v>1330</v>
      </c>
      <c r="BZ56" s="58">
        <f t="shared" si="60"/>
        <v>-118</v>
      </c>
      <c r="CA56" s="58">
        <f t="shared" si="61"/>
        <v>858</v>
      </c>
      <c r="CB56" s="58">
        <f t="shared" si="62"/>
        <v>-62</v>
      </c>
      <c r="CC56" s="58">
        <f t="shared" si="63"/>
        <v>988</v>
      </c>
      <c r="CD56" s="58">
        <f t="shared" si="64"/>
        <v>-76</v>
      </c>
      <c r="CE56" s="58">
        <f t="shared" si="65"/>
        <v>1301</v>
      </c>
      <c r="CF56" s="58">
        <f t="shared" si="66"/>
        <v>-47</v>
      </c>
      <c r="CG56" s="58">
        <f t="shared" si="67"/>
        <v>1662</v>
      </c>
      <c r="CH56" s="58">
        <f t="shared" si="68"/>
        <v>-128</v>
      </c>
      <c r="CI56" s="60">
        <f t="shared" si="69"/>
        <v>1194</v>
      </c>
      <c r="CJ56" s="60">
        <f t="shared" si="70"/>
        <v>-74</v>
      </c>
      <c r="CK56" s="60">
        <f t="shared" si="71"/>
        <v>859</v>
      </c>
      <c r="CL56" s="60">
        <f t="shared" si="72"/>
        <v>-101</v>
      </c>
      <c r="CM56" s="60">
        <f t="shared" si="38"/>
        <v>0</v>
      </c>
      <c r="CN56" s="60">
        <f t="shared" si="39"/>
        <v>0</v>
      </c>
      <c r="CO56" s="61">
        <f t="shared" si="40"/>
        <v>-86.571428571428569</v>
      </c>
      <c r="CP56" s="62">
        <f t="shared" si="41"/>
        <v>0</v>
      </c>
      <c r="CQ56" s="15">
        <f t="shared" si="98"/>
        <v>1141.75</v>
      </c>
      <c r="CR56" s="15">
        <f t="shared" si="78"/>
        <v>-1141.75</v>
      </c>
      <c r="CS56" s="15"/>
      <c r="DA56" s="15">
        <f t="shared" si="42"/>
        <v>-86.571428571428569</v>
      </c>
    </row>
    <row r="57" spans="1:105" ht="13.5" customHeight="1" thickBot="1" x14ac:dyDescent="0.25">
      <c r="B57" s="2">
        <v>36952</v>
      </c>
      <c r="D57" s="8">
        <v>266</v>
      </c>
      <c r="E57" s="8">
        <f t="shared" si="92"/>
        <v>-11</v>
      </c>
      <c r="F57" s="8">
        <v>360</v>
      </c>
      <c r="G57" s="8">
        <f t="shared" si="79"/>
        <v>-55</v>
      </c>
      <c r="H57" s="8">
        <v>214</v>
      </c>
      <c r="I57" s="8">
        <f t="shared" si="80"/>
        <v>-35</v>
      </c>
      <c r="J57" s="8">
        <v>240</v>
      </c>
      <c r="K57" s="8">
        <f t="shared" si="81"/>
        <v>3</v>
      </c>
      <c r="L57" s="8">
        <v>383</v>
      </c>
      <c r="M57" s="8">
        <f t="shared" si="81"/>
        <v>1</v>
      </c>
      <c r="N57" s="10">
        <v>575</v>
      </c>
      <c r="O57" s="10">
        <f t="shared" si="100"/>
        <v>-8</v>
      </c>
      <c r="P57" s="10">
        <v>372</v>
      </c>
      <c r="Q57" s="10">
        <v>-4</v>
      </c>
      <c r="R57" s="10">
        <f>[66]STOR951!$D$13</f>
        <v>236</v>
      </c>
      <c r="S57" s="10">
        <f t="shared" si="103"/>
        <v>-6</v>
      </c>
      <c r="T57" s="10"/>
      <c r="U57" s="10"/>
      <c r="V57" s="8">
        <f t="shared" si="21"/>
        <v>-14.857142857142858</v>
      </c>
      <c r="Z57" s="2">
        <v>36224</v>
      </c>
      <c r="AB57" s="6">
        <v>419</v>
      </c>
      <c r="AC57" s="8">
        <f t="shared" si="94"/>
        <v>-11</v>
      </c>
      <c r="AD57" s="6">
        <v>569</v>
      </c>
      <c r="AE57" s="8">
        <f t="shared" si="83"/>
        <v>-69</v>
      </c>
      <c r="AF57" s="6">
        <v>301</v>
      </c>
      <c r="AG57" s="8">
        <f t="shared" si="83"/>
        <v>-76</v>
      </c>
      <c r="AH57" s="6">
        <v>526</v>
      </c>
      <c r="AI57" s="8">
        <f t="shared" si="84"/>
        <v>-49</v>
      </c>
      <c r="AJ57" s="6">
        <v>688</v>
      </c>
      <c r="AK57" s="8">
        <f t="shared" si="99"/>
        <v>-45</v>
      </c>
      <c r="AL57" s="10">
        <f>[13]STOR951!$D$17</f>
        <v>736</v>
      </c>
      <c r="AM57" s="10">
        <f t="shared" si="101"/>
        <v>-59</v>
      </c>
      <c r="AN57" s="10">
        <v>527</v>
      </c>
      <c r="AO57" s="10">
        <v>-24</v>
      </c>
      <c r="AP57" s="10">
        <f>[66]STOR951!$D$17</f>
        <v>402</v>
      </c>
      <c r="AQ57" s="10">
        <f t="shared" si="104"/>
        <v>-54</v>
      </c>
      <c r="AR57" s="10"/>
      <c r="AS57" s="10"/>
      <c r="AT57" s="8">
        <f t="shared" si="29"/>
        <v>-53.714285714285715</v>
      </c>
      <c r="AU57" s="7"/>
      <c r="AV57" s="7"/>
      <c r="AX57" s="2">
        <v>36224</v>
      </c>
      <c r="AZ57" s="6">
        <v>230</v>
      </c>
      <c r="BA57" s="8">
        <f t="shared" si="96"/>
        <v>-5</v>
      </c>
      <c r="BB57" s="6">
        <v>269</v>
      </c>
      <c r="BC57" s="8">
        <f t="shared" si="85"/>
        <v>-8</v>
      </c>
      <c r="BD57" s="6">
        <v>225</v>
      </c>
      <c r="BE57" s="8">
        <f t="shared" si="85"/>
        <v>-7</v>
      </c>
      <c r="BF57" s="6">
        <v>165</v>
      </c>
      <c r="BG57" s="8">
        <f t="shared" si="86"/>
        <v>-11</v>
      </c>
      <c r="BH57" s="6">
        <v>176</v>
      </c>
      <c r="BI57" s="8">
        <f t="shared" si="87"/>
        <v>-10</v>
      </c>
      <c r="BJ57" s="10">
        <f>[13]STOR951!$D$21</f>
        <v>282</v>
      </c>
      <c r="BK57" s="8">
        <f t="shared" si="102"/>
        <v>-2</v>
      </c>
      <c r="BL57" s="10">
        <v>258</v>
      </c>
      <c r="BM57" s="8">
        <v>-9</v>
      </c>
      <c r="BN57" s="10">
        <f>[66]STOR951!$D$21</f>
        <v>148</v>
      </c>
      <c r="BO57" s="8">
        <f t="shared" si="105"/>
        <v>-13</v>
      </c>
      <c r="BP57" s="8"/>
      <c r="BQ57" s="8"/>
      <c r="BR57" s="8">
        <f t="shared" si="37"/>
        <v>-4.8571428571428568</v>
      </c>
      <c r="BU57" s="63">
        <f t="shared" si="77"/>
        <v>36952</v>
      </c>
      <c r="BV57" s="64"/>
      <c r="BW57" s="65">
        <f t="shared" si="90"/>
        <v>915</v>
      </c>
      <c r="BX57" s="65">
        <f t="shared" si="91"/>
        <v>-27</v>
      </c>
      <c r="BY57" s="65">
        <f t="shared" si="59"/>
        <v>1198</v>
      </c>
      <c r="BZ57" s="65">
        <f t="shared" si="60"/>
        <v>-132</v>
      </c>
      <c r="CA57" s="65">
        <f t="shared" si="61"/>
        <v>740</v>
      </c>
      <c r="CB57" s="65">
        <f t="shared" si="62"/>
        <v>-118</v>
      </c>
      <c r="CC57" s="65">
        <f t="shared" si="63"/>
        <v>931</v>
      </c>
      <c r="CD57" s="65">
        <f t="shared" si="64"/>
        <v>-57</v>
      </c>
      <c r="CE57" s="65">
        <f t="shared" si="65"/>
        <v>1247</v>
      </c>
      <c r="CF57" s="65">
        <f t="shared" si="66"/>
        <v>-54</v>
      </c>
      <c r="CG57" s="65">
        <f t="shared" si="67"/>
        <v>1593</v>
      </c>
      <c r="CH57" s="65">
        <f t="shared" si="68"/>
        <v>-69</v>
      </c>
      <c r="CI57" s="66">
        <f t="shared" si="69"/>
        <v>1157</v>
      </c>
      <c r="CJ57" s="66">
        <f t="shared" si="70"/>
        <v>-37</v>
      </c>
      <c r="CK57" s="66">
        <f t="shared" si="71"/>
        <v>786</v>
      </c>
      <c r="CL57" s="66">
        <f t="shared" si="72"/>
        <v>-73</v>
      </c>
      <c r="CM57" s="66">
        <f t="shared" si="38"/>
        <v>0</v>
      </c>
      <c r="CN57" s="66">
        <f t="shared" si="39"/>
        <v>0</v>
      </c>
      <c r="CO57" s="67">
        <f t="shared" si="40"/>
        <v>-77.142857142857139</v>
      </c>
      <c r="CP57" s="68">
        <f t="shared" si="41"/>
        <v>0</v>
      </c>
      <c r="CQ57" s="15">
        <f t="shared" si="98"/>
        <v>1070.875</v>
      </c>
      <c r="CR57" s="15">
        <f t="shared" si="78"/>
        <v>-1070.875</v>
      </c>
      <c r="CS57" s="15"/>
      <c r="DA57" s="15">
        <f t="shared" si="42"/>
        <v>-77.142857142857139</v>
      </c>
    </row>
    <row r="58" spans="1:105" ht="13.5" customHeight="1" x14ac:dyDescent="0.2">
      <c r="B58" s="2">
        <v>36959</v>
      </c>
      <c r="D58" s="8">
        <v>277</v>
      </c>
      <c r="E58" s="8">
        <f t="shared" si="92"/>
        <v>11</v>
      </c>
      <c r="F58" s="8">
        <v>375</v>
      </c>
      <c r="G58" s="8">
        <f t="shared" si="79"/>
        <v>15</v>
      </c>
      <c r="H58" s="8">
        <v>194</v>
      </c>
      <c r="I58" s="8">
        <f t="shared" si="80"/>
        <v>-20</v>
      </c>
      <c r="J58" s="8">
        <v>254</v>
      </c>
      <c r="K58" s="8">
        <f t="shared" si="81"/>
        <v>14</v>
      </c>
      <c r="L58" s="8">
        <v>341</v>
      </c>
      <c r="M58" s="8">
        <f t="shared" si="81"/>
        <v>-42</v>
      </c>
      <c r="N58" s="10">
        <v>548</v>
      </c>
      <c r="O58" s="10">
        <f>N58-N57</f>
        <v>-27</v>
      </c>
      <c r="P58" s="10">
        <v>370</v>
      </c>
      <c r="Q58" s="10">
        <v>-2</v>
      </c>
      <c r="R58" s="10">
        <f>[67]STOR951!$D$13</f>
        <v>225</v>
      </c>
      <c r="S58" s="10">
        <f t="shared" si="103"/>
        <v>-11</v>
      </c>
      <c r="T58" s="10"/>
      <c r="U58" s="10"/>
      <c r="V58" s="8">
        <f t="shared" si="21"/>
        <v>-10.428571428571429</v>
      </c>
      <c r="Z58" s="2">
        <v>36231</v>
      </c>
      <c r="AB58" s="6">
        <v>354</v>
      </c>
      <c r="AC58" s="8">
        <f t="shared" si="94"/>
        <v>-65</v>
      </c>
      <c r="AD58" s="6">
        <v>537</v>
      </c>
      <c r="AE58" s="8">
        <f t="shared" si="83"/>
        <v>-32</v>
      </c>
      <c r="AF58" s="6">
        <v>249</v>
      </c>
      <c r="AG58" s="8">
        <f t="shared" si="83"/>
        <v>-52</v>
      </c>
      <c r="AH58" s="6">
        <v>469</v>
      </c>
      <c r="AI58" s="8">
        <f t="shared" si="84"/>
        <v>-57</v>
      </c>
      <c r="AJ58" s="6">
        <v>595</v>
      </c>
      <c r="AK58" s="8">
        <f t="shared" si="99"/>
        <v>-93</v>
      </c>
      <c r="AL58" s="10">
        <f>[14]STOR951!$D$17</f>
        <v>646</v>
      </c>
      <c r="AM58" s="10">
        <f>AL58-AL57</f>
        <v>-90</v>
      </c>
      <c r="AN58" s="10">
        <v>511</v>
      </c>
      <c r="AO58" s="10">
        <v>-16</v>
      </c>
      <c r="AP58" s="10">
        <f>[67]STOR951!$D$17</f>
        <v>341</v>
      </c>
      <c r="AQ58" s="10">
        <f t="shared" si="104"/>
        <v>-61</v>
      </c>
      <c r="AR58" s="10"/>
      <c r="AS58" s="10"/>
      <c r="AT58" s="8">
        <f t="shared" si="29"/>
        <v>-57.285714285714285</v>
      </c>
      <c r="AU58" s="7"/>
      <c r="AV58" s="7"/>
      <c r="AX58" s="2">
        <v>36231</v>
      </c>
      <c r="AZ58" s="6">
        <v>234</v>
      </c>
      <c r="BA58" s="8">
        <f t="shared" si="96"/>
        <v>4</v>
      </c>
      <c r="BB58" s="6">
        <v>269</v>
      </c>
      <c r="BC58" s="8">
        <f t="shared" si="85"/>
        <v>0</v>
      </c>
      <c r="BD58" s="6">
        <v>225</v>
      </c>
      <c r="BE58" s="8">
        <f t="shared" si="85"/>
        <v>0</v>
      </c>
      <c r="BF58" s="6">
        <v>163</v>
      </c>
      <c r="BG58" s="8">
        <f t="shared" si="86"/>
        <v>-2</v>
      </c>
      <c r="BH58" s="6">
        <v>168</v>
      </c>
      <c r="BI58" s="8">
        <f t="shared" si="87"/>
        <v>-8</v>
      </c>
      <c r="BJ58" s="10">
        <f>[14]STOR951!$D$21</f>
        <v>265</v>
      </c>
      <c r="BK58" s="8">
        <f>BJ58-BJ57</f>
        <v>-17</v>
      </c>
      <c r="BL58" s="10">
        <v>245</v>
      </c>
      <c r="BM58" s="8">
        <v>-13</v>
      </c>
      <c r="BN58" s="10">
        <f>[67]STOR951!$D$21</f>
        <v>145</v>
      </c>
      <c r="BO58" s="8">
        <f t="shared" si="105"/>
        <v>-3</v>
      </c>
      <c r="BP58" s="8"/>
      <c r="BQ58" s="8"/>
      <c r="BR58" s="8">
        <f t="shared" si="37"/>
        <v>-5.2857142857142856</v>
      </c>
      <c r="BU58" s="48">
        <f t="shared" si="77"/>
        <v>36959</v>
      </c>
      <c r="BV58" s="49"/>
      <c r="BW58" s="51">
        <f t="shared" si="90"/>
        <v>865</v>
      </c>
      <c r="BX58" s="51">
        <f t="shared" si="91"/>
        <v>-50</v>
      </c>
      <c r="BY58" s="51">
        <f t="shared" si="59"/>
        <v>1181</v>
      </c>
      <c r="BZ58" s="51">
        <f t="shared" si="60"/>
        <v>-17</v>
      </c>
      <c r="CA58" s="51">
        <f t="shared" si="61"/>
        <v>668</v>
      </c>
      <c r="CB58" s="51">
        <f t="shared" si="62"/>
        <v>-72</v>
      </c>
      <c r="CC58" s="51">
        <f t="shared" si="63"/>
        <v>886</v>
      </c>
      <c r="CD58" s="51">
        <f t="shared" si="64"/>
        <v>-45</v>
      </c>
      <c r="CE58" s="51">
        <f t="shared" si="65"/>
        <v>1104</v>
      </c>
      <c r="CF58" s="51">
        <f t="shared" si="66"/>
        <v>-143</v>
      </c>
      <c r="CG58" s="51">
        <f t="shared" si="67"/>
        <v>1459</v>
      </c>
      <c r="CH58" s="51">
        <f t="shared" si="68"/>
        <v>-134</v>
      </c>
      <c r="CI58" s="52">
        <f t="shared" si="69"/>
        <v>1126</v>
      </c>
      <c r="CJ58" s="52">
        <f t="shared" si="70"/>
        <v>-31</v>
      </c>
      <c r="CK58" s="52">
        <f t="shared" si="71"/>
        <v>711</v>
      </c>
      <c r="CL58" s="52">
        <f t="shared" si="72"/>
        <v>-75</v>
      </c>
      <c r="CM58" s="52">
        <f t="shared" si="38"/>
        <v>0</v>
      </c>
      <c r="CN58" s="52">
        <f t="shared" si="39"/>
        <v>0</v>
      </c>
      <c r="CO58" s="54">
        <f t="shared" si="40"/>
        <v>-73.857142857142861</v>
      </c>
      <c r="CP58" s="55">
        <f t="shared" si="41"/>
        <v>0</v>
      </c>
      <c r="CQ58" s="15">
        <f t="shared" si="98"/>
        <v>1000</v>
      </c>
      <c r="CR58" s="15">
        <f t="shared" si="78"/>
        <v>-1000</v>
      </c>
      <c r="CS58" s="15"/>
      <c r="DA58" s="15">
        <f t="shared" si="42"/>
        <v>-73.857142857142861</v>
      </c>
    </row>
    <row r="59" spans="1:105" ht="13.5" customHeight="1" x14ac:dyDescent="0.2">
      <c r="B59" s="2">
        <v>36966</v>
      </c>
      <c r="D59" s="8">
        <v>276</v>
      </c>
      <c r="E59" s="8">
        <f t="shared" si="92"/>
        <v>-1</v>
      </c>
      <c r="F59" s="8">
        <v>384</v>
      </c>
      <c r="G59" s="8">
        <f t="shared" si="79"/>
        <v>9</v>
      </c>
      <c r="H59" s="8">
        <v>182</v>
      </c>
      <c r="I59" s="8">
        <f t="shared" si="80"/>
        <v>-12</v>
      </c>
      <c r="J59" s="8">
        <v>261</v>
      </c>
      <c r="K59" s="8">
        <f t="shared" si="81"/>
        <v>7</v>
      </c>
      <c r="L59" s="8">
        <v>326</v>
      </c>
      <c r="M59" s="8">
        <f t="shared" si="81"/>
        <v>-15</v>
      </c>
      <c r="N59" s="10">
        <v>526</v>
      </c>
      <c r="O59" s="10">
        <f>N59-N58</f>
        <v>-22</v>
      </c>
      <c r="P59" s="10">
        <v>355</v>
      </c>
      <c r="Q59" s="10">
        <v>-15</v>
      </c>
      <c r="R59" s="10">
        <f>[68]STOR951!$D$13</f>
        <v>228</v>
      </c>
      <c r="S59" s="10">
        <f t="shared" si="103"/>
        <v>3</v>
      </c>
      <c r="T59" s="10"/>
      <c r="U59" s="10"/>
      <c r="V59" s="8">
        <f t="shared" si="21"/>
        <v>-6.4285714285714288</v>
      </c>
      <c r="Z59" s="2">
        <v>36238</v>
      </c>
      <c r="AB59" s="6">
        <v>339</v>
      </c>
      <c r="AC59" s="8">
        <f t="shared" si="94"/>
        <v>-15</v>
      </c>
      <c r="AD59" s="6">
        <v>549</v>
      </c>
      <c r="AE59" s="8">
        <f t="shared" si="83"/>
        <v>12</v>
      </c>
      <c r="AF59" s="6">
        <v>217</v>
      </c>
      <c r="AG59" s="8">
        <f t="shared" si="83"/>
        <v>-32</v>
      </c>
      <c r="AH59" s="6">
        <v>406</v>
      </c>
      <c r="AI59" s="8">
        <f t="shared" si="84"/>
        <v>-63</v>
      </c>
      <c r="AJ59" s="6">
        <v>528</v>
      </c>
      <c r="AK59" s="8">
        <f t="shared" si="99"/>
        <v>-67</v>
      </c>
      <c r="AL59" s="10">
        <f>[15]STOR951!$D$17</f>
        <v>589</v>
      </c>
      <c r="AM59" s="10">
        <f>AL59-AL58</f>
        <v>-57</v>
      </c>
      <c r="AN59" s="10">
        <v>473</v>
      </c>
      <c r="AO59" s="10">
        <v>-38</v>
      </c>
      <c r="AP59" s="10">
        <f>[68]STOR951!$D$17</f>
        <v>310</v>
      </c>
      <c r="AQ59" s="10">
        <f t="shared" si="104"/>
        <v>-31</v>
      </c>
      <c r="AR59" s="10"/>
      <c r="AS59" s="10"/>
      <c r="AT59" s="8">
        <f t="shared" si="29"/>
        <v>-39.428571428571431</v>
      </c>
      <c r="AU59" s="7"/>
      <c r="AV59" s="7"/>
      <c r="AX59" s="2">
        <v>36238</v>
      </c>
      <c r="AZ59" s="6">
        <v>229</v>
      </c>
      <c r="BA59" s="8">
        <f t="shared" si="96"/>
        <v>-5</v>
      </c>
      <c r="BB59" s="6">
        <v>264</v>
      </c>
      <c r="BC59" s="8">
        <f t="shared" si="85"/>
        <v>-5</v>
      </c>
      <c r="BD59" s="6">
        <v>226</v>
      </c>
      <c r="BE59" s="8">
        <f t="shared" si="85"/>
        <v>1</v>
      </c>
      <c r="BF59" s="6">
        <v>165</v>
      </c>
      <c r="BG59" s="8">
        <f t="shared" si="86"/>
        <v>2</v>
      </c>
      <c r="BH59" s="6">
        <v>172</v>
      </c>
      <c r="BI59" s="8">
        <f t="shared" si="87"/>
        <v>4</v>
      </c>
      <c r="BJ59" s="10">
        <f>[15]STOR951!$D$21</f>
        <v>257</v>
      </c>
      <c r="BK59" s="8">
        <f>BJ59-BJ58</f>
        <v>-8</v>
      </c>
      <c r="BL59" s="10">
        <v>236</v>
      </c>
      <c r="BM59" s="8">
        <v>-9</v>
      </c>
      <c r="BN59" s="10">
        <f>[68]STOR951!$D$21</f>
        <v>150</v>
      </c>
      <c r="BO59" s="8">
        <f t="shared" si="105"/>
        <v>5</v>
      </c>
      <c r="BP59" s="8"/>
      <c r="BQ59" s="8"/>
      <c r="BR59" s="8">
        <f t="shared" si="37"/>
        <v>-2.8571428571428572</v>
      </c>
      <c r="BU59" s="56">
        <f t="shared" si="77"/>
        <v>36966</v>
      </c>
      <c r="BV59" s="57"/>
      <c r="BW59" s="58">
        <f t="shared" si="90"/>
        <v>844</v>
      </c>
      <c r="BX59" s="58">
        <f t="shared" si="91"/>
        <v>-21</v>
      </c>
      <c r="BY59" s="58">
        <f t="shared" si="59"/>
        <v>1197</v>
      </c>
      <c r="BZ59" s="58">
        <f t="shared" si="60"/>
        <v>16</v>
      </c>
      <c r="CA59" s="58">
        <f t="shared" si="61"/>
        <v>625</v>
      </c>
      <c r="CB59" s="58">
        <f t="shared" si="62"/>
        <v>-43</v>
      </c>
      <c r="CC59" s="58">
        <f t="shared" si="63"/>
        <v>832</v>
      </c>
      <c r="CD59" s="58">
        <f t="shared" si="64"/>
        <v>-54</v>
      </c>
      <c r="CE59" s="58">
        <f t="shared" si="65"/>
        <v>1026</v>
      </c>
      <c r="CF59" s="58">
        <f t="shared" si="66"/>
        <v>-78</v>
      </c>
      <c r="CG59" s="58">
        <f t="shared" si="67"/>
        <v>1372</v>
      </c>
      <c r="CH59" s="58">
        <f t="shared" si="68"/>
        <v>-87</v>
      </c>
      <c r="CI59" s="60">
        <f t="shared" si="69"/>
        <v>1064</v>
      </c>
      <c r="CJ59" s="60">
        <f t="shared" si="70"/>
        <v>-62</v>
      </c>
      <c r="CK59" s="60">
        <f t="shared" si="71"/>
        <v>688</v>
      </c>
      <c r="CL59" s="60">
        <f t="shared" si="72"/>
        <v>-23</v>
      </c>
      <c r="CM59" s="60">
        <f t="shared" si="38"/>
        <v>0</v>
      </c>
      <c r="CN59" s="60">
        <f t="shared" si="39"/>
        <v>0</v>
      </c>
      <c r="CO59" s="61">
        <f t="shared" si="40"/>
        <v>-47.285714285714285</v>
      </c>
      <c r="CP59" s="62">
        <f t="shared" si="41"/>
        <v>0</v>
      </c>
      <c r="CQ59" s="15">
        <f t="shared" si="98"/>
        <v>956</v>
      </c>
      <c r="CR59" s="15">
        <f t="shared" si="78"/>
        <v>-956</v>
      </c>
      <c r="CS59" s="15"/>
      <c r="DA59" s="15">
        <f t="shared" si="42"/>
        <v>-47.285714285714285</v>
      </c>
    </row>
    <row r="60" spans="1:105" ht="13.5" customHeight="1" x14ac:dyDescent="0.2">
      <c r="B60" s="2">
        <v>36973</v>
      </c>
      <c r="D60" s="8">
        <v>276</v>
      </c>
      <c r="E60" s="8">
        <f t="shared" si="92"/>
        <v>0</v>
      </c>
      <c r="F60" s="8">
        <v>384</v>
      </c>
      <c r="G60" s="8">
        <f t="shared" si="79"/>
        <v>0</v>
      </c>
      <c r="H60" s="8">
        <v>172</v>
      </c>
      <c r="I60" s="8">
        <f t="shared" si="80"/>
        <v>-10</v>
      </c>
      <c r="J60" s="8">
        <v>285</v>
      </c>
      <c r="K60" s="8">
        <f t="shared" si="81"/>
        <v>24</v>
      </c>
      <c r="L60" s="8">
        <v>339</v>
      </c>
      <c r="M60" s="8">
        <f t="shared" si="81"/>
        <v>13</v>
      </c>
      <c r="N60" s="10">
        <v>521</v>
      </c>
      <c r="O60" s="10">
        <f>N60-N59</f>
        <v>-5</v>
      </c>
      <c r="P60" s="10">
        <v>340</v>
      </c>
      <c r="Q60" s="10">
        <v>-15</v>
      </c>
      <c r="R60" s="10">
        <f>[69]STOR951!$D$13</f>
        <v>223</v>
      </c>
      <c r="S60" s="10">
        <f t="shared" si="103"/>
        <v>-5</v>
      </c>
      <c r="T60" s="10"/>
      <c r="U60" s="10"/>
      <c r="V60" s="8">
        <f t="shared" si="21"/>
        <v>0.2857142857142857</v>
      </c>
      <c r="Z60" s="2">
        <v>36245</v>
      </c>
      <c r="AB60" s="6">
        <v>339</v>
      </c>
      <c r="AC60" s="8">
        <f t="shared" si="94"/>
        <v>0</v>
      </c>
      <c r="AD60" s="6">
        <v>522</v>
      </c>
      <c r="AE60" s="8">
        <f t="shared" si="83"/>
        <v>-27</v>
      </c>
      <c r="AF60" s="6">
        <v>182</v>
      </c>
      <c r="AG60" s="8">
        <f t="shared" si="83"/>
        <v>-35</v>
      </c>
      <c r="AH60" s="6">
        <v>378</v>
      </c>
      <c r="AI60" s="8">
        <f t="shared" si="84"/>
        <v>-28</v>
      </c>
      <c r="AJ60" s="6">
        <v>490</v>
      </c>
      <c r="AK60" s="8">
        <f t="shared" si="99"/>
        <v>-38</v>
      </c>
      <c r="AL60" s="10">
        <f>[16]STOR951!$D$17</f>
        <v>556</v>
      </c>
      <c r="AM60" s="10">
        <f>AL60-AL59</f>
        <v>-33</v>
      </c>
      <c r="AN60" s="10">
        <v>438</v>
      </c>
      <c r="AO60" s="10">
        <v>-35</v>
      </c>
      <c r="AP60" s="10">
        <f>[69]STOR951!$D$17</f>
        <v>297</v>
      </c>
      <c r="AQ60" s="10">
        <f t="shared" si="104"/>
        <v>-13</v>
      </c>
      <c r="AR60" s="10"/>
      <c r="AS60" s="10"/>
      <c r="AT60" s="8">
        <f t="shared" si="29"/>
        <v>-29.857142857142858</v>
      </c>
      <c r="AU60" s="7"/>
      <c r="AV60" s="22"/>
      <c r="AX60" s="2">
        <v>36245</v>
      </c>
      <c r="AZ60" s="6">
        <v>229</v>
      </c>
      <c r="BA60" s="8">
        <f t="shared" si="96"/>
        <v>0</v>
      </c>
      <c r="BB60" s="6">
        <v>258</v>
      </c>
      <c r="BC60" s="8">
        <f t="shared" si="85"/>
        <v>-6</v>
      </c>
      <c r="BD60" s="6">
        <v>220</v>
      </c>
      <c r="BE60" s="8">
        <f t="shared" si="85"/>
        <v>-6</v>
      </c>
      <c r="BF60" s="6">
        <v>168</v>
      </c>
      <c r="BG60" s="8">
        <f t="shared" si="86"/>
        <v>3</v>
      </c>
      <c r="BH60" s="6">
        <v>177</v>
      </c>
      <c r="BI60" s="8">
        <f t="shared" si="87"/>
        <v>5</v>
      </c>
      <c r="BJ60" s="10">
        <f>[16]STOR951!$D$21</f>
        <v>258</v>
      </c>
      <c r="BK60" s="8">
        <f>BJ60-BJ59</f>
        <v>1</v>
      </c>
      <c r="BL60" s="10">
        <v>243</v>
      </c>
      <c r="BM60" s="8">
        <v>7</v>
      </c>
      <c r="BN60" s="10">
        <f>[69]STOR951!$D$21</f>
        <v>156</v>
      </c>
      <c r="BO60" s="8">
        <f t="shared" si="105"/>
        <v>6</v>
      </c>
      <c r="BP60" s="8"/>
      <c r="BQ60" s="8"/>
      <c r="BR60" s="8">
        <f t="shared" si="37"/>
        <v>-0.2857142857142857</v>
      </c>
      <c r="BU60" s="56">
        <f t="shared" si="77"/>
        <v>36973</v>
      </c>
      <c r="BV60" s="57"/>
      <c r="BW60" s="58">
        <f t="shared" si="90"/>
        <v>844</v>
      </c>
      <c r="BX60" s="58">
        <f t="shared" si="91"/>
        <v>0</v>
      </c>
      <c r="BY60" s="58">
        <f t="shared" si="59"/>
        <v>1164</v>
      </c>
      <c r="BZ60" s="58">
        <f t="shared" si="60"/>
        <v>-33</v>
      </c>
      <c r="CA60" s="58">
        <f t="shared" si="61"/>
        <v>574</v>
      </c>
      <c r="CB60" s="58">
        <f t="shared" si="62"/>
        <v>-51</v>
      </c>
      <c r="CC60" s="58">
        <f t="shared" si="63"/>
        <v>831</v>
      </c>
      <c r="CD60" s="58">
        <f t="shared" si="64"/>
        <v>-1</v>
      </c>
      <c r="CE60" s="58">
        <f t="shared" si="65"/>
        <v>1006</v>
      </c>
      <c r="CF60" s="58">
        <f t="shared" si="66"/>
        <v>-20</v>
      </c>
      <c r="CG60" s="58">
        <f t="shared" si="67"/>
        <v>1335</v>
      </c>
      <c r="CH60" s="58">
        <f t="shared" si="68"/>
        <v>-37</v>
      </c>
      <c r="CI60" s="60">
        <f t="shared" si="69"/>
        <v>1021</v>
      </c>
      <c r="CJ60" s="60">
        <f t="shared" si="70"/>
        <v>-43</v>
      </c>
      <c r="CK60" s="60">
        <f t="shared" si="71"/>
        <v>676</v>
      </c>
      <c r="CL60" s="60">
        <f t="shared" si="72"/>
        <v>-12</v>
      </c>
      <c r="CM60" s="60">
        <f t="shared" si="38"/>
        <v>0</v>
      </c>
      <c r="CN60" s="60">
        <f t="shared" si="39"/>
        <v>0</v>
      </c>
      <c r="CO60" s="61">
        <f t="shared" si="40"/>
        <v>-28.142857142857142</v>
      </c>
      <c r="CP60" s="62">
        <f t="shared" si="41"/>
        <v>0</v>
      </c>
      <c r="CQ60" s="15">
        <f t="shared" si="98"/>
        <v>931.375</v>
      </c>
      <c r="CR60" s="15">
        <f t="shared" si="78"/>
        <v>-931.375</v>
      </c>
      <c r="CS60" s="15"/>
      <c r="DA60" s="15">
        <f t="shared" si="42"/>
        <v>-28.142857142857142</v>
      </c>
    </row>
    <row r="61" spans="1:105" ht="13.5" customHeight="1" thickBot="1" x14ac:dyDescent="0.25">
      <c r="B61" s="2">
        <v>36980</v>
      </c>
      <c r="D61" s="8">
        <v>286</v>
      </c>
      <c r="E61" s="8">
        <f t="shared" si="92"/>
        <v>10</v>
      </c>
      <c r="F61" s="8">
        <v>382</v>
      </c>
      <c r="G61" s="8">
        <f t="shared" si="79"/>
        <v>-2</v>
      </c>
      <c r="H61" s="8">
        <v>166</v>
      </c>
      <c r="I61" s="8">
        <f t="shared" si="80"/>
        <v>-6</v>
      </c>
      <c r="J61" s="8">
        <v>303</v>
      </c>
      <c r="K61" s="8">
        <f t="shared" si="81"/>
        <v>18</v>
      </c>
      <c r="L61" s="8">
        <v>367</v>
      </c>
      <c r="M61" s="8">
        <f t="shared" si="81"/>
        <v>28</v>
      </c>
      <c r="N61" s="10">
        <v>528</v>
      </c>
      <c r="O61" s="10">
        <f>N61-N60</f>
        <v>7</v>
      </c>
      <c r="P61" s="10">
        <v>334</v>
      </c>
      <c r="Q61" s="10">
        <v>-6</v>
      </c>
      <c r="R61" s="10">
        <f>[70]STOR951!$D$13</f>
        <v>210</v>
      </c>
      <c r="S61" s="10">
        <f>R61-R60</f>
        <v>-13</v>
      </c>
      <c r="T61" s="10"/>
      <c r="U61" s="10"/>
      <c r="V61" s="8">
        <f t="shared" si="21"/>
        <v>3.7142857142857144</v>
      </c>
      <c r="Z61" s="2">
        <v>36252</v>
      </c>
      <c r="AB61" s="6">
        <v>352</v>
      </c>
      <c r="AC61" s="8">
        <f t="shared" si="94"/>
        <v>13</v>
      </c>
      <c r="AD61" s="6">
        <v>489</v>
      </c>
      <c r="AE61" s="8">
        <f t="shared" si="83"/>
        <v>-33</v>
      </c>
      <c r="AF61" s="6">
        <v>174</v>
      </c>
      <c r="AG61" s="8">
        <f t="shared" si="83"/>
        <v>-8</v>
      </c>
      <c r="AH61" s="6">
        <v>379</v>
      </c>
      <c r="AI61" s="8">
        <f t="shared" si="84"/>
        <v>1</v>
      </c>
      <c r="AJ61" s="6">
        <v>526</v>
      </c>
      <c r="AK61" s="8">
        <f t="shared" si="99"/>
        <v>36</v>
      </c>
      <c r="AL61" s="10">
        <f>[17]STOR951!$D$17</f>
        <v>558</v>
      </c>
      <c r="AM61" s="10">
        <f>AL61-AL60</f>
        <v>2</v>
      </c>
      <c r="AN61" s="10">
        <v>441</v>
      </c>
      <c r="AO61" s="10">
        <v>3</v>
      </c>
      <c r="AP61" s="10">
        <f>[70]STOR951!$D$17</f>
        <v>253</v>
      </c>
      <c r="AQ61" s="10">
        <f>AP61-AP60</f>
        <v>-44</v>
      </c>
      <c r="AR61" s="10"/>
      <c r="AS61" s="10"/>
      <c r="AT61" s="8">
        <f t="shared" si="29"/>
        <v>-6.1428571428571432</v>
      </c>
      <c r="AU61" s="7"/>
      <c r="AV61" s="7"/>
      <c r="AX61" s="2">
        <v>36252</v>
      </c>
      <c r="AZ61" s="6">
        <v>227</v>
      </c>
      <c r="BA61" s="8">
        <f t="shared" si="96"/>
        <v>-2</v>
      </c>
      <c r="BB61" s="6">
        <v>263</v>
      </c>
      <c r="BC61" s="8">
        <f t="shared" si="85"/>
        <v>5</v>
      </c>
      <c r="BD61" s="6">
        <v>219</v>
      </c>
      <c r="BE61" s="8">
        <f t="shared" si="85"/>
        <v>-1</v>
      </c>
      <c r="BF61" s="6">
        <v>170</v>
      </c>
      <c r="BG61" s="8">
        <f t="shared" si="86"/>
        <v>2</v>
      </c>
      <c r="BH61" s="6">
        <v>166</v>
      </c>
      <c r="BI61" s="8">
        <f t="shared" si="87"/>
        <v>-11</v>
      </c>
      <c r="BJ61" s="10">
        <f>[17]STOR951!$D$21</f>
        <v>251</v>
      </c>
      <c r="BK61" s="8">
        <f>BJ61-BJ60</f>
        <v>-7</v>
      </c>
      <c r="BL61" s="10">
        <v>256</v>
      </c>
      <c r="BM61" s="8">
        <v>13</v>
      </c>
      <c r="BN61" s="10">
        <f>[70]STOR951!$D$21</f>
        <v>164</v>
      </c>
      <c r="BO61" s="8">
        <f>BN61-BN60</f>
        <v>8</v>
      </c>
      <c r="BP61" s="8"/>
      <c r="BQ61" s="8"/>
      <c r="BR61" s="8">
        <f t="shared" si="37"/>
        <v>-1</v>
      </c>
      <c r="BU61" s="63">
        <f t="shared" si="77"/>
        <v>36980</v>
      </c>
      <c r="BV61" s="64"/>
      <c r="BW61" s="65">
        <f t="shared" si="90"/>
        <v>865</v>
      </c>
      <c r="BX61" s="65">
        <f t="shared" si="91"/>
        <v>21</v>
      </c>
      <c r="BY61" s="65">
        <f t="shared" si="59"/>
        <v>1134</v>
      </c>
      <c r="BZ61" s="65">
        <f t="shared" si="60"/>
        <v>-30</v>
      </c>
      <c r="CA61" s="65">
        <f t="shared" si="61"/>
        <v>559</v>
      </c>
      <c r="CB61" s="65">
        <f t="shared" si="62"/>
        <v>-15</v>
      </c>
      <c r="CC61" s="65">
        <f t="shared" si="63"/>
        <v>852</v>
      </c>
      <c r="CD61" s="65">
        <f t="shared" si="64"/>
        <v>21</v>
      </c>
      <c r="CE61" s="69">
        <f t="shared" si="65"/>
        <v>1059</v>
      </c>
      <c r="CF61" s="65">
        <f t="shared" si="66"/>
        <v>53</v>
      </c>
      <c r="CG61" s="69">
        <f t="shared" si="67"/>
        <v>1337</v>
      </c>
      <c r="CH61" s="65">
        <f t="shared" si="68"/>
        <v>2</v>
      </c>
      <c r="CI61" s="66">
        <f>BL61+AN61+P61</f>
        <v>1031</v>
      </c>
      <c r="CJ61" s="66">
        <f>BM61+AO61+Q61</f>
        <v>10</v>
      </c>
      <c r="CK61" s="69">
        <f t="shared" si="71"/>
        <v>627</v>
      </c>
      <c r="CL61" s="66">
        <f t="shared" si="72"/>
        <v>-49</v>
      </c>
      <c r="CM61" s="66">
        <f t="shared" si="38"/>
        <v>0</v>
      </c>
      <c r="CN61" s="66">
        <f t="shared" si="39"/>
        <v>0</v>
      </c>
      <c r="CO61" s="67">
        <f t="shared" si="40"/>
        <v>-1.1428571428571428</v>
      </c>
      <c r="CP61" s="68">
        <f t="shared" si="41"/>
        <v>0</v>
      </c>
      <c r="CQ61" s="15">
        <f t="shared" si="98"/>
        <v>933</v>
      </c>
      <c r="CR61" s="15">
        <f t="shared" si="78"/>
        <v>-933</v>
      </c>
      <c r="CS61" s="15"/>
      <c r="DA61" s="15">
        <f t="shared" si="42"/>
        <v>-1.1428571428571428</v>
      </c>
    </row>
    <row r="62" spans="1:105" ht="13.5" customHeight="1" x14ac:dyDescent="0.2">
      <c r="B62" s="2"/>
      <c r="F62" s="6"/>
      <c r="G62" s="6"/>
      <c r="H62" s="6"/>
      <c r="I62" s="6"/>
      <c r="J62" s="6"/>
      <c r="K62" s="6"/>
      <c r="L62" s="6"/>
      <c r="M62" s="6"/>
      <c r="N62" s="6"/>
      <c r="O62" s="6"/>
      <c r="V62"/>
      <c r="AY62" s="2"/>
      <c r="AZ62" s="2"/>
      <c r="BA62" s="2"/>
      <c r="CO62" s="26" t="s">
        <v>26</v>
      </c>
    </row>
    <row r="63" spans="1:105" ht="13.5" customHeight="1" x14ac:dyDescent="0.2">
      <c r="AD63" s="6"/>
      <c r="AE63" s="6"/>
      <c r="AF63" s="6"/>
      <c r="AG63" s="6"/>
      <c r="AH63" s="6"/>
      <c r="AI63" s="6"/>
      <c r="AJ63" s="6"/>
      <c r="AK63" s="6"/>
      <c r="AL63" s="6"/>
      <c r="AM63" s="6"/>
      <c r="BU63" t="s">
        <v>46</v>
      </c>
      <c r="BY63" s="1">
        <f>BY40-CA10</f>
        <v>1969</v>
      </c>
      <c r="CA63" s="45">
        <f>CA39-CC10</f>
        <v>2412</v>
      </c>
      <c r="CC63" s="1">
        <f>CC39-CE11</f>
        <v>1896</v>
      </c>
      <c r="CE63" s="1">
        <f>CE38-CE61</f>
        <v>1753</v>
      </c>
      <c r="CG63" s="46">
        <f>CG40-CG61</f>
        <v>1790</v>
      </c>
      <c r="CI63" s="1">
        <f>CI41-CK11</f>
        <v>2008</v>
      </c>
      <c r="CK63" s="1">
        <f>CK40-CK61</f>
        <v>2121</v>
      </c>
      <c r="CO63" s="15">
        <f t="shared" ref="CO63:CO68" si="106">AVERAGE(BY63:CK63)</f>
        <v>1992.7142857142858</v>
      </c>
    </row>
    <row r="64" spans="1:105" ht="13.5" customHeight="1" x14ac:dyDescent="0.2">
      <c r="A64" s="82" t="s">
        <v>14</v>
      </c>
      <c r="B64" s="83"/>
      <c r="C64" s="83"/>
      <c r="D64" s="83"/>
      <c r="E64" s="83"/>
      <c r="F64" s="83"/>
      <c r="G64" s="83"/>
      <c r="H64" s="83"/>
      <c r="AD64" s="6"/>
      <c r="AE64" s="6"/>
      <c r="AF64" s="6"/>
      <c r="AG64" s="6"/>
      <c r="AH64" s="6"/>
      <c r="AI64" s="6"/>
      <c r="AJ64" s="6"/>
      <c r="AK64" s="6"/>
      <c r="AL64" s="6"/>
      <c r="AM64" s="6"/>
      <c r="BW64" s="1"/>
      <c r="BY64" s="1">
        <f>SUM(BZ40:BZ44)</f>
        <v>-202</v>
      </c>
      <c r="CA64" s="1">
        <f>SUM(CB40:CB44)</f>
        <v>-369</v>
      </c>
      <c r="CB64" s="1"/>
      <c r="CC64" s="1">
        <f>SUM(CD40:CD44)</f>
        <v>-350</v>
      </c>
      <c r="CE64" s="1">
        <f>SUM(CF40:CF44)</f>
        <v>-270</v>
      </c>
      <c r="CG64" s="1">
        <f>SUM(CH40:CH44)</f>
        <v>10</v>
      </c>
      <c r="CI64" s="1">
        <f>SUM(CJ40:CJ44)</f>
        <v>-63</v>
      </c>
      <c r="CK64" s="1">
        <f>SUM(CL40:CL44)</f>
        <v>-283</v>
      </c>
      <c r="CL64" s="1"/>
      <c r="CM64" s="1"/>
      <c r="CO64" s="1">
        <f>AVERAGE(BY64:CK64)</f>
        <v>-218.14285714285714</v>
      </c>
      <c r="CP64" s="26" t="s">
        <v>48</v>
      </c>
    </row>
    <row r="65" spans="1:94" ht="13.5" customHeight="1" thickBot="1" x14ac:dyDescent="0.25">
      <c r="A65" s="84" t="s">
        <v>15</v>
      </c>
      <c r="B65" s="85"/>
      <c r="C65" s="85"/>
      <c r="D65" s="85"/>
      <c r="E65" s="85"/>
      <c r="F65" s="85"/>
      <c r="G65" s="85"/>
      <c r="H65" s="85"/>
      <c r="AD65" s="6"/>
      <c r="AE65" s="6"/>
      <c r="AF65" s="6"/>
      <c r="AG65" s="6"/>
      <c r="AH65" s="6"/>
      <c r="AI65" s="6"/>
      <c r="AJ65" s="6"/>
      <c r="AK65" s="6"/>
      <c r="AL65" s="6"/>
      <c r="AM65" s="6"/>
      <c r="BW65" s="1"/>
      <c r="BY65" s="1">
        <f>SUM(BZ45:BZ48)</f>
        <v>-505</v>
      </c>
      <c r="CA65" s="1">
        <f>SUM(CB45:CB48)</f>
        <v>-609</v>
      </c>
      <c r="CB65" s="1"/>
      <c r="CC65" s="1">
        <f>SUM(CD45:CD48)</f>
        <v>-326</v>
      </c>
      <c r="CE65" s="1">
        <f>SUM(CF45:CF48)</f>
        <v>-498</v>
      </c>
      <c r="CG65" s="1">
        <f>SUM(CH45:CH48)</f>
        <v>-459</v>
      </c>
      <c r="CI65" s="1">
        <f>SUM(CJ45:CJ48)</f>
        <v>-495</v>
      </c>
      <c r="CK65" s="1">
        <f>SUM(CL45:CL48)</f>
        <v>-700</v>
      </c>
      <c r="CL65" s="1"/>
      <c r="CM65" s="1"/>
      <c r="CO65" s="1">
        <f t="shared" si="106"/>
        <v>-513.14285714285711</v>
      </c>
      <c r="CP65" s="26" t="s">
        <v>49</v>
      </c>
    </row>
    <row r="66" spans="1:94" ht="13.5" customHeight="1" thickBot="1" x14ac:dyDescent="0.25">
      <c r="A66" s="79" t="s">
        <v>12</v>
      </c>
      <c r="B66" s="80"/>
      <c r="C66" s="81"/>
      <c r="D66" s="23"/>
      <c r="E66" s="23"/>
      <c r="F66" s="77" t="s">
        <v>13</v>
      </c>
      <c r="G66" s="78"/>
      <c r="H66" s="78"/>
      <c r="AD66" s="6"/>
      <c r="AE66" s="6"/>
      <c r="AF66" s="6"/>
      <c r="AG66" s="6"/>
      <c r="AH66" s="6"/>
      <c r="AI66" s="6"/>
      <c r="AJ66" s="6"/>
      <c r="AK66" s="6"/>
      <c r="AL66" s="6"/>
      <c r="AM66" s="6"/>
      <c r="BW66" s="1">
        <f>SUM(BX49:BX52)</f>
        <v>-782</v>
      </c>
      <c r="BY66" s="1">
        <f>SUM(BZ49:BZ53)</f>
        <v>-681</v>
      </c>
      <c r="CA66" s="1">
        <f>SUM(CB49:CB53)</f>
        <v>-903</v>
      </c>
      <c r="CC66" s="1">
        <f>SUM(CD49:CD53)</f>
        <v>-775</v>
      </c>
      <c r="CE66" s="1">
        <f>SUM(CF49:CF53)</f>
        <v>-521</v>
      </c>
      <c r="CG66" s="1">
        <f>SUM(CH49:CH53)</f>
        <v>-699</v>
      </c>
      <c r="CI66" s="1">
        <f>SUM(CJ49:CJ53)</f>
        <v>-875</v>
      </c>
      <c r="CK66" s="1">
        <f>SUM(CL49:CL53)</f>
        <v>-593</v>
      </c>
      <c r="CL66" s="1"/>
      <c r="CM66" s="1"/>
      <c r="CO66" s="1">
        <f t="shared" si="106"/>
        <v>-721</v>
      </c>
      <c r="CP66" s="26" t="s">
        <v>50</v>
      </c>
    </row>
    <row r="67" spans="1:94" ht="13.5" customHeight="1" thickBot="1" x14ac:dyDescent="0.25">
      <c r="A67" s="5" t="s">
        <v>10</v>
      </c>
      <c r="B67" s="5" t="s">
        <v>11</v>
      </c>
      <c r="C67" s="5" t="s">
        <v>6</v>
      </c>
      <c r="D67" s="5"/>
      <c r="E67" s="5"/>
      <c r="F67" s="5" t="s">
        <v>10</v>
      </c>
      <c r="G67" s="5" t="s">
        <v>11</v>
      </c>
      <c r="H67" s="12" t="s">
        <v>6</v>
      </c>
      <c r="AD67" s="6"/>
      <c r="AE67" s="6"/>
      <c r="AF67" s="6"/>
      <c r="AG67" s="6"/>
      <c r="AH67" s="6"/>
      <c r="AI67" s="6"/>
      <c r="AJ67" s="6"/>
      <c r="AK67" s="6"/>
      <c r="AL67" s="6"/>
      <c r="AM67" s="6"/>
      <c r="BW67" s="1">
        <f>SUM(BX53:BX57)</f>
        <v>-506</v>
      </c>
      <c r="BY67" s="1">
        <f>SUM(BZ54:BZ57)</f>
        <v>-502</v>
      </c>
      <c r="CA67" s="1">
        <f>SUM(CB54:CB57)</f>
        <v>-337</v>
      </c>
      <c r="CC67" s="1">
        <f>SUM(CD54:CD57)</f>
        <v>-343</v>
      </c>
      <c r="CE67" s="1">
        <f>SUM(CF54:CF57)</f>
        <v>-271</v>
      </c>
      <c r="CG67" s="1">
        <f>SUM(CH54:CH57)</f>
        <v>-353</v>
      </c>
      <c r="CI67" s="1">
        <f>SUM(CJ54:CJ57)</f>
        <v>-405</v>
      </c>
      <c r="CK67" s="1">
        <f>SUM(CL54:CL57)</f>
        <v>-350</v>
      </c>
      <c r="CL67" s="1"/>
      <c r="CM67" s="1"/>
      <c r="CO67" s="1">
        <f t="shared" si="106"/>
        <v>-365.85714285714283</v>
      </c>
      <c r="CP67" s="26" t="s">
        <v>51</v>
      </c>
    </row>
    <row r="68" spans="1:94" ht="13.5" customHeight="1" x14ac:dyDescent="0.2">
      <c r="A68" s="9" t="e">
        <f>#REF!</f>
        <v>#REF!</v>
      </c>
      <c r="B68" s="9" t="e">
        <f>#REF!</f>
        <v>#REF!</v>
      </c>
      <c r="C68" s="9">
        <f t="shared" ref="C68:C73" si="107">BR45+AT45+V45</f>
        <v>-113.42857142857143</v>
      </c>
      <c r="D68" s="9"/>
      <c r="E68" s="9"/>
      <c r="F68" s="9" t="e">
        <f>#REF!</f>
        <v>#REF!</v>
      </c>
      <c r="G68" s="9" t="e">
        <f>#REF!</f>
        <v>#REF!</v>
      </c>
      <c r="H68" s="9" t="e">
        <f>AVERAGE(#REF!,#REF!,#REF!,#REF!)</f>
        <v>#REF!</v>
      </c>
      <c r="BW68" s="1">
        <f>SUM(BX58:BX61)</f>
        <v>-50</v>
      </c>
      <c r="BY68" s="1">
        <f>SUM(BZ58:BZ61)</f>
        <v>-64</v>
      </c>
      <c r="CA68" s="1">
        <f>SUM(CB58:CB61)</f>
        <v>-181</v>
      </c>
      <c r="CC68" s="1">
        <f>SUM(CD58:CD61)</f>
        <v>-79</v>
      </c>
      <c r="CE68" s="1">
        <f>SUM(CF58:CF61)</f>
        <v>-188</v>
      </c>
      <c r="CG68" s="1">
        <f>SUM(CH58:CH61)</f>
        <v>-256</v>
      </c>
      <c r="CI68" s="1">
        <f>SUM(CJ58:CJ61)</f>
        <v>-126</v>
      </c>
      <c r="CK68" s="1">
        <f>SUM(CL58:CL61)</f>
        <v>-159</v>
      </c>
      <c r="CL68" s="1"/>
      <c r="CM68" s="1"/>
      <c r="CO68" s="1">
        <f t="shared" si="106"/>
        <v>-150.42857142857142</v>
      </c>
      <c r="CP68" s="26" t="s">
        <v>52</v>
      </c>
    </row>
    <row r="69" spans="1:94" ht="13.5" customHeight="1" x14ac:dyDescent="0.2">
      <c r="A69" s="9" t="e">
        <f>#REF!</f>
        <v>#REF!</v>
      </c>
      <c r="B69" s="9" t="e">
        <f>#REF!</f>
        <v>#REF!</v>
      </c>
      <c r="C69" s="9">
        <f t="shared" si="107"/>
        <v>-119</v>
      </c>
      <c r="D69" s="9"/>
      <c r="E69" s="9"/>
      <c r="F69" s="9" t="e">
        <f>#REF!</f>
        <v>#REF!</v>
      </c>
      <c r="G69" s="9" t="e">
        <f>#REF!</f>
        <v>#REF!</v>
      </c>
      <c r="H69" s="9" t="e">
        <f>AVERAGE(#REF!,#REF!,#REF!,#REF!)</f>
        <v>#REF!</v>
      </c>
      <c r="BW69" s="1">
        <f>SUM(BW64:BW68)</f>
        <v>-1338</v>
      </c>
      <c r="BY69" s="1">
        <f>SUM(BY64:BY68)</f>
        <v>-1954</v>
      </c>
      <c r="CA69" s="1">
        <f>SUM(CA64:CA68)</f>
        <v>-2399</v>
      </c>
      <c r="CC69" s="1">
        <f>SUM(CC64:CC68)</f>
        <v>-1873</v>
      </c>
      <c r="CE69" s="1">
        <f>SUM(CE64:CE68)</f>
        <v>-1748</v>
      </c>
      <c r="CG69" s="1">
        <f>SUM(CG64:CG68)</f>
        <v>-1757</v>
      </c>
      <c r="CI69" s="1">
        <f>SUM(CI64:CI68)</f>
        <v>-1964</v>
      </c>
      <c r="CK69" s="1">
        <f>SUM(CK64:CK68)</f>
        <v>-2085</v>
      </c>
      <c r="CL69" s="1"/>
      <c r="CM69" s="1"/>
      <c r="CO69" s="15">
        <f>SUM(CO64:CO68)</f>
        <v>-1968.5714285714284</v>
      </c>
    </row>
    <row r="70" spans="1:94" ht="13.5" customHeight="1" x14ac:dyDescent="0.2">
      <c r="A70" s="9" t="e">
        <f>#REF!</f>
        <v>#REF!</v>
      </c>
      <c r="B70" s="9" t="e">
        <f>#REF!</f>
        <v>#REF!</v>
      </c>
      <c r="C70" s="9">
        <f t="shared" si="107"/>
        <v>-131.85714285714286</v>
      </c>
      <c r="D70" s="9"/>
      <c r="E70" s="9"/>
      <c r="F70" s="9" t="e">
        <f>#REF!</f>
        <v>#REF!</v>
      </c>
      <c r="G70" s="9" t="e">
        <f>#REF!</f>
        <v>#REF!</v>
      </c>
      <c r="H70" s="9" t="e">
        <f>AVERAGE(#REF!,#REF!,#REF!,#REF!)</f>
        <v>#REF!</v>
      </c>
    </row>
    <row r="71" spans="1:94" ht="13.5" customHeight="1" x14ac:dyDescent="0.2">
      <c r="A71" s="9" t="e">
        <f>#REF!</f>
        <v>#REF!</v>
      </c>
      <c r="B71" s="9" t="e">
        <f>#REF!</f>
        <v>#REF!</v>
      </c>
      <c r="C71" s="9">
        <f t="shared" si="107"/>
        <v>-138.28571428571428</v>
      </c>
      <c r="D71" s="9"/>
      <c r="E71" s="9"/>
      <c r="F71" s="9" t="e">
        <f>#REF!</f>
        <v>#REF!</v>
      </c>
      <c r="G71" s="9" t="e">
        <f>#REF!</f>
        <v>#REF!</v>
      </c>
      <c r="H71" s="9" t="e">
        <f>AVERAGE(#REF!,#REF!,#REF!,#REF!,#REF!)</f>
        <v>#REF!</v>
      </c>
    </row>
    <row r="72" spans="1:94" ht="13.5" customHeight="1" x14ac:dyDescent="0.2">
      <c r="A72" s="9" t="e">
        <f>#REF!</f>
        <v>#REF!</v>
      </c>
      <c r="B72" s="9" t="e">
        <f>#REF!</f>
        <v>#REF!</v>
      </c>
      <c r="C72" s="9">
        <f t="shared" si="107"/>
        <v>-140.28571428571428</v>
      </c>
      <c r="D72" s="9"/>
      <c r="E72" s="9"/>
      <c r="F72" s="9" t="e">
        <f>#REF!</f>
        <v>#REF!</v>
      </c>
      <c r="G72" s="9" t="e">
        <f>#REF!</f>
        <v>#REF!</v>
      </c>
      <c r="H72" s="9" t="e">
        <f>AVERAGE(#REF!,#REF!,#REF!,#REF!,#REF!)</f>
        <v>#REF!</v>
      </c>
    </row>
    <row r="73" spans="1:94" ht="13.5" customHeight="1" x14ac:dyDescent="0.2">
      <c r="A73" s="9" t="e">
        <f>#REF!</f>
        <v>#REF!</v>
      </c>
      <c r="B73" s="9" t="e">
        <f>#REF!</f>
        <v>#REF!</v>
      </c>
      <c r="C73" s="9">
        <f t="shared" si="107"/>
        <v>-140.57142857142856</v>
      </c>
      <c r="D73" s="9"/>
      <c r="E73" s="9"/>
      <c r="F73" s="9" t="e">
        <f>#REF!</f>
        <v>#REF!</v>
      </c>
      <c r="G73" s="9" t="e">
        <f>#REF!</f>
        <v>#REF!</v>
      </c>
      <c r="H73" s="9" t="e">
        <f>AVERAGE(#REF!,#REF!,#REF!,#REF!,#REF!)</f>
        <v>#REF!</v>
      </c>
    </row>
    <row r="74" spans="1:94" ht="13.5" customHeight="1" x14ac:dyDescent="0.2">
      <c r="A74" s="9" t="e">
        <f>#REF!</f>
        <v>#REF!</v>
      </c>
      <c r="B74" s="9" t="e">
        <f>#REF!</f>
        <v>#REF!</v>
      </c>
      <c r="C74" s="9">
        <f>$BR$51+$AT$51+$V$51</f>
        <v>-134.28571428571428</v>
      </c>
      <c r="D74" s="9"/>
      <c r="E74" s="9"/>
      <c r="F74" s="13" t="e">
        <f>#REF!</f>
        <v>#REF!</v>
      </c>
      <c r="G74" s="13" t="e">
        <f>#REF!</f>
        <v>#REF!</v>
      </c>
      <c r="H74" s="13" t="e">
        <f>AVERAGE(#REF!,#REF!,#REF!,#REF!,#REF!)</f>
        <v>#REF!</v>
      </c>
    </row>
    <row r="75" spans="1:94" ht="13.5" customHeight="1" x14ac:dyDescent="0.2">
      <c r="A75" s="9" t="e">
        <f>#REF!</f>
        <v>#REF!</v>
      </c>
      <c r="B75" s="9" t="e">
        <f>#REF!</f>
        <v>#REF!</v>
      </c>
      <c r="C75" s="9">
        <f>$BR$52+$AT$52+$V$52</f>
        <v>-146.57142857142856</v>
      </c>
      <c r="D75" s="9"/>
      <c r="E75" s="9"/>
      <c r="F75" s="13" t="e">
        <f>#REF!</f>
        <v>#REF!</v>
      </c>
      <c r="G75" s="13" t="e">
        <f>#REF!</f>
        <v>#REF!</v>
      </c>
      <c r="H75" s="13" t="e">
        <f>AVERAGE(#REF!,#REF!,#REF!,#REF!,#REF!)</f>
        <v>#REF!</v>
      </c>
    </row>
    <row r="76" spans="1:94" ht="13.5" customHeight="1" x14ac:dyDescent="0.2">
      <c r="A76" s="9" t="e">
        <f>#REF!</f>
        <v>#REF!</v>
      </c>
      <c r="B76" s="9" t="e">
        <f>#REF!</f>
        <v>#REF!</v>
      </c>
      <c r="C76" s="9">
        <f>$BR$53+$AT$53+$V$53</f>
        <v>-135.28571428571431</v>
      </c>
      <c r="D76" s="9"/>
      <c r="E76" s="9"/>
      <c r="F76" s="13" t="e">
        <f>#REF!</f>
        <v>#REF!</v>
      </c>
      <c r="G76" s="13" t="e">
        <f>#REF!</f>
        <v>#REF!</v>
      </c>
      <c r="H76" s="13" t="e">
        <f>AVERAGE(#REF!,#REF!,#REF!,#REF!,#REF!)</f>
        <v>#REF!</v>
      </c>
    </row>
    <row r="77" spans="1:94" ht="13.5" customHeight="1" x14ac:dyDescent="0.2">
      <c r="A77" s="9" t="e">
        <f>#REF!</f>
        <v>#REF!</v>
      </c>
      <c r="B77" s="9" t="e">
        <f>#REF!</f>
        <v>#REF!</v>
      </c>
      <c r="C77" s="9">
        <f>$BR$54+$AT$54+$V$54</f>
        <v>-115.85714285714286</v>
      </c>
      <c r="D77" s="9"/>
      <c r="E77" s="9"/>
      <c r="F77" s="13" t="e">
        <f>#REF!</f>
        <v>#REF!</v>
      </c>
      <c r="G77" s="13" t="e">
        <f>#REF!</f>
        <v>#REF!</v>
      </c>
      <c r="H77" s="13" t="e">
        <f>AVERAGE(#REF!,#REF!,#REF!,#REF!,#REF!)</f>
        <v>#REF!</v>
      </c>
    </row>
    <row r="78" spans="1:94" ht="13.5" customHeight="1" x14ac:dyDescent="0.2">
      <c r="A78" s="9" t="e">
        <f>#REF!</f>
        <v>#REF!</v>
      </c>
      <c r="B78" s="9" t="e">
        <f>#REF!</f>
        <v>#REF!</v>
      </c>
      <c r="C78" s="9">
        <f>$BR$55+$AT$55+$V$55</f>
        <v>-76</v>
      </c>
      <c r="D78" s="9"/>
      <c r="E78" s="9"/>
      <c r="F78" s="13" t="e">
        <f>#REF!</f>
        <v>#REF!</v>
      </c>
      <c r="G78" s="13" t="e">
        <f>#REF!</f>
        <v>#REF!</v>
      </c>
      <c r="H78" s="13" t="e">
        <f>AVERAGE(#REF!,#REF!,#REF!,#REF!,#REF!)</f>
        <v>#REF!</v>
      </c>
    </row>
    <row r="79" spans="1:94" ht="13.5" customHeight="1" x14ac:dyDescent="0.2">
      <c r="A79" s="9" t="e">
        <f>#REF!</f>
        <v>#REF!</v>
      </c>
      <c r="B79" s="9" t="e">
        <f>#REF!</f>
        <v>#REF!</v>
      </c>
      <c r="C79" s="9">
        <f>$BR$56+$AT$56+$V$56</f>
        <v>-85.142857142857153</v>
      </c>
      <c r="D79" s="9"/>
      <c r="E79" s="9"/>
      <c r="F79" s="13" t="e">
        <f>#REF!</f>
        <v>#REF!</v>
      </c>
      <c r="G79" s="13" t="e">
        <f>#REF!</f>
        <v>#REF!</v>
      </c>
      <c r="H79" s="13" t="e">
        <f>AVERAGE(#REF!,#REF!,#REF!,#REF!,#REF!)</f>
        <v>#REF!</v>
      </c>
    </row>
    <row r="80" spans="1:94" ht="13.5" customHeight="1" x14ac:dyDescent="0.2">
      <c r="A80" s="9" t="e">
        <f>#REF!</f>
        <v>#REF!</v>
      </c>
      <c r="B80" s="9" t="e">
        <f>#REF!</f>
        <v>#REF!</v>
      </c>
      <c r="C80" s="9">
        <f>$BR$57+$AT$57+$V$57</f>
        <v>-73.428571428571431</v>
      </c>
      <c r="D80" s="9"/>
      <c r="E80" s="9"/>
      <c r="F80" s="13" t="e">
        <f>#REF!</f>
        <v>#REF!</v>
      </c>
      <c r="G80" s="13" t="e">
        <f>#REF!</f>
        <v>#REF!</v>
      </c>
      <c r="H80" s="13" t="e">
        <f>AVERAGE(#REF!,#REF!,#REF!,#REF!,#REF!)</f>
        <v>#REF!</v>
      </c>
    </row>
    <row r="81" spans="1:8" ht="13.5" customHeight="1" x14ac:dyDescent="0.2">
      <c r="A81" s="9" t="e">
        <f>#REF!</f>
        <v>#REF!</v>
      </c>
      <c r="B81" s="9" t="e">
        <f>#REF!</f>
        <v>#REF!</v>
      </c>
      <c r="C81" s="9">
        <f>$BR$58+$AT$58+$V$58</f>
        <v>-73</v>
      </c>
      <c r="D81" s="9"/>
      <c r="E81" s="9"/>
      <c r="F81" s="13" t="e">
        <f>#REF!</f>
        <v>#REF!</v>
      </c>
      <c r="G81" s="13" t="e">
        <f>#REF!</f>
        <v>#REF!</v>
      </c>
      <c r="H81" s="13" t="e">
        <f>AVERAGE(#REF!,#REF!,#REF!,#REF!,#REF!)</f>
        <v>#REF!</v>
      </c>
    </row>
    <row r="82" spans="1:8" ht="13.5" customHeight="1" x14ac:dyDescent="0.2">
      <c r="A82" s="9" t="e">
        <f>#REF!</f>
        <v>#REF!</v>
      </c>
      <c r="B82" s="9" t="e">
        <f>#REF!</f>
        <v>#REF!</v>
      </c>
      <c r="C82" s="9">
        <f>$BR$59+$AT$59+$V$59</f>
        <v>-48.714285714285715</v>
      </c>
      <c r="D82" s="9"/>
      <c r="E82" s="9"/>
      <c r="F82" s="13" t="e">
        <f>#REF!</f>
        <v>#REF!</v>
      </c>
      <c r="G82" s="13" t="e">
        <f>#REF!</f>
        <v>#REF!</v>
      </c>
      <c r="H82" s="13" t="e">
        <f>AVERAGE(#REF!,#REF!,#REF!,#REF!,#REF!)</f>
        <v>#REF!</v>
      </c>
    </row>
    <row r="83" spans="1:8" ht="13.5" customHeight="1" x14ac:dyDescent="0.2">
      <c r="A83" s="9" t="e">
        <f>#REF!</f>
        <v>#REF!</v>
      </c>
      <c r="B83" s="9" t="e">
        <f>#REF!</f>
        <v>#REF!</v>
      </c>
      <c r="C83" s="9">
        <f>BR60+AT60+V60</f>
        <v>-29.857142857142858</v>
      </c>
      <c r="D83" s="9"/>
      <c r="E83" s="9"/>
      <c r="F83" s="13" t="e">
        <f>#REF!</f>
        <v>#REF!</v>
      </c>
      <c r="G83" s="13" t="e">
        <f>#REF!</f>
        <v>#REF!</v>
      </c>
      <c r="H83" s="13" t="e">
        <f>AVERAGE(#REF!,#REF!,#REF!,#REF!,#REF!)</f>
        <v>#REF!</v>
      </c>
    </row>
    <row r="84" spans="1:8" ht="13.5" customHeight="1" x14ac:dyDescent="0.2">
      <c r="A84" s="19" t="e">
        <f>#REF!</f>
        <v>#REF!</v>
      </c>
      <c r="B84" s="19" t="e">
        <f>#REF!</f>
        <v>#REF!</v>
      </c>
      <c r="C84" s="9">
        <f>BR61+AT61+V61</f>
        <v>-3.4285714285714288</v>
      </c>
      <c r="D84" s="9"/>
      <c r="E84" s="9"/>
      <c r="F84" s="13" t="e">
        <f>#REF!</f>
        <v>#REF!</v>
      </c>
      <c r="G84" s="13" t="e">
        <f>#REF!</f>
        <v>#REF!</v>
      </c>
      <c r="H84" s="13" t="e">
        <f>AVERAGE(#REF!,#REF!,#REF!,#REF!,#REF!)</f>
        <v>#REF!</v>
      </c>
    </row>
    <row r="85" spans="1:8" ht="13.5" customHeight="1" x14ac:dyDescent="0.2">
      <c r="A85" s="13">
        <f>BZ10</f>
        <v>39</v>
      </c>
      <c r="B85" s="13">
        <f>CF10</f>
        <v>-16</v>
      </c>
      <c r="C85" s="9">
        <f t="shared" ref="C85:C117" si="108">BR10+AT10+V10</f>
        <v>7.25</v>
      </c>
      <c r="D85" s="9"/>
      <c r="E85" s="9"/>
      <c r="F85" s="13">
        <f>CC10</f>
        <v>546</v>
      </c>
      <c r="G85" s="13">
        <f>CA10</f>
        <v>1130</v>
      </c>
      <c r="H85" s="13">
        <f>AVERAGE(BY10,CA10,CC10,CE10,CG10)</f>
        <v>899.4</v>
      </c>
    </row>
    <row r="86" spans="1:8" ht="13.5" customHeight="1" x14ac:dyDescent="0.2">
      <c r="A86" s="13">
        <f>BZ11</f>
        <v>79</v>
      </c>
      <c r="B86" s="13">
        <f>CF11</f>
        <v>-7</v>
      </c>
      <c r="C86" s="9">
        <f t="shared" si="108"/>
        <v>27.5</v>
      </c>
      <c r="D86" s="9"/>
      <c r="E86" s="9"/>
      <c r="F86" s="13">
        <f>CC11</f>
        <v>609</v>
      </c>
      <c r="G86" s="13">
        <f>CA11</f>
        <v>1160</v>
      </c>
      <c r="H86" s="13">
        <f>AVERAGE(BY11,CA11,CC11,CE11,CG11)</f>
        <v>943.2</v>
      </c>
    </row>
    <row r="87" spans="1:8" ht="13.5" customHeight="1" x14ac:dyDescent="0.2">
      <c r="A87" s="13">
        <f>BZ12</f>
        <v>75</v>
      </c>
      <c r="B87" s="13">
        <f>CF12</f>
        <v>25</v>
      </c>
      <c r="C87" s="9">
        <f t="shared" si="108"/>
        <v>33.125</v>
      </c>
      <c r="D87" s="9"/>
      <c r="E87" s="9"/>
      <c r="F87" s="13">
        <f>CC12</f>
        <v>641</v>
      </c>
      <c r="G87" s="13">
        <f>CA12</f>
        <v>1190</v>
      </c>
      <c r="H87" s="13">
        <f>AVERAGE(BY12,CA12,CC12,CE12,CG12)</f>
        <v>988.4</v>
      </c>
    </row>
    <row r="88" spans="1:8" ht="13.5" customHeight="1" x14ac:dyDescent="0.2">
      <c r="A88" s="13">
        <f>BZ13</f>
        <v>82</v>
      </c>
      <c r="B88" s="13">
        <f>CF13</f>
        <v>46</v>
      </c>
      <c r="C88" s="9">
        <f t="shared" si="108"/>
        <v>51</v>
      </c>
      <c r="D88" s="9"/>
      <c r="E88" s="9"/>
      <c r="F88" s="13">
        <f>CC13</f>
        <v>694</v>
      </c>
      <c r="G88" s="13">
        <f>CA13</f>
        <v>1239</v>
      </c>
      <c r="H88" s="13">
        <f>AVERAGE(BY13,CA13,CC13,CE13,CG13)</f>
        <v>1050</v>
      </c>
    </row>
    <row r="89" spans="1:8" ht="13.5" customHeight="1" x14ac:dyDescent="0.2">
      <c r="A89" s="13">
        <f>CF14</f>
        <v>70</v>
      </c>
      <c r="B89" s="13">
        <f>CB14</f>
        <v>30</v>
      </c>
      <c r="C89" s="9">
        <f t="shared" si="108"/>
        <v>65.625</v>
      </c>
      <c r="D89" s="9"/>
      <c r="E89" s="9"/>
      <c r="F89" s="13">
        <f>CC14</f>
        <v>754</v>
      </c>
      <c r="G89" s="13">
        <f>CA14</f>
        <v>1269</v>
      </c>
      <c r="H89" s="13">
        <f>AVERAGE(BY14,CA14,CC14,CE14,CG14)</f>
        <v>1121</v>
      </c>
    </row>
    <row r="90" spans="1:8" ht="13.5" customHeight="1" x14ac:dyDescent="0.2">
      <c r="A90" s="13">
        <f>CB15</f>
        <v>114</v>
      </c>
      <c r="B90" s="13">
        <f>CF15</f>
        <v>62</v>
      </c>
      <c r="C90" s="9">
        <f t="shared" si="108"/>
        <v>74.75</v>
      </c>
      <c r="D90" s="9"/>
      <c r="E90" s="9"/>
      <c r="F90" s="20"/>
      <c r="G90" s="20"/>
      <c r="H90" s="20"/>
    </row>
    <row r="91" spans="1:8" ht="13.5" customHeight="1" x14ac:dyDescent="0.2">
      <c r="A91" s="13">
        <f>BZ16</f>
        <v>101</v>
      </c>
      <c r="B91" s="13">
        <f>CF16</f>
        <v>76</v>
      </c>
      <c r="C91" s="9">
        <f t="shared" si="108"/>
        <v>75</v>
      </c>
      <c r="D91" s="9"/>
      <c r="E91" s="9"/>
      <c r="F91" s="20"/>
      <c r="G91" s="20"/>
      <c r="H91" s="20"/>
    </row>
    <row r="92" spans="1:8" ht="13.5" customHeight="1" x14ac:dyDescent="0.2">
      <c r="A92" s="13">
        <f>BZ17</f>
        <v>120</v>
      </c>
      <c r="B92" s="13">
        <f>CD17</f>
        <v>88</v>
      </c>
      <c r="C92" s="9">
        <f t="shared" si="108"/>
        <v>87.5</v>
      </c>
      <c r="D92" s="9"/>
      <c r="E92" s="9"/>
      <c r="F92" s="20"/>
      <c r="G92" s="20"/>
      <c r="H92" s="20"/>
    </row>
    <row r="93" spans="1:8" ht="13.5" customHeight="1" x14ac:dyDescent="0.2">
      <c r="A93" s="13">
        <f>BZ18</f>
        <v>93</v>
      </c>
      <c r="B93" s="13">
        <f>CB18</f>
        <v>80</v>
      </c>
      <c r="C93" s="9">
        <f t="shared" si="108"/>
        <v>83.25</v>
      </c>
      <c r="D93" s="9"/>
      <c r="E93" s="9"/>
      <c r="F93" s="20"/>
      <c r="G93" s="20"/>
      <c r="H93" s="20"/>
    </row>
    <row r="94" spans="1:8" ht="13.5" customHeight="1" x14ac:dyDescent="0.2">
      <c r="A94" s="13">
        <f>CH19</f>
        <v>104</v>
      </c>
      <c r="B94" s="13">
        <f>CD19</f>
        <v>87</v>
      </c>
      <c r="C94" s="9">
        <f t="shared" si="108"/>
        <v>82.375</v>
      </c>
      <c r="D94" s="9"/>
      <c r="E94" s="9"/>
      <c r="F94" s="20"/>
      <c r="G94" s="20"/>
      <c r="H94" s="20"/>
    </row>
    <row r="95" spans="1:8" ht="13.5" customHeight="1" x14ac:dyDescent="0.2">
      <c r="A95" s="13">
        <f>CF20</f>
        <v>97</v>
      </c>
      <c r="B95" s="13">
        <f>CH20</f>
        <v>82</v>
      </c>
      <c r="C95" s="9">
        <f t="shared" si="108"/>
        <v>80.375</v>
      </c>
      <c r="D95" s="9"/>
      <c r="E95" s="9"/>
      <c r="F95" s="20"/>
      <c r="G95" s="20"/>
      <c r="H95" s="20"/>
    </row>
    <row r="96" spans="1:8" ht="13.5" customHeight="1" x14ac:dyDescent="0.2">
      <c r="A96" s="13">
        <f>BZ21</f>
        <v>104</v>
      </c>
      <c r="B96" s="13">
        <f>CH21</f>
        <v>72</v>
      </c>
      <c r="C96" s="9">
        <f t="shared" si="108"/>
        <v>79.25</v>
      </c>
      <c r="D96" s="9"/>
      <c r="E96" s="9"/>
      <c r="F96" s="20"/>
      <c r="G96" s="20"/>
      <c r="H96" s="20"/>
    </row>
    <row r="97" spans="1:8" ht="14.25" x14ac:dyDescent="0.2">
      <c r="A97" s="13">
        <f>CB22</f>
        <v>115</v>
      </c>
      <c r="B97" s="13">
        <f>CH22</f>
        <v>74</v>
      </c>
      <c r="C97" s="9">
        <f t="shared" si="108"/>
        <v>81.125</v>
      </c>
      <c r="D97" s="9"/>
      <c r="E97" s="9"/>
      <c r="F97" s="20"/>
      <c r="G97" s="20"/>
      <c r="H97" s="20"/>
    </row>
    <row r="98" spans="1:8" ht="14.25" x14ac:dyDescent="0.2">
      <c r="A98" s="13">
        <f>BZ23</f>
        <v>101</v>
      </c>
      <c r="B98" s="13">
        <f t="shared" ref="B98:B105" si="109">CB23</f>
        <v>71</v>
      </c>
      <c r="C98" s="9">
        <f t="shared" si="108"/>
        <v>81.5</v>
      </c>
      <c r="D98" s="9"/>
      <c r="E98" s="9"/>
      <c r="F98" s="20"/>
      <c r="G98" s="20"/>
      <c r="H98" s="20"/>
    </row>
    <row r="99" spans="1:8" ht="14.25" x14ac:dyDescent="0.2">
      <c r="A99" s="13">
        <f>CD24</f>
        <v>90</v>
      </c>
      <c r="B99" s="13">
        <f t="shared" si="109"/>
        <v>57</v>
      </c>
      <c r="C99" s="9">
        <f t="shared" si="108"/>
        <v>72</v>
      </c>
      <c r="D99" s="9"/>
      <c r="E99" s="9"/>
      <c r="F99" s="20"/>
      <c r="G99" s="20"/>
      <c r="H99" s="20"/>
    </row>
    <row r="100" spans="1:8" ht="14.25" x14ac:dyDescent="0.2">
      <c r="A100" s="13">
        <f>BZ25</f>
        <v>84</v>
      </c>
      <c r="B100" s="13">
        <f t="shared" si="109"/>
        <v>57</v>
      </c>
      <c r="C100" s="9">
        <f t="shared" si="108"/>
        <v>62.625</v>
      </c>
      <c r="D100" s="9"/>
      <c r="E100" s="9"/>
      <c r="F100" s="20"/>
      <c r="G100" s="20"/>
      <c r="H100" s="20"/>
    </row>
    <row r="101" spans="1:8" ht="14.25" x14ac:dyDescent="0.2">
      <c r="A101" s="13">
        <f>BZ26</f>
        <v>97</v>
      </c>
      <c r="B101" s="13">
        <f t="shared" si="109"/>
        <v>38</v>
      </c>
      <c r="C101" s="9">
        <f t="shared" si="108"/>
        <v>59</v>
      </c>
      <c r="D101" s="9"/>
      <c r="E101" s="9"/>
      <c r="F101" s="20"/>
      <c r="G101" s="20"/>
      <c r="H101" s="20"/>
    </row>
    <row r="102" spans="1:8" ht="14.25" x14ac:dyDescent="0.2">
      <c r="A102" s="13">
        <f>CD27</f>
        <v>80</v>
      </c>
      <c r="B102" s="13">
        <f t="shared" si="109"/>
        <v>56</v>
      </c>
      <c r="C102" s="9">
        <f t="shared" si="108"/>
        <v>65</v>
      </c>
      <c r="D102" s="9"/>
      <c r="E102" s="9"/>
      <c r="F102" s="20"/>
      <c r="G102" s="20"/>
      <c r="H102" s="20"/>
    </row>
    <row r="103" spans="1:8" ht="14.25" x14ac:dyDescent="0.2">
      <c r="A103" s="13">
        <f>BZ28</f>
        <v>99</v>
      </c>
      <c r="B103" s="13">
        <f t="shared" si="109"/>
        <v>37</v>
      </c>
      <c r="C103" s="9">
        <f t="shared" si="108"/>
        <v>66</v>
      </c>
      <c r="D103" s="9"/>
      <c r="E103" s="9"/>
      <c r="F103" s="20"/>
      <c r="G103" s="20"/>
      <c r="H103" s="20"/>
    </row>
    <row r="104" spans="1:8" ht="14.25" x14ac:dyDescent="0.2">
      <c r="A104" s="13">
        <f>BZ29</f>
        <v>85</v>
      </c>
      <c r="B104" s="13">
        <f t="shared" si="109"/>
        <v>59</v>
      </c>
      <c r="C104" s="9">
        <f t="shared" si="108"/>
        <v>62</v>
      </c>
      <c r="D104" s="9"/>
      <c r="E104" s="9"/>
      <c r="F104" s="20"/>
      <c r="G104" s="20"/>
      <c r="H104" s="20"/>
    </row>
    <row r="105" spans="1:8" ht="14.25" x14ac:dyDescent="0.2">
      <c r="A105" s="13">
        <f>CD30</f>
        <v>94</v>
      </c>
      <c r="B105" s="13">
        <f t="shared" si="109"/>
        <v>51</v>
      </c>
      <c r="C105" s="9">
        <f t="shared" si="108"/>
        <v>67.75</v>
      </c>
      <c r="D105" s="9"/>
      <c r="E105" s="9"/>
      <c r="F105" s="20"/>
      <c r="G105" s="20"/>
      <c r="H105" s="20"/>
    </row>
    <row r="106" spans="1:8" ht="14.25" x14ac:dyDescent="0.2">
      <c r="A106" s="13">
        <f>CD31</f>
        <v>98</v>
      </c>
      <c r="B106" s="13">
        <f>CH31</f>
        <v>35</v>
      </c>
      <c r="C106" s="9">
        <f t="shared" si="108"/>
        <v>65.5</v>
      </c>
      <c r="D106" s="9"/>
      <c r="E106" s="9"/>
      <c r="F106" s="20"/>
      <c r="G106" s="20"/>
      <c r="H106" s="20"/>
    </row>
    <row r="107" spans="1:8" ht="14.25" x14ac:dyDescent="0.2">
      <c r="A107" s="13">
        <f>CF32</f>
        <v>88</v>
      </c>
      <c r="B107" s="13">
        <f>BZ32</f>
        <v>67</v>
      </c>
      <c r="C107" s="9">
        <f t="shared" si="108"/>
        <v>72.25</v>
      </c>
      <c r="D107" s="9"/>
      <c r="E107" s="9"/>
      <c r="F107" s="20"/>
      <c r="G107" s="20"/>
      <c r="H107" s="20"/>
    </row>
    <row r="108" spans="1:8" ht="14.25" x14ac:dyDescent="0.2">
      <c r="A108" s="13">
        <f>CD33</f>
        <v>89</v>
      </c>
      <c r="B108" s="13">
        <f>CH33</f>
        <v>52</v>
      </c>
      <c r="C108" s="9">
        <f t="shared" si="108"/>
        <v>64.5</v>
      </c>
      <c r="D108" s="9"/>
      <c r="E108" s="9"/>
      <c r="F108" s="20"/>
      <c r="G108" s="20"/>
      <c r="H108" s="20"/>
    </row>
    <row r="109" spans="1:8" ht="14.25" x14ac:dyDescent="0.2">
      <c r="A109" s="13">
        <f>CF34</f>
        <v>87</v>
      </c>
      <c r="B109" s="13">
        <f>CH34</f>
        <v>41</v>
      </c>
      <c r="C109" s="9">
        <f t="shared" si="108"/>
        <v>65.5</v>
      </c>
      <c r="D109" s="9"/>
      <c r="E109" s="9"/>
      <c r="F109" s="20"/>
      <c r="G109" s="20"/>
      <c r="H109" s="20"/>
    </row>
    <row r="110" spans="1:8" ht="14.25" x14ac:dyDescent="0.2">
      <c r="A110" s="13">
        <f>CD35</f>
        <v>99</v>
      </c>
      <c r="B110" s="13">
        <f>CH35</f>
        <v>41</v>
      </c>
      <c r="C110" s="9">
        <f t="shared" si="108"/>
        <v>62.5</v>
      </c>
      <c r="D110" s="9"/>
      <c r="E110" s="9"/>
      <c r="F110" s="20"/>
      <c r="G110" s="20"/>
      <c r="H110" s="20"/>
    </row>
    <row r="111" spans="1:8" ht="14.25" x14ac:dyDescent="0.2">
      <c r="A111" s="13">
        <f>CF36</f>
        <v>77</v>
      </c>
      <c r="B111" s="13">
        <f>BZ36</f>
        <v>24</v>
      </c>
      <c r="C111" s="9">
        <f t="shared" si="108"/>
        <v>47.875</v>
      </c>
      <c r="D111" s="9"/>
      <c r="E111" s="9"/>
      <c r="F111" s="20"/>
      <c r="G111" s="20"/>
      <c r="H111" s="20"/>
    </row>
    <row r="112" spans="1:8" ht="14.25" x14ac:dyDescent="0.2">
      <c r="A112" s="13">
        <f>CF37</f>
        <v>63</v>
      </c>
      <c r="B112" s="13">
        <f>CB37</f>
        <v>52</v>
      </c>
      <c r="C112" s="9">
        <f t="shared" si="108"/>
        <v>49.25</v>
      </c>
      <c r="D112" s="9"/>
      <c r="E112" s="9"/>
      <c r="F112" s="20"/>
      <c r="G112" s="20"/>
      <c r="H112" s="20"/>
    </row>
    <row r="113" spans="1:8" ht="14.25" x14ac:dyDescent="0.2">
      <c r="A113" s="13">
        <f>CH38</f>
        <v>36</v>
      </c>
      <c r="B113" s="13">
        <f>BZ38</f>
        <v>4</v>
      </c>
      <c r="C113" s="9">
        <f t="shared" si="108"/>
        <v>29.75</v>
      </c>
      <c r="D113" s="9"/>
      <c r="E113" s="9"/>
      <c r="F113" s="20"/>
      <c r="G113" s="20"/>
      <c r="H113" s="20"/>
    </row>
    <row r="114" spans="1:8" ht="14.25" x14ac:dyDescent="0.2">
      <c r="A114" s="13">
        <f>CH39</f>
        <v>48</v>
      </c>
      <c r="B114" s="13">
        <f>CF39</f>
        <v>-5</v>
      </c>
      <c r="C114" s="9">
        <f t="shared" si="108"/>
        <v>22.25</v>
      </c>
      <c r="D114" s="9"/>
      <c r="E114" s="9"/>
      <c r="F114" s="20"/>
      <c r="G114" s="20"/>
      <c r="H114" s="20"/>
    </row>
    <row r="115" spans="1:8" ht="14.25" x14ac:dyDescent="0.2">
      <c r="A115" s="13">
        <f>CH40</f>
        <v>33</v>
      </c>
      <c r="B115" s="13">
        <f>CB40</f>
        <v>-85</v>
      </c>
      <c r="C115" s="9">
        <f t="shared" si="108"/>
        <v>-0.25</v>
      </c>
      <c r="D115" s="9"/>
      <c r="E115" s="9"/>
      <c r="F115" s="20"/>
      <c r="G115" s="20"/>
      <c r="H115" s="20"/>
    </row>
    <row r="116" spans="1:8" ht="14.25" x14ac:dyDescent="0.2">
      <c r="A116" s="13">
        <f>BZ41</f>
        <v>-15</v>
      </c>
      <c r="B116" s="13">
        <f>CD41</f>
        <v>-86</v>
      </c>
      <c r="C116" s="9">
        <f t="shared" si="108"/>
        <v>-35.375</v>
      </c>
      <c r="D116" s="9"/>
      <c r="E116" s="9"/>
      <c r="F116" s="20"/>
      <c r="G116" s="20"/>
      <c r="H116" s="20"/>
    </row>
    <row r="117" spans="1:8" ht="14.25" x14ac:dyDescent="0.2">
      <c r="A117" s="13">
        <f>CH42</f>
        <v>-13</v>
      </c>
      <c r="B117" s="13">
        <f>CF42</f>
        <v>-108</v>
      </c>
      <c r="C117" s="9">
        <f t="shared" si="108"/>
        <v>-53.75</v>
      </c>
      <c r="D117" s="9"/>
      <c r="E117" s="9"/>
      <c r="F117" s="20"/>
      <c r="G117" s="20"/>
      <c r="H117" s="20"/>
    </row>
  </sheetData>
  <mergeCells count="44">
    <mergeCell ref="AH8:AI8"/>
    <mergeCell ref="CW7:DA7"/>
    <mergeCell ref="CM7:CN7"/>
    <mergeCell ref="BP8:BQ8"/>
    <mergeCell ref="AR8:AS8"/>
    <mergeCell ref="T8:U8"/>
    <mergeCell ref="CC7:CD7"/>
    <mergeCell ref="BN8:BO8"/>
    <mergeCell ref="BH8:BI8"/>
    <mergeCell ref="BL8:BM8"/>
    <mergeCell ref="BJ8:BK8"/>
    <mergeCell ref="AZ8:BA8"/>
    <mergeCell ref="BB8:BC8"/>
    <mergeCell ref="BD8:BE8"/>
    <mergeCell ref="CQ4:CR4"/>
    <mergeCell ref="CQ5:CR5"/>
    <mergeCell ref="CQ6:CR6"/>
    <mergeCell ref="A66:C66"/>
    <mergeCell ref="A64:H64"/>
    <mergeCell ref="A65:H65"/>
    <mergeCell ref="F8:G8"/>
    <mergeCell ref="AD8:AE8"/>
    <mergeCell ref="D8:E8"/>
    <mergeCell ref="H8:I8"/>
    <mergeCell ref="J8:K8"/>
    <mergeCell ref="L8:M8"/>
    <mergeCell ref="N8:O8"/>
    <mergeCell ref="AJ8:AK8"/>
    <mergeCell ref="BF8:BG8"/>
    <mergeCell ref="AL8:AM8"/>
    <mergeCell ref="AN8:AO8"/>
    <mergeCell ref="AP8:AQ8"/>
    <mergeCell ref="F66:H66"/>
    <mergeCell ref="AF8:AG8"/>
    <mergeCell ref="P8:Q8"/>
    <mergeCell ref="R8:S8"/>
    <mergeCell ref="AB8:AC8"/>
    <mergeCell ref="CK7:CL7"/>
    <mergeCell ref="CA7:CB7"/>
    <mergeCell ref="CI7:CJ7"/>
    <mergeCell ref="BY7:BZ7"/>
    <mergeCell ref="BW7:BX7"/>
    <mergeCell ref="CG7:CH7"/>
    <mergeCell ref="CE7:CF7"/>
  </mergeCells>
  <phoneticPr fontId="0" type="noConversion"/>
  <printOptions horizontalCentered="1" verticalCentered="1" gridLinesSet="0"/>
  <pageMargins left="0" right="0" top="0" bottom="0" header="0" footer="0"/>
  <pageSetup scale="60" fitToWidth="3" fitToHeight="2" orientation="landscape" horizontalDpi="4294967292" r:id="rId1"/>
  <headerFooter alignWithMargins="0">
    <oddFooter>&amp;LFile Name:   &amp;F</oddFooter>
  </headerFooter>
  <colBreaks count="3" manualBreakCount="3">
    <brk id="23" max="1048575" man="1"/>
    <brk id="48" max="1048575" man="1"/>
    <brk id="7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2000-08-09T18:02:33Z</cp:lastPrinted>
  <dcterms:created xsi:type="dcterms:W3CDTF">1998-08-18T19:12:21Z</dcterms:created>
  <dcterms:modified xsi:type="dcterms:W3CDTF">2023-09-17T13:30:59Z</dcterms:modified>
</cp:coreProperties>
</file>