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7D8F36-9F6D-444B-B50C-E993EBC0D4BA}" xr6:coauthVersionLast="47" xr6:coauthVersionMax="47" xr10:uidLastSave="{00000000-0000-0000-0000-000000000000}"/>
  <bookViews>
    <workbookView xWindow="-120" yWindow="-120" windowWidth="38640" windowHeight="15720" activeTab="2"/>
  </bookViews>
  <sheets>
    <sheet name="Chart1" sheetId="4" r:id="rId1"/>
    <sheet name="Chris 1" sheetId="15" r:id="rId2"/>
    <sheet name="Chris 2" sheetId="14" r:id="rId3"/>
    <sheet name="Sheet1" sheetId="11" r:id="rId4"/>
    <sheet name="Chart2" sheetId="12" r:id="rId5"/>
    <sheet name="Start Gas" sheetId="1" r:id="rId6"/>
    <sheet name="Sheet2" sheetId="13" r:id="rId7"/>
    <sheet name="Electricity" sheetId="2" r:id="rId8"/>
  </sheets>
  <definedNames>
    <definedName name="_xlnm.Print_Area" localSheetId="2">'Chris 2'!$A$1:$G$71</definedName>
    <definedName name="_xlnm.Print_Area" localSheetId="7">Electricity!$A$3:$H$45</definedName>
    <definedName name="_xlnm.Print_Area" localSheetId="3">Sheet1!$B$1:$AC$55</definedName>
    <definedName name="_xlnm.Print_Area" localSheetId="5">'Start Gas'!$A$1:$L$23</definedName>
  </definedNames>
  <calcPr calcId="0"/>
</workbook>
</file>

<file path=xl/calcChain.xml><?xml version="1.0" encoding="utf-8"?>
<calcChain xmlns="http://schemas.openxmlformats.org/spreadsheetml/2006/main">
  <c r="C11" i="14" l="1"/>
  <c r="D11" i="14"/>
  <c r="E11" i="14"/>
  <c r="F11" i="14"/>
  <c r="C12" i="14"/>
  <c r="D12" i="14"/>
  <c r="E12" i="14"/>
  <c r="F12" i="14"/>
  <c r="C13" i="14"/>
  <c r="D13" i="14"/>
  <c r="E13" i="14"/>
  <c r="F13" i="14"/>
  <c r="C14" i="14"/>
  <c r="D14" i="14"/>
  <c r="E14" i="14"/>
  <c r="F14" i="14"/>
  <c r="B15" i="14"/>
  <c r="C15" i="14"/>
  <c r="D15" i="14"/>
  <c r="E15" i="14"/>
  <c r="F15" i="14"/>
  <c r="B20" i="14"/>
  <c r="C20" i="14"/>
  <c r="D20" i="14"/>
  <c r="E20" i="14"/>
  <c r="F20" i="14"/>
  <c r="B27" i="14"/>
  <c r="C27" i="14"/>
  <c r="D27" i="14"/>
  <c r="E27" i="14"/>
  <c r="F27" i="14"/>
  <c r="C30" i="14"/>
  <c r="D30" i="14"/>
  <c r="E30" i="14"/>
  <c r="F30" i="14"/>
  <c r="C31" i="14"/>
  <c r="D31" i="14"/>
  <c r="E31" i="14"/>
  <c r="F31" i="14"/>
  <c r="C32" i="14"/>
  <c r="D32" i="14"/>
  <c r="E32" i="14"/>
  <c r="F32" i="14"/>
  <c r="C33" i="14"/>
  <c r="D33" i="14"/>
  <c r="E33" i="14"/>
  <c r="F33" i="14"/>
  <c r="B36" i="14"/>
  <c r="C36" i="14"/>
  <c r="D36" i="14"/>
  <c r="E36" i="14"/>
  <c r="F36" i="14"/>
  <c r="B37" i="14"/>
  <c r="C37" i="14"/>
  <c r="D37" i="14"/>
  <c r="E37" i="14"/>
  <c r="F37" i="14"/>
  <c r="B38" i="14"/>
  <c r="C38" i="14"/>
  <c r="D38" i="14"/>
  <c r="E38" i="14"/>
  <c r="F38" i="14"/>
  <c r="B39" i="14"/>
  <c r="C39" i="14"/>
  <c r="D39" i="14"/>
  <c r="E39" i="14"/>
  <c r="F39" i="14"/>
  <c r="B43" i="14"/>
  <c r="C43" i="14"/>
  <c r="D43" i="14"/>
  <c r="E43" i="14"/>
  <c r="F43" i="14"/>
  <c r="B44" i="14"/>
  <c r="C44" i="14"/>
  <c r="D44" i="14"/>
  <c r="E44" i="14"/>
  <c r="F44" i="14"/>
  <c r="B46" i="14"/>
  <c r="C46" i="14"/>
  <c r="D46" i="14"/>
  <c r="E46" i="14"/>
  <c r="F46" i="14"/>
  <c r="B47" i="14"/>
  <c r="C47" i="14"/>
  <c r="D47" i="14"/>
  <c r="E47" i="14"/>
  <c r="F47" i="14"/>
  <c r="B49" i="14"/>
  <c r="C49" i="14"/>
  <c r="D49" i="14"/>
  <c r="E49" i="14"/>
  <c r="F49" i="14"/>
  <c r="B50" i="14"/>
  <c r="C50" i="14"/>
  <c r="D50" i="14"/>
  <c r="E50" i="14"/>
  <c r="F50" i="14"/>
  <c r="B52" i="14"/>
  <c r="C52" i="14"/>
  <c r="D52" i="14"/>
  <c r="E52" i="14"/>
  <c r="F52" i="14"/>
  <c r="B53" i="14"/>
  <c r="C53" i="14"/>
  <c r="D53" i="14"/>
  <c r="E53" i="14"/>
  <c r="F53" i="14"/>
  <c r="B57" i="14"/>
  <c r="C57" i="14"/>
  <c r="D57" i="14"/>
  <c r="E57" i="14"/>
  <c r="F57" i="14"/>
  <c r="B58" i="14"/>
  <c r="C58" i="14"/>
  <c r="D58" i="14"/>
  <c r="E58" i="14"/>
  <c r="F58" i="14"/>
  <c r="B60" i="14"/>
  <c r="C60" i="14"/>
  <c r="D60" i="14"/>
  <c r="E60" i="14"/>
  <c r="F60" i="14"/>
  <c r="B61" i="14"/>
  <c r="C61" i="14"/>
  <c r="D61" i="14"/>
  <c r="E61" i="14"/>
  <c r="F61" i="14"/>
  <c r="B63" i="14"/>
  <c r="C63" i="14"/>
  <c r="D63" i="14"/>
  <c r="E63" i="14"/>
  <c r="F63" i="14"/>
  <c r="B64" i="14"/>
  <c r="C64" i="14"/>
  <c r="D64" i="14"/>
  <c r="E64" i="14"/>
  <c r="F64" i="14"/>
  <c r="B66" i="14"/>
  <c r="C66" i="14"/>
  <c r="D66" i="14"/>
  <c r="E66" i="14"/>
  <c r="F66" i="14"/>
  <c r="B67" i="14"/>
  <c r="C67" i="14"/>
  <c r="D67" i="14"/>
  <c r="E67" i="14"/>
  <c r="F67" i="14"/>
  <c r="B68" i="14"/>
  <c r="C68" i="14"/>
  <c r="D68" i="14"/>
  <c r="E68" i="14"/>
  <c r="F68" i="14"/>
  <c r="G68" i="14"/>
  <c r="B72" i="14"/>
  <c r="F8" i="2"/>
  <c r="G8" i="2"/>
  <c r="F11" i="2"/>
  <c r="G11" i="2"/>
  <c r="F12" i="2"/>
  <c r="G12" i="2"/>
  <c r="F13" i="2"/>
  <c r="G13" i="2"/>
  <c r="I13" i="2"/>
  <c r="F18" i="2"/>
  <c r="G18" i="2"/>
  <c r="L18" i="2"/>
  <c r="F19" i="2"/>
  <c r="G19" i="2"/>
  <c r="I19" i="2"/>
  <c r="L19" i="2"/>
  <c r="F20" i="2"/>
  <c r="G20" i="2"/>
  <c r="L20" i="2"/>
  <c r="B21" i="2"/>
  <c r="C21" i="2"/>
  <c r="F21" i="2"/>
  <c r="G21" i="2"/>
  <c r="L21" i="2"/>
  <c r="L22" i="2"/>
  <c r="L23" i="2"/>
  <c r="L24" i="2"/>
  <c r="L25" i="2"/>
  <c r="F26" i="2"/>
  <c r="G26" i="2"/>
  <c r="L26" i="2"/>
  <c r="F27" i="2"/>
  <c r="G27" i="2"/>
  <c r="L27" i="2"/>
  <c r="L28" i="2"/>
  <c r="L29" i="2"/>
  <c r="L30" i="2"/>
  <c r="F31" i="2"/>
  <c r="G31" i="2"/>
  <c r="L31" i="2"/>
  <c r="F32" i="2"/>
  <c r="L32" i="2"/>
  <c r="F33" i="2"/>
  <c r="G33" i="2"/>
  <c r="L33" i="2"/>
  <c r="F34" i="2"/>
  <c r="G34" i="2"/>
  <c r="L34" i="2"/>
  <c r="L35" i="2"/>
  <c r="F36" i="2"/>
  <c r="G36" i="2"/>
  <c r="L36" i="2"/>
  <c r="F37" i="2"/>
  <c r="G37" i="2"/>
  <c r="L37" i="2"/>
  <c r="L38" i="2"/>
  <c r="F39" i="2"/>
  <c r="G39" i="2"/>
  <c r="L39" i="2"/>
  <c r="L40" i="2"/>
  <c r="F41" i="2"/>
  <c r="G41" i="2"/>
  <c r="L41" i="2"/>
  <c r="L42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C69" i="2"/>
  <c r="D69" i="2"/>
  <c r="E69" i="2"/>
  <c r="F69" i="2"/>
  <c r="G69" i="2"/>
  <c r="H69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C84" i="2"/>
  <c r="D84" i="2"/>
  <c r="E84" i="2"/>
  <c r="F84" i="2"/>
  <c r="G84" i="2"/>
  <c r="H84" i="2"/>
  <c r="N4" i="11"/>
  <c r="K6" i="11"/>
  <c r="D18" i="11"/>
  <c r="F18" i="11"/>
  <c r="G18" i="11"/>
  <c r="J18" i="11"/>
  <c r="K18" i="11"/>
  <c r="L18" i="11"/>
  <c r="M18" i="11"/>
  <c r="N18" i="11"/>
  <c r="O18" i="11"/>
  <c r="P18" i="11"/>
  <c r="Q18" i="11"/>
  <c r="R18" i="11"/>
  <c r="T18" i="11"/>
  <c r="U18" i="11"/>
  <c r="V18" i="11"/>
  <c r="W18" i="11"/>
  <c r="X18" i="11"/>
  <c r="Y18" i="11"/>
  <c r="Z18" i="11"/>
  <c r="AA18" i="11"/>
  <c r="AB18" i="11"/>
  <c r="AC18" i="11"/>
  <c r="D19" i="11"/>
  <c r="F19" i="11"/>
  <c r="G19" i="11"/>
  <c r="J19" i="11"/>
  <c r="K19" i="11"/>
  <c r="L19" i="11"/>
  <c r="M19" i="11"/>
  <c r="N19" i="11"/>
  <c r="O19" i="11"/>
  <c r="P19" i="11"/>
  <c r="Q19" i="11"/>
  <c r="R19" i="11"/>
  <c r="T19" i="11"/>
  <c r="U19" i="11"/>
  <c r="V19" i="11"/>
  <c r="W19" i="11"/>
  <c r="X19" i="11"/>
  <c r="Y19" i="11"/>
  <c r="Z19" i="11"/>
  <c r="AA19" i="11"/>
  <c r="AB19" i="11"/>
  <c r="AC19" i="11"/>
  <c r="D20" i="11"/>
  <c r="F20" i="11"/>
  <c r="G20" i="11"/>
  <c r="J20" i="11"/>
  <c r="K20" i="11"/>
  <c r="L20" i="11"/>
  <c r="M20" i="11"/>
  <c r="N20" i="11"/>
  <c r="O20" i="11"/>
  <c r="P20" i="11"/>
  <c r="Q20" i="11"/>
  <c r="R20" i="11"/>
  <c r="T20" i="11"/>
  <c r="U20" i="11"/>
  <c r="V20" i="11"/>
  <c r="W20" i="11"/>
  <c r="X20" i="11"/>
  <c r="Y20" i="11"/>
  <c r="Z20" i="11"/>
  <c r="AA20" i="11"/>
  <c r="AB20" i="11"/>
  <c r="AC20" i="11"/>
  <c r="D21" i="11"/>
  <c r="F21" i="11"/>
  <c r="G21" i="11"/>
  <c r="J21" i="11"/>
  <c r="K21" i="11"/>
  <c r="L21" i="11"/>
  <c r="M21" i="11"/>
  <c r="N21" i="11"/>
  <c r="O21" i="11"/>
  <c r="P21" i="11"/>
  <c r="Q21" i="11"/>
  <c r="R21" i="11"/>
  <c r="T21" i="11"/>
  <c r="U21" i="11"/>
  <c r="V21" i="11"/>
  <c r="W21" i="11"/>
  <c r="X21" i="11"/>
  <c r="Y21" i="11"/>
  <c r="Z21" i="11"/>
  <c r="AA21" i="11"/>
  <c r="AB21" i="11"/>
  <c r="AC21" i="11"/>
  <c r="D22" i="11"/>
  <c r="F22" i="11"/>
  <c r="G22" i="11"/>
  <c r="J22" i="11"/>
  <c r="K22" i="11"/>
  <c r="L22" i="11"/>
  <c r="M22" i="11"/>
  <c r="N22" i="11"/>
  <c r="O22" i="11"/>
  <c r="P22" i="11"/>
  <c r="Q22" i="11"/>
  <c r="R22" i="11"/>
  <c r="T22" i="11"/>
  <c r="U22" i="11"/>
  <c r="V22" i="11"/>
  <c r="W22" i="11"/>
  <c r="X22" i="11"/>
  <c r="Y22" i="11"/>
  <c r="Z22" i="11"/>
  <c r="AA22" i="11"/>
  <c r="AB22" i="11"/>
  <c r="AC22" i="11"/>
  <c r="D23" i="11"/>
  <c r="F23" i="11"/>
  <c r="G23" i="11"/>
  <c r="J23" i="11"/>
  <c r="K23" i="11"/>
  <c r="L23" i="11"/>
  <c r="M23" i="11"/>
  <c r="N23" i="11"/>
  <c r="O23" i="11"/>
  <c r="P23" i="11"/>
  <c r="Q23" i="11"/>
  <c r="R23" i="11"/>
  <c r="T23" i="11"/>
  <c r="U23" i="11"/>
  <c r="V23" i="11"/>
  <c r="W23" i="11"/>
  <c r="X23" i="11"/>
  <c r="Y23" i="11"/>
  <c r="Z23" i="11"/>
  <c r="AA23" i="11"/>
  <c r="AB23" i="11"/>
  <c r="AC23" i="11"/>
  <c r="D24" i="11"/>
  <c r="F24" i="11"/>
  <c r="G24" i="11"/>
  <c r="J24" i="11"/>
  <c r="K24" i="11"/>
  <c r="L24" i="11"/>
  <c r="M24" i="11"/>
  <c r="N24" i="11"/>
  <c r="O24" i="11"/>
  <c r="P24" i="11"/>
  <c r="Q24" i="11"/>
  <c r="R24" i="11"/>
  <c r="T24" i="11"/>
  <c r="U24" i="11"/>
  <c r="V24" i="11"/>
  <c r="W24" i="11"/>
  <c r="X24" i="11"/>
  <c r="Y24" i="11"/>
  <c r="Z24" i="11"/>
  <c r="AA24" i="11"/>
  <c r="AB24" i="11"/>
  <c r="AC24" i="11"/>
  <c r="D25" i="11"/>
  <c r="E25" i="11"/>
  <c r="F25" i="11"/>
  <c r="G25" i="11"/>
  <c r="J25" i="11"/>
  <c r="K25" i="11"/>
  <c r="L25" i="11"/>
  <c r="M25" i="11"/>
  <c r="N25" i="11"/>
  <c r="O25" i="11"/>
  <c r="P25" i="11"/>
  <c r="Q25" i="11"/>
  <c r="R25" i="11"/>
  <c r="T25" i="11"/>
  <c r="U25" i="11"/>
  <c r="V25" i="11"/>
  <c r="W25" i="11"/>
  <c r="X25" i="11"/>
  <c r="Y25" i="11"/>
  <c r="Z25" i="11"/>
  <c r="AA25" i="11"/>
  <c r="AB25" i="11"/>
  <c r="AC25" i="11"/>
  <c r="D26" i="11"/>
  <c r="E26" i="11"/>
  <c r="F26" i="11"/>
  <c r="G26" i="11"/>
  <c r="I26" i="11"/>
  <c r="J26" i="11"/>
  <c r="K26" i="11"/>
  <c r="L26" i="11"/>
  <c r="M26" i="11"/>
  <c r="N26" i="11"/>
  <c r="O26" i="11"/>
  <c r="P26" i="11"/>
  <c r="Q26" i="11"/>
  <c r="R26" i="11"/>
  <c r="T26" i="11"/>
  <c r="U26" i="11"/>
  <c r="V26" i="11"/>
  <c r="W26" i="11"/>
  <c r="X26" i="11"/>
  <c r="Y26" i="11"/>
  <c r="Z26" i="11"/>
  <c r="AA26" i="11"/>
  <c r="AB26" i="11"/>
  <c r="AC26" i="11"/>
  <c r="D27" i="11"/>
  <c r="E27" i="11"/>
  <c r="F27" i="11"/>
  <c r="G27" i="11"/>
  <c r="I27" i="11"/>
  <c r="J27" i="11"/>
  <c r="K27" i="11"/>
  <c r="L27" i="11"/>
  <c r="M27" i="11"/>
  <c r="N27" i="11"/>
  <c r="O27" i="11"/>
  <c r="P27" i="11"/>
  <c r="Q27" i="11"/>
  <c r="R27" i="11"/>
  <c r="T27" i="11"/>
  <c r="U27" i="11"/>
  <c r="V27" i="11"/>
  <c r="W27" i="11"/>
  <c r="X27" i="11"/>
  <c r="Y27" i="11"/>
  <c r="Z27" i="11"/>
  <c r="AA27" i="11"/>
  <c r="AB27" i="11"/>
  <c r="AC27" i="11"/>
  <c r="D28" i="11"/>
  <c r="E28" i="11"/>
  <c r="F28" i="11"/>
  <c r="G28" i="11"/>
  <c r="I28" i="11"/>
  <c r="J28" i="11"/>
  <c r="K28" i="11"/>
  <c r="L28" i="11"/>
  <c r="M28" i="11"/>
  <c r="N28" i="11"/>
  <c r="O28" i="11"/>
  <c r="P28" i="11"/>
  <c r="Q28" i="11"/>
  <c r="R28" i="11"/>
  <c r="T28" i="11"/>
  <c r="U28" i="11"/>
  <c r="V28" i="11"/>
  <c r="W28" i="11"/>
  <c r="X28" i="11"/>
  <c r="Y28" i="11"/>
  <c r="Z28" i="11"/>
  <c r="AA28" i="11"/>
  <c r="AB28" i="11"/>
  <c r="AC28" i="11"/>
  <c r="D29" i="11"/>
  <c r="E29" i="11"/>
  <c r="F29" i="11"/>
  <c r="G29" i="11"/>
  <c r="I29" i="11"/>
  <c r="J29" i="11"/>
  <c r="K29" i="11"/>
  <c r="L29" i="11"/>
  <c r="M29" i="11"/>
  <c r="N29" i="11"/>
  <c r="O29" i="11"/>
  <c r="P29" i="11"/>
  <c r="Q29" i="11"/>
  <c r="R29" i="11"/>
  <c r="T29" i="11"/>
  <c r="U29" i="11"/>
  <c r="V29" i="11"/>
  <c r="W29" i="11"/>
  <c r="X29" i="11"/>
  <c r="Y29" i="11"/>
  <c r="Z29" i="11"/>
  <c r="AA29" i="11"/>
  <c r="AB29" i="11"/>
  <c r="AC29" i="11"/>
  <c r="D30" i="11"/>
  <c r="E30" i="11"/>
  <c r="F30" i="11"/>
  <c r="G30" i="11"/>
  <c r="I30" i="11"/>
  <c r="J30" i="11"/>
  <c r="K30" i="11"/>
  <c r="L30" i="11"/>
  <c r="M30" i="11"/>
  <c r="N30" i="11"/>
  <c r="O30" i="11"/>
  <c r="P30" i="11"/>
  <c r="Q30" i="11"/>
  <c r="R30" i="11"/>
  <c r="T30" i="11"/>
  <c r="U30" i="11"/>
  <c r="V30" i="11"/>
  <c r="W30" i="11"/>
  <c r="X30" i="11"/>
  <c r="Y30" i="11"/>
  <c r="Z30" i="11"/>
  <c r="AA30" i="11"/>
  <c r="AB30" i="11"/>
  <c r="AC30" i="11"/>
  <c r="D31" i="11"/>
  <c r="E31" i="11"/>
  <c r="F31" i="11"/>
  <c r="G31" i="11"/>
  <c r="I31" i="11"/>
  <c r="J31" i="11"/>
  <c r="K31" i="11"/>
  <c r="L31" i="11"/>
  <c r="M31" i="11"/>
  <c r="N31" i="11"/>
  <c r="O31" i="11"/>
  <c r="P31" i="11"/>
  <c r="Q31" i="11"/>
  <c r="R31" i="11"/>
  <c r="T31" i="11"/>
  <c r="U31" i="11"/>
  <c r="V31" i="11"/>
  <c r="W31" i="11"/>
  <c r="X31" i="11"/>
  <c r="Y31" i="11"/>
  <c r="Z31" i="11"/>
  <c r="AA31" i="11"/>
  <c r="AB31" i="11"/>
  <c r="AC31" i="11"/>
  <c r="D32" i="11"/>
  <c r="E32" i="11"/>
  <c r="F32" i="11"/>
  <c r="G32" i="11"/>
  <c r="I32" i="11"/>
  <c r="J32" i="11"/>
  <c r="K32" i="11"/>
  <c r="L32" i="11"/>
  <c r="M32" i="11"/>
  <c r="N32" i="11"/>
  <c r="O32" i="11"/>
  <c r="P32" i="11"/>
  <c r="Q32" i="11"/>
  <c r="R32" i="11"/>
  <c r="T32" i="11"/>
  <c r="U32" i="11"/>
  <c r="V32" i="11"/>
  <c r="W32" i="11"/>
  <c r="X32" i="11"/>
  <c r="Y32" i="11"/>
  <c r="Z32" i="11"/>
  <c r="AA32" i="11"/>
  <c r="AB32" i="11"/>
  <c r="AC32" i="11"/>
  <c r="D33" i="11"/>
  <c r="E33" i="11"/>
  <c r="F33" i="11"/>
  <c r="G33" i="11"/>
  <c r="I33" i="11"/>
  <c r="J33" i="11"/>
  <c r="K33" i="11"/>
  <c r="L33" i="11"/>
  <c r="M33" i="11"/>
  <c r="N33" i="11"/>
  <c r="O33" i="11"/>
  <c r="P33" i="11"/>
  <c r="Q33" i="11"/>
  <c r="R33" i="11"/>
  <c r="T33" i="11"/>
  <c r="U33" i="11"/>
  <c r="V33" i="11"/>
  <c r="W33" i="11"/>
  <c r="X33" i="11"/>
  <c r="Y33" i="11"/>
  <c r="Z33" i="11"/>
  <c r="AA33" i="11"/>
  <c r="AB33" i="11"/>
  <c r="AC33" i="11"/>
  <c r="D34" i="11"/>
  <c r="E34" i="11"/>
  <c r="F34" i="11"/>
  <c r="G34" i="11"/>
  <c r="I34" i="11"/>
  <c r="J34" i="11"/>
  <c r="K34" i="11"/>
  <c r="L34" i="11"/>
  <c r="M34" i="11"/>
  <c r="N34" i="11"/>
  <c r="O34" i="11"/>
  <c r="P34" i="11"/>
  <c r="Q34" i="11"/>
  <c r="R34" i="11"/>
  <c r="T34" i="11"/>
  <c r="U34" i="11"/>
  <c r="V34" i="11"/>
  <c r="W34" i="11"/>
  <c r="X34" i="11"/>
  <c r="Y34" i="11"/>
  <c r="Z34" i="11"/>
  <c r="AA34" i="11"/>
  <c r="AB34" i="11"/>
  <c r="AC34" i="11"/>
  <c r="D35" i="11"/>
  <c r="E35" i="11"/>
  <c r="F35" i="11"/>
  <c r="G35" i="11"/>
  <c r="I35" i="11"/>
  <c r="J35" i="11"/>
  <c r="K35" i="11"/>
  <c r="L35" i="11"/>
  <c r="M35" i="11"/>
  <c r="N35" i="11"/>
  <c r="O35" i="11"/>
  <c r="P35" i="11"/>
  <c r="Q35" i="11"/>
  <c r="R35" i="11"/>
  <c r="T35" i="11"/>
  <c r="U35" i="11"/>
  <c r="V35" i="11"/>
  <c r="W35" i="11"/>
  <c r="X35" i="11"/>
  <c r="Y35" i="11"/>
  <c r="Z35" i="11"/>
  <c r="AA35" i="11"/>
  <c r="AB35" i="11"/>
  <c r="AC35" i="11"/>
  <c r="D36" i="11"/>
  <c r="E36" i="11"/>
  <c r="F36" i="11"/>
  <c r="G36" i="11"/>
  <c r="I36" i="11"/>
  <c r="J36" i="11"/>
  <c r="K36" i="11"/>
  <c r="L36" i="11"/>
  <c r="M36" i="11"/>
  <c r="N36" i="11"/>
  <c r="O36" i="11"/>
  <c r="P36" i="11"/>
  <c r="Q36" i="11"/>
  <c r="R36" i="11"/>
  <c r="T36" i="11"/>
  <c r="U36" i="11"/>
  <c r="V36" i="11"/>
  <c r="W36" i="11"/>
  <c r="X36" i="11"/>
  <c r="Y36" i="11"/>
  <c r="Z36" i="11"/>
  <c r="AA36" i="11"/>
  <c r="AB36" i="11"/>
  <c r="AC36" i="11"/>
  <c r="D37" i="11"/>
  <c r="E37" i="11"/>
  <c r="F37" i="11"/>
  <c r="G37" i="11"/>
  <c r="I37" i="11"/>
  <c r="J37" i="11"/>
  <c r="K37" i="11"/>
  <c r="L37" i="11"/>
  <c r="M37" i="11"/>
  <c r="N37" i="11"/>
  <c r="O37" i="11"/>
  <c r="P37" i="11"/>
  <c r="Q37" i="11"/>
  <c r="R37" i="11"/>
  <c r="T37" i="11"/>
  <c r="U37" i="11"/>
  <c r="V37" i="11"/>
  <c r="W37" i="11"/>
  <c r="X37" i="11"/>
  <c r="Y37" i="11"/>
  <c r="Z37" i="11"/>
  <c r="AA37" i="11"/>
  <c r="AB37" i="11"/>
  <c r="AC37" i="11"/>
  <c r="D38" i="11"/>
  <c r="E38" i="11"/>
  <c r="F38" i="11"/>
  <c r="G38" i="11"/>
  <c r="I38" i="11"/>
  <c r="J38" i="11"/>
  <c r="K38" i="11"/>
  <c r="L38" i="11"/>
  <c r="M38" i="11"/>
  <c r="N38" i="11"/>
  <c r="O38" i="11"/>
  <c r="P38" i="11"/>
  <c r="Q38" i="11"/>
  <c r="R38" i="11"/>
  <c r="T38" i="11"/>
  <c r="U38" i="11"/>
  <c r="V38" i="11"/>
  <c r="W38" i="11"/>
  <c r="X38" i="11"/>
  <c r="Y38" i="11"/>
  <c r="Z38" i="11"/>
  <c r="AA38" i="11"/>
  <c r="AB38" i="11"/>
  <c r="AC38" i="11"/>
  <c r="D39" i="11"/>
  <c r="E39" i="11"/>
  <c r="F39" i="11"/>
  <c r="G39" i="11"/>
  <c r="I39" i="11"/>
  <c r="J39" i="11"/>
  <c r="K39" i="11"/>
  <c r="L39" i="11"/>
  <c r="M39" i="11"/>
  <c r="N39" i="11"/>
  <c r="O39" i="11"/>
  <c r="P39" i="11"/>
  <c r="Q39" i="11"/>
  <c r="R39" i="11"/>
  <c r="T39" i="11"/>
  <c r="U39" i="11"/>
  <c r="V39" i="11"/>
  <c r="W39" i="11"/>
  <c r="X39" i="11"/>
  <c r="Y39" i="11"/>
  <c r="Z39" i="11"/>
  <c r="AA39" i="11"/>
  <c r="AB39" i="11"/>
  <c r="AC39" i="11"/>
  <c r="D40" i="11"/>
  <c r="F40" i="11"/>
  <c r="G40" i="11"/>
  <c r="J40" i="11"/>
  <c r="K40" i="11"/>
  <c r="L40" i="11"/>
  <c r="M40" i="11"/>
  <c r="N40" i="11"/>
  <c r="O40" i="11"/>
  <c r="P40" i="11"/>
  <c r="Q40" i="11"/>
  <c r="R40" i="11"/>
  <c r="T40" i="11"/>
  <c r="U40" i="11"/>
  <c r="V40" i="11"/>
  <c r="W40" i="11"/>
  <c r="X40" i="11"/>
  <c r="Y40" i="11"/>
  <c r="Z40" i="11"/>
  <c r="AA40" i="11"/>
  <c r="AB40" i="11"/>
  <c r="AC40" i="11"/>
  <c r="D41" i="11"/>
  <c r="F41" i="11"/>
  <c r="G41" i="11"/>
  <c r="J41" i="11"/>
  <c r="K41" i="11"/>
  <c r="L41" i="11"/>
  <c r="M41" i="11"/>
  <c r="N41" i="11"/>
  <c r="O41" i="11"/>
  <c r="Q41" i="11"/>
  <c r="R41" i="11"/>
  <c r="T41" i="11"/>
  <c r="U41" i="11"/>
  <c r="V41" i="11"/>
  <c r="W41" i="11"/>
  <c r="X41" i="11"/>
  <c r="Y41" i="11"/>
  <c r="Z41" i="11"/>
  <c r="AA41" i="11"/>
  <c r="AB41" i="11"/>
  <c r="AC41" i="11"/>
  <c r="D43" i="11"/>
  <c r="E43" i="11"/>
  <c r="F43" i="11"/>
  <c r="M43" i="11"/>
  <c r="N43" i="11"/>
  <c r="O43" i="11"/>
  <c r="T43" i="11"/>
  <c r="U43" i="11"/>
  <c r="V43" i="11"/>
  <c r="W43" i="11"/>
  <c r="X43" i="11"/>
  <c r="Y43" i="11"/>
  <c r="Z43" i="11"/>
  <c r="AA43" i="11"/>
  <c r="AB43" i="11"/>
  <c r="AC43" i="11"/>
  <c r="AC46" i="11"/>
  <c r="E51" i="11"/>
  <c r="F51" i="11"/>
  <c r="H51" i="11"/>
  <c r="I51" i="11"/>
  <c r="J51" i="11"/>
  <c r="K51" i="11"/>
  <c r="E52" i="11"/>
  <c r="F52" i="11"/>
  <c r="H52" i="11"/>
  <c r="J52" i="11"/>
  <c r="K52" i="11"/>
  <c r="E53" i="11"/>
  <c r="F53" i="11"/>
  <c r="H53" i="11"/>
  <c r="J53" i="11"/>
  <c r="K53" i="11"/>
  <c r="E54" i="11"/>
  <c r="F54" i="11"/>
  <c r="H54" i="11"/>
  <c r="J54" i="11"/>
  <c r="K54" i="11"/>
  <c r="AC54" i="11"/>
  <c r="K55" i="11"/>
  <c r="C37" i="13"/>
  <c r="D37" i="13"/>
  <c r="E37" i="13"/>
  <c r="F37" i="13"/>
  <c r="G37" i="13"/>
  <c r="H37" i="1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</calcChain>
</file>

<file path=xl/sharedStrings.xml><?xml version="1.0" encoding="utf-8"?>
<sst xmlns="http://schemas.openxmlformats.org/spreadsheetml/2006/main" count="281" uniqueCount="158">
  <si>
    <t>Output</t>
  </si>
  <si>
    <t>(min)</t>
  </si>
  <si>
    <t>(MMBtu)</t>
  </si>
  <si>
    <t>(MWh)</t>
  </si>
  <si>
    <t>(MW)</t>
  </si>
  <si>
    <t>Monthly Customer Charge</t>
  </si>
  <si>
    <t>On-Peak</t>
  </si>
  <si>
    <t>Mid-Peak</t>
  </si>
  <si>
    <t>Off-Peak</t>
  </si>
  <si>
    <t>Time Related Demand Component</t>
  </si>
  <si>
    <t>Summer</t>
  </si>
  <si>
    <t>Winter</t>
  </si>
  <si>
    <t>Jul</t>
  </si>
  <si>
    <t>Aug</t>
  </si>
  <si>
    <t>Sept</t>
  </si>
  <si>
    <t>Average</t>
  </si>
  <si>
    <t>Wk Days</t>
  </si>
  <si>
    <t>Wknd Days</t>
  </si>
  <si>
    <t>($/kW)</t>
  </si>
  <si>
    <t>Time</t>
  </si>
  <si>
    <t>Event</t>
  </si>
  <si>
    <t>Start Execute</t>
  </si>
  <si>
    <t>Finish Purge, first fire</t>
  </si>
  <si>
    <t>Synchronize</t>
  </si>
  <si>
    <t>Full Load</t>
  </si>
  <si>
    <t>Jan</t>
  </si>
  <si>
    <t>Feb</t>
  </si>
  <si>
    <t>Mar</t>
  </si>
  <si>
    <t>April</t>
  </si>
  <si>
    <t>May</t>
  </si>
  <si>
    <t>October</t>
  </si>
  <si>
    <t>November</t>
  </si>
  <si>
    <t>December</t>
  </si>
  <si>
    <t>Total</t>
  </si>
  <si>
    <t>Jun</t>
  </si>
  <si>
    <t xml:space="preserve">Summer </t>
  </si>
  <si>
    <t>TOTAL CHARGES</t>
  </si>
  <si>
    <t>(kW)</t>
  </si>
  <si>
    <t>Facilities Related Component</t>
  </si>
  <si>
    <t>Peak Rate Limit Discount</t>
  </si>
  <si>
    <t>Voltage Discount</t>
  </si>
  <si>
    <t>Total Demand Charges</t>
  </si>
  <si>
    <t>Current Billing Subtotal</t>
  </si>
  <si>
    <t>State Tax</t>
  </si>
  <si>
    <t>Total Energy Charges</t>
  </si>
  <si>
    <t>Demand Component</t>
  </si>
  <si>
    <t>Energy Component</t>
  </si>
  <si>
    <t>(kWh)</t>
  </si>
  <si>
    <t>Reactive Power Component</t>
  </si>
  <si>
    <t>Total Reactive Power Charges</t>
  </si>
  <si>
    <t>Usage</t>
  </si>
  <si>
    <t>($/kWh)</t>
  </si>
  <si>
    <t>Power Factor Adjustment (kVar)</t>
  </si>
  <si>
    <t>(kVar)</t>
  </si>
  <si>
    <t>($/kVar)</t>
  </si>
  <si>
    <t>Other</t>
  </si>
  <si>
    <t>Rate</t>
  </si>
  <si>
    <t>($/month)</t>
  </si>
  <si>
    <t>City Tax</t>
  </si>
  <si>
    <t>HCC Retail Electric Charges</t>
  </si>
  <si>
    <t>($/MWh)</t>
  </si>
  <si>
    <t>Aux Load (kW)</t>
  </si>
  <si>
    <t>Idle Time (min)</t>
  </si>
  <si>
    <t>Idle Energy (kWh)</t>
  </si>
  <si>
    <t>Idle Energy Days</t>
  </si>
  <si>
    <t>Total Idle Energy</t>
  </si>
  <si>
    <t>Contract Capacity</t>
  </si>
  <si>
    <t>Contract Capacity Heat Rate</t>
  </si>
  <si>
    <t>Low Load Capacity</t>
  </si>
  <si>
    <t>Low Load Capacity Heat Rate</t>
  </si>
  <si>
    <t>Hour Ending</t>
  </si>
  <si>
    <t>Start Charge</t>
  </si>
  <si>
    <t>Gas</t>
  </si>
  <si>
    <t>Date</t>
  </si>
  <si>
    <t>Start</t>
  </si>
  <si>
    <t>Electricity</t>
  </si>
  <si>
    <t>CA Border</t>
  </si>
  <si>
    <t>Trans</t>
  </si>
  <si>
    <t>O&amp;M</t>
  </si>
  <si>
    <t>GMM</t>
  </si>
  <si>
    <t>Total Cost</t>
  </si>
  <si>
    <t>Fixed Cost</t>
  </si>
  <si>
    <t>Cold Start=1</t>
  </si>
  <si>
    <t>Hot Start=2</t>
  </si>
  <si>
    <t xml:space="preserve">Total </t>
  </si>
  <si>
    <t>Time to Start Execute</t>
  </si>
  <si>
    <t>Backfeed</t>
  </si>
  <si>
    <t>Gen Load</t>
  </si>
  <si>
    <t>Net</t>
  </si>
  <si>
    <t>Ramp Rate</t>
  </si>
  <si>
    <t>Net Power</t>
  </si>
  <si>
    <t>Energy</t>
  </si>
  <si>
    <t>Demand</t>
  </si>
  <si>
    <t>Mid Peak</t>
  </si>
  <si>
    <t>On Peak</t>
  </si>
  <si>
    <t xml:space="preserve">Energy </t>
  </si>
  <si>
    <t>Off Peak</t>
  </si>
  <si>
    <t>($)</t>
  </si>
  <si>
    <t>Start/Base</t>
  </si>
  <si>
    <t>Start/Synch</t>
  </si>
  <si>
    <t>Sync/Base</t>
  </si>
  <si>
    <t>Synch/Base</t>
  </si>
  <si>
    <t>Cold Start</t>
  </si>
  <si>
    <t>Hot Start</t>
  </si>
  <si>
    <t>Scheduled</t>
  </si>
  <si>
    <t xml:space="preserve">Variable Cost </t>
  </si>
  <si>
    <t>V O&amp;M</t>
  </si>
  <si>
    <t>(MMBtu/MWh)</t>
  </si>
  <si>
    <t>Start Energy</t>
  </si>
  <si>
    <t>Start Demand</t>
  </si>
  <si>
    <t>45 min to full load, shut down less than 4 hours</t>
  </si>
  <si>
    <t>1 hour to full load, shut down more than 4 hours</t>
  </si>
  <si>
    <t>Retail Elec</t>
  </si>
  <si>
    <t xml:space="preserve">Electric </t>
  </si>
  <si>
    <t>Price</t>
  </si>
  <si>
    <t>Users Tax</t>
  </si>
  <si>
    <t xml:space="preserve">Interconnect </t>
  </si>
  <si>
    <t xml:space="preserve"> </t>
  </si>
  <si>
    <t>Revenue</t>
  </si>
  <si>
    <t>Profit</t>
  </si>
  <si>
    <t>$/kW-mo</t>
  </si>
  <si>
    <t>Daily Interc</t>
  </si>
  <si>
    <t>Applicable HR</t>
  </si>
  <si>
    <t>Start Time</t>
  </si>
  <si>
    <t>July</t>
  </si>
  <si>
    <t>Oct</t>
  </si>
  <si>
    <t>Nov</t>
  </si>
  <si>
    <t>Start Gas (MMBtu)</t>
  </si>
  <si>
    <t>Sep</t>
  </si>
  <si>
    <t>Jun '01</t>
  </si>
  <si>
    <t>Riverside Canal Pricing Model</t>
  </si>
  <si>
    <t>Term</t>
  </si>
  <si>
    <t>Variable Costs</t>
  </si>
  <si>
    <t>Start-Up Gas</t>
  </si>
  <si>
    <t>NYMEX</t>
  </si>
  <si>
    <t>SoCal Financial Basis</t>
  </si>
  <si>
    <t>SoCal Physical Premium</t>
  </si>
  <si>
    <t>SoCal Intrastate</t>
  </si>
  <si>
    <t>Total Gas Cost</t>
  </si>
  <si>
    <t>Power Quantity</t>
  </si>
  <si>
    <t>Unit 1</t>
  </si>
  <si>
    <t>Unit 2</t>
  </si>
  <si>
    <t>Unit 3</t>
  </si>
  <si>
    <t>Unit 4</t>
  </si>
  <si>
    <t>Gas Offer</t>
  </si>
  <si>
    <t>Power Bid</t>
  </si>
  <si>
    <t>SP-15 Peak</t>
  </si>
  <si>
    <t>SP-15 Off Peak</t>
  </si>
  <si>
    <t>Heat Rates</t>
  </si>
  <si>
    <t>Peak</t>
  </si>
  <si>
    <t>Hours of Operation</t>
  </si>
  <si>
    <t xml:space="preserve">Electricity </t>
  </si>
  <si>
    <t xml:space="preserve">  Peak </t>
  </si>
  <si>
    <t xml:space="preserve">  Off Peak</t>
  </si>
  <si>
    <t>Marginal Cost</t>
  </si>
  <si>
    <t>Profit Margin</t>
  </si>
  <si>
    <t>Net Profit</t>
  </si>
  <si>
    <t>Total Intrinsic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</si>
</sst>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6" formatCode="_(* #,##0_);_(* \(#,##0\);_(* &quot;-&quot;??_);_(@_)"/>
    <numFmt numFmtId="167" formatCode="0.0"/>
    <numFmt numFmtId="168" formatCode="0.000"/>
    <numFmt numFmtId="170" formatCode="_(&quot;$&quot;* #,##0.0000_);_(&quot;$&quot;* \(#,##0.0000\);_(&quot;$&quot;* &quot;-&quot;??_);_(@_)"/>
    <numFmt numFmtId="178" formatCode="_(* #,##0.000000_);_(* \(#,##0.000000\);_(* &quot;-&quot;??_);_(@_)"/>
    <numFmt numFmtId="182" formatCode="_(&quot;$&quot;* #,##0_);_(&quot;$&quot;* \(#,##0\);_(&quot;$&quot;* &quot;-&quot;??_);_(@_)"/>
    <numFmt numFmtId="184" formatCode="#,##0.000"/>
    <numFmt numFmtId="186" formatCode="_(&quot;$&quot;* #,##0.00000_);_(&quot;$&quot;* \(#,##0.00000\);_(&quot;$&quot;* &quot;-&quot;??_);_(@_)"/>
  </numFmts>
  <fonts count="1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</font>
    <font>
      <sz val="10"/>
      <name val="Arial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166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1" applyNumberFormat="1" applyFont="1"/>
    <xf numFmtId="0" fontId="2" fillId="0" borderId="0" xfId="0" applyFont="1"/>
    <xf numFmtId="44" fontId="0" fillId="0" borderId="0" xfId="2" applyFont="1"/>
    <xf numFmtId="0" fontId="5" fillId="0" borderId="0" xfId="0" applyFont="1"/>
    <xf numFmtId="167" fontId="0" fillId="0" borderId="0" xfId="0" applyNumberFormat="1"/>
    <xf numFmtId="1" fontId="0" fillId="0" borderId="0" xfId="0" applyNumberFormat="1"/>
    <xf numFmtId="44" fontId="5" fillId="0" borderId="0" xfId="0" applyNumberFormat="1" applyFont="1"/>
    <xf numFmtId="0" fontId="5" fillId="0" borderId="0" xfId="0" applyFont="1" applyAlignment="1">
      <alignment horizontal="center"/>
    </xf>
    <xf numFmtId="44" fontId="0" fillId="0" borderId="0" xfId="0" applyNumberFormat="1"/>
    <xf numFmtId="44" fontId="5" fillId="0" borderId="0" xfId="2" applyFont="1"/>
    <xf numFmtId="0" fontId="0" fillId="0" borderId="1" xfId="0" applyBorder="1"/>
    <xf numFmtId="1" fontId="2" fillId="0" borderId="0" xfId="0" applyNumberFormat="1" applyFont="1" applyAlignment="1">
      <alignment horizontal="center"/>
    </xf>
    <xf numFmtId="166" fontId="0" fillId="0" borderId="0" xfId="0" applyNumberFormat="1"/>
    <xf numFmtId="44" fontId="0" fillId="0" borderId="0" xfId="2" applyFont="1" applyBorder="1"/>
    <xf numFmtId="0" fontId="0" fillId="0" borderId="0" xfId="0" applyNumberFormat="1"/>
    <xf numFmtId="0" fontId="0" fillId="2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66" fontId="10" fillId="0" borderId="2" xfId="1" applyNumberFormat="1" applyFont="1" applyBorder="1"/>
    <xf numFmtId="166" fontId="10" fillId="0" borderId="3" xfId="1" applyNumberFormat="1" applyFont="1" applyBorder="1"/>
    <xf numFmtId="44" fontId="8" fillId="0" borderId="0" xfId="2" applyFont="1"/>
    <xf numFmtId="166" fontId="8" fillId="0" borderId="0" xfId="1" applyNumberFormat="1" applyFont="1"/>
    <xf numFmtId="0" fontId="8" fillId="0" borderId="1" xfId="0" applyFont="1" applyBorder="1"/>
    <xf numFmtId="166" fontId="10" fillId="0" borderId="4" xfId="1" applyNumberFormat="1" applyFont="1" applyBorder="1"/>
    <xf numFmtId="44" fontId="8" fillId="0" borderId="1" xfId="2" applyFont="1" applyBorder="1"/>
    <xf numFmtId="166" fontId="10" fillId="0" borderId="0" xfId="1" applyNumberFormat="1" applyFont="1"/>
    <xf numFmtId="44" fontId="7" fillId="0" borderId="0" xfId="0" applyNumberFormat="1" applyFont="1"/>
    <xf numFmtId="44" fontId="8" fillId="0" borderId="0" xfId="2" applyFont="1" applyAlignment="1">
      <alignment horizontal="center"/>
    </xf>
    <xf numFmtId="170" fontId="8" fillId="0" borderId="0" xfId="2" applyNumberFormat="1" applyFont="1"/>
    <xf numFmtId="166" fontId="10" fillId="0" borderId="5" xfId="1" applyNumberFormat="1" applyFont="1" applyBorder="1"/>
    <xf numFmtId="166" fontId="10" fillId="0" borderId="6" xfId="1" applyNumberFormat="1" applyFont="1" applyBorder="1"/>
    <xf numFmtId="170" fontId="8" fillId="0" borderId="1" xfId="2" applyNumberFormat="1" applyFont="1" applyBorder="1"/>
    <xf numFmtId="44" fontId="7" fillId="0" borderId="0" xfId="2" applyFont="1"/>
    <xf numFmtId="0" fontId="10" fillId="0" borderId="0" xfId="0" applyFont="1"/>
    <xf numFmtId="0" fontId="8" fillId="0" borderId="1" xfId="0" applyFont="1" applyFill="1" applyBorder="1"/>
    <xf numFmtId="0" fontId="7" fillId="0" borderId="0" xfId="0" applyFont="1" applyFill="1"/>
    <xf numFmtId="0" fontId="8" fillId="0" borderId="0" xfId="0" applyFont="1" applyFill="1"/>
    <xf numFmtId="44" fontId="8" fillId="0" borderId="0" xfId="0" applyNumberFormat="1" applyFont="1"/>
    <xf numFmtId="10" fontId="10" fillId="0" borderId="0" xfId="0" applyNumberFormat="1" applyFont="1"/>
    <xf numFmtId="0" fontId="7" fillId="0" borderId="7" xfId="0" applyFont="1" applyBorder="1"/>
    <xf numFmtId="0" fontId="8" fillId="0" borderId="7" xfId="0" applyFont="1" applyBorder="1"/>
    <xf numFmtId="166" fontId="8" fillId="0" borderId="7" xfId="1" applyNumberFormat="1" applyFont="1" applyBorder="1"/>
    <xf numFmtId="44" fontId="8" fillId="0" borderId="7" xfId="2" applyFont="1" applyBorder="1"/>
    <xf numFmtId="166" fontId="10" fillId="0" borderId="0" xfId="1" applyNumberFormat="1" applyFont="1" applyFill="1" applyBorder="1"/>
    <xf numFmtId="166" fontId="8" fillId="0" borderId="0" xfId="1" applyNumberFormat="1" applyFont="1" applyFill="1"/>
    <xf numFmtId="10" fontId="8" fillId="0" borderId="1" xfId="0" applyNumberFormat="1" applyFont="1" applyBorder="1"/>
    <xf numFmtId="10" fontId="9" fillId="0" borderId="0" xfId="0" applyNumberFormat="1" applyFont="1"/>
    <xf numFmtId="9" fontId="8" fillId="0" borderId="0" xfId="3" applyFont="1"/>
    <xf numFmtId="178" fontId="8" fillId="0" borderId="7" xfId="1" applyNumberFormat="1" applyFont="1" applyBorder="1"/>
    <xf numFmtId="166" fontId="7" fillId="0" borderId="0" xfId="1" applyNumberFormat="1" applyFont="1"/>
    <xf numFmtId="166" fontId="7" fillId="0" borderId="0" xfId="1" applyNumberFormat="1" applyFont="1" applyAlignment="1">
      <alignment horizontal="center"/>
    </xf>
    <xf numFmtId="14" fontId="0" fillId="0" borderId="0" xfId="0" applyNumberFormat="1"/>
    <xf numFmtId="0" fontId="0" fillId="0" borderId="0" xfId="0" applyBorder="1"/>
    <xf numFmtId="44" fontId="13" fillId="0" borderId="0" xfId="0" applyNumberFormat="1" applyFont="1"/>
    <xf numFmtId="166" fontId="5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Alignment="1">
      <alignment horizontal="right"/>
    </xf>
    <xf numFmtId="17" fontId="5" fillId="0" borderId="0" xfId="0" applyNumberFormat="1" applyFont="1" applyBorder="1" applyAlignment="1">
      <alignment horizontal="center"/>
    </xf>
    <xf numFmtId="44" fontId="0" fillId="0" borderId="0" xfId="0" applyNumberFormat="1" applyBorder="1"/>
    <xf numFmtId="0" fontId="5" fillId="0" borderId="0" xfId="0" applyFont="1" applyBorder="1" applyAlignment="1">
      <alignment horizontal="center"/>
    </xf>
    <xf numFmtId="44" fontId="5" fillId="0" borderId="0" xfId="0" applyNumberFormat="1" applyFont="1" applyBorder="1"/>
    <xf numFmtId="0" fontId="6" fillId="0" borderId="0" xfId="0" applyFont="1" applyBorder="1"/>
    <xf numFmtId="0" fontId="5" fillId="0" borderId="0" xfId="0" applyFont="1" applyBorder="1"/>
    <xf numFmtId="44" fontId="5" fillId="0" borderId="0" xfId="2" applyFont="1" applyBorder="1"/>
    <xf numFmtId="0" fontId="0" fillId="3" borderId="0" xfId="0" applyFill="1" applyBorder="1"/>
    <xf numFmtId="1" fontId="0" fillId="0" borderId="0" xfId="0" applyNumberFormat="1" applyBorder="1"/>
    <xf numFmtId="20" fontId="0" fillId="0" borderId="0" xfId="0" applyNumberFormat="1"/>
    <xf numFmtId="10" fontId="12" fillId="0" borderId="0" xfId="0" applyNumberFormat="1" applyFont="1"/>
    <xf numFmtId="3" fontId="0" fillId="0" borderId="0" xfId="1" applyNumberFormat="1" applyFont="1"/>
    <xf numFmtId="3" fontId="2" fillId="0" borderId="0" xfId="1" applyNumberFormat="1" applyFont="1"/>
    <xf numFmtId="164" fontId="0" fillId="0" borderId="0" xfId="1" applyNumberFormat="1" applyFont="1"/>
    <xf numFmtId="184" fontId="0" fillId="0" borderId="0" xfId="0" applyNumberFormat="1"/>
    <xf numFmtId="14" fontId="2" fillId="0" borderId="0" xfId="0" applyNumberFormat="1" applyFont="1"/>
    <xf numFmtId="164" fontId="2" fillId="0" borderId="0" xfId="1" applyNumberFormat="1" applyFont="1"/>
    <xf numFmtId="44" fontId="2" fillId="0" borderId="0" xfId="2" applyFont="1"/>
    <xf numFmtId="44" fontId="2" fillId="0" borderId="0" xfId="0" applyNumberFormat="1" applyFont="1"/>
    <xf numFmtId="182" fontId="2" fillId="0" borderId="0" xfId="2" applyNumberFormat="1" applyFont="1"/>
    <xf numFmtId="182" fontId="0" fillId="0" borderId="0" xfId="0" applyNumberFormat="1"/>
    <xf numFmtId="168" fontId="2" fillId="0" borderId="0" xfId="0" applyNumberFormat="1" applyFont="1"/>
    <xf numFmtId="14" fontId="0" fillId="2" borderId="0" xfId="0" applyNumberFormat="1" applyFill="1"/>
    <xf numFmtId="186" fontId="0" fillId="0" borderId="0" xfId="0" applyNumberFormat="1" applyBorder="1"/>
    <xf numFmtId="0" fontId="0" fillId="0" borderId="0" xfId="0" applyAlignment="1"/>
    <xf numFmtId="20" fontId="0" fillId="0" borderId="1" xfId="0" applyNumberFormat="1" applyBorder="1"/>
    <xf numFmtId="0" fontId="2" fillId="0" borderId="1" xfId="0" applyFont="1" applyBorder="1"/>
    <xf numFmtId="184" fontId="0" fillId="0" borderId="1" xfId="0" applyNumberFormat="1" applyBorder="1"/>
    <xf numFmtId="168" fontId="2" fillId="0" borderId="1" xfId="0" applyNumberFormat="1" applyFont="1" applyBorder="1"/>
    <xf numFmtId="164" fontId="0" fillId="0" borderId="1" xfId="1" applyNumberFormat="1" applyFont="1" applyBorder="1"/>
    <xf numFmtId="4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/>
    <xf numFmtId="0" fontId="2" fillId="0" borderId="0" xfId="0" applyFont="1" applyBorder="1"/>
    <xf numFmtId="184" fontId="0" fillId="0" borderId="0" xfId="0" applyNumberFormat="1" applyBorder="1"/>
    <xf numFmtId="164" fontId="0" fillId="0" borderId="0" xfId="1" applyNumberFormat="1" applyFont="1" applyBorder="1"/>
    <xf numFmtId="2" fontId="0" fillId="0" borderId="0" xfId="0" applyNumberFormat="1" applyBorder="1"/>
    <xf numFmtId="0" fontId="0" fillId="0" borderId="0" xfId="0" applyBorder="1" applyAlignment="1"/>
    <xf numFmtId="20" fontId="0" fillId="2" borderId="1" xfId="0" applyNumberFormat="1" applyFill="1" applyBorder="1"/>
    <xf numFmtId="20" fontId="0" fillId="2" borderId="0" xfId="0" applyNumberFormat="1" applyFill="1"/>
    <xf numFmtId="20" fontId="0" fillId="2" borderId="0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43" fontId="0" fillId="0" borderId="18" xfId="0" applyNumberFormat="1" applyBorder="1"/>
    <xf numFmtId="182" fontId="2" fillId="0" borderId="1" xfId="2" applyNumberFormat="1" applyFont="1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44" fontId="6" fillId="0" borderId="14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12" fillId="0" borderId="9" xfId="0" applyFont="1" applyBorder="1" applyAlignment="1">
      <alignment horizontal="center"/>
    </xf>
    <xf numFmtId="182" fontId="2" fillId="0" borderId="0" xfId="2" applyNumberFormat="1" applyFont="1" applyBorder="1"/>
    <xf numFmtId="43" fontId="2" fillId="0" borderId="0" xfId="2" applyNumberFormat="1" applyFont="1"/>
    <xf numFmtId="43" fontId="0" fillId="0" borderId="0" xfId="0" applyNumberFormat="1" applyBorder="1"/>
    <xf numFmtId="0" fontId="0" fillId="0" borderId="8" xfId="0" applyBorder="1" applyAlignment="1">
      <alignment horizontal="left"/>
    </xf>
    <xf numFmtId="0" fontId="16" fillId="0" borderId="0" xfId="0" applyFont="1" applyBorder="1"/>
    <xf numFmtId="182" fontId="0" fillId="0" borderId="0" xfId="2" applyNumberFormat="1" applyFont="1"/>
    <xf numFmtId="182" fontId="0" fillId="0" borderId="1" xfId="2" applyNumberFormat="1" applyFont="1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HCC Heat Rate vs Load</a:t>
            </a:r>
          </a:p>
        </c:rich>
      </c:tx>
      <c:layout>
        <c:manualLayout>
          <c:xMode val="edge"/>
          <c:yMode val="edge"/>
          <c:x val="0.3973362930077691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45E-2"/>
          <c:y val="0.12234910277324633"/>
          <c:w val="0.90344062153163152"/>
          <c:h val="0.7716150081566068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Sheet1!$AH$23:$AH$29</c:f>
              <c:numCache>
                <c:formatCode>#,##0</c:formatCode>
                <c:ptCount val="7"/>
              </c:numCache>
            </c:numRef>
          </c:xVal>
          <c:yVal>
            <c:numRef>
              <c:f>Sheet1!$AK$23:$AK$29</c:f>
              <c:numCache>
                <c:formatCode>_(* #,##0_);_(* \(#,##0\);_(* "-"??_);_(@_)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2-4916-8C24-C0B21787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65424"/>
        <c:axId val="1"/>
      </c:scatterChart>
      <c:valAx>
        <c:axId val="130416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Output (kW)</a:t>
                </a:r>
              </a:p>
            </c:rich>
          </c:tx>
          <c:layout>
            <c:manualLayout>
              <c:xMode val="edge"/>
              <c:yMode val="edge"/>
              <c:x val="0.4883462819089899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 Rate (Btu/kWh)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13050570962479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4165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HCC Net Power vs Time for Start</a:t>
            </a:r>
          </a:p>
        </c:rich>
      </c:tx>
      <c:layout>
        <c:manualLayout>
          <c:xMode val="edge"/>
          <c:yMode val="edge"/>
          <c:x val="0.3596004439511653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944506104328525E-2"/>
          <c:y val="0.12234910277324633"/>
          <c:w val="0.92674805771365154"/>
          <c:h val="0.80424143556280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'Start Gas'!$E$5</c:f>
              <c:strCache>
                <c:ptCount val="1"/>
                <c:pt idx="0">
                  <c:v> Net Power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'Start Gas'!$B$6:$B$96</c:f>
              <c:numCache>
                <c:formatCode>General</c:formatCode>
                <c:ptCount val="9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</c:numCache>
            </c:numRef>
          </c:xVal>
          <c:yVal>
            <c:numRef>
              <c:f>'Start Gas'!$E$6:$E$96</c:f>
              <c:numCache>
                <c:formatCode>_(* #,##0_);_(* \(#,##0\);_(* "-"??_);_(@_)</c:formatCode>
                <c:ptCount val="91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-0.3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-0.3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-1.8</c:v>
                </c:pt>
                <c:pt idx="16">
                  <c:v>-1.8</c:v>
                </c:pt>
                <c:pt idx="17">
                  <c:v>-1.8</c:v>
                </c:pt>
                <c:pt idx="18">
                  <c:v>-1.8</c:v>
                </c:pt>
                <c:pt idx="19">
                  <c:v>-1.8</c:v>
                </c:pt>
                <c:pt idx="20">
                  <c:v>-1.8</c:v>
                </c:pt>
                <c:pt idx="21">
                  <c:v>-1.8</c:v>
                </c:pt>
                <c:pt idx="22">
                  <c:v>-1.8</c:v>
                </c:pt>
                <c:pt idx="23">
                  <c:v>-1.8</c:v>
                </c:pt>
                <c:pt idx="24">
                  <c:v>-1.8</c:v>
                </c:pt>
                <c:pt idx="25">
                  <c:v>-1.8</c:v>
                </c:pt>
                <c:pt idx="26">
                  <c:v>-1.8</c:v>
                </c:pt>
                <c:pt idx="27">
                  <c:v>-1.8</c:v>
                </c:pt>
                <c:pt idx="28">
                  <c:v>-1.8</c:v>
                </c:pt>
                <c:pt idx="29">
                  <c:v>-1.8</c:v>
                </c:pt>
                <c:pt idx="30">
                  <c:v>-1.8</c:v>
                </c:pt>
                <c:pt idx="31">
                  <c:v>-2.5</c:v>
                </c:pt>
                <c:pt idx="32">
                  <c:v>-2.2000000000000002</c:v>
                </c:pt>
                <c:pt idx="33">
                  <c:v>-2.2000000000000002</c:v>
                </c:pt>
                <c:pt idx="34">
                  <c:v>-2.2000000000000002</c:v>
                </c:pt>
                <c:pt idx="35">
                  <c:v>-2.2000000000000002</c:v>
                </c:pt>
                <c:pt idx="36">
                  <c:v>-2.2000000000000002</c:v>
                </c:pt>
                <c:pt idx="37">
                  <c:v>-2.2000000000000002</c:v>
                </c:pt>
                <c:pt idx="38">
                  <c:v>-2.2000000000000002</c:v>
                </c:pt>
                <c:pt idx="39">
                  <c:v>-2.2000000000000002</c:v>
                </c:pt>
                <c:pt idx="40">
                  <c:v>-2.2000000000000002</c:v>
                </c:pt>
                <c:pt idx="41">
                  <c:v>-2.2000000000000002</c:v>
                </c:pt>
                <c:pt idx="42">
                  <c:v>-2.2000000000000002</c:v>
                </c:pt>
                <c:pt idx="43">
                  <c:v>-2.2000000000000002</c:v>
                </c:pt>
                <c:pt idx="44">
                  <c:v>-2.2000000000000002</c:v>
                </c:pt>
                <c:pt idx="45">
                  <c:v>-2.2000000000000002</c:v>
                </c:pt>
                <c:pt idx="46">
                  <c:v>-2.2000000000000002</c:v>
                </c:pt>
                <c:pt idx="47">
                  <c:v>-2.2000000000000002</c:v>
                </c:pt>
                <c:pt idx="48">
                  <c:v>-2.2000000000000002</c:v>
                </c:pt>
                <c:pt idx="49">
                  <c:v>-2.2000000000000002</c:v>
                </c:pt>
                <c:pt idx="50">
                  <c:v>-2.2000000000000002</c:v>
                </c:pt>
                <c:pt idx="51">
                  <c:v>3.2</c:v>
                </c:pt>
                <c:pt idx="52">
                  <c:v>6.4</c:v>
                </c:pt>
                <c:pt idx="53">
                  <c:v>9.6000000000000014</c:v>
                </c:pt>
                <c:pt idx="54">
                  <c:v>12.8</c:v>
                </c:pt>
                <c:pt idx="55">
                  <c:v>16</c:v>
                </c:pt>
                <c:pt idx="56">
                  <c:v>19.2</c:v>
                </c:pt>
                <c:pt idx="57">
                  <c:v>22.4</c:v>
                </c:pt>
                <c:pt idx="58">
                  <c:v>25.599999999999998</c:v>
                </c:pt>
                <c:pt idx="59">
                  <c:v>28.799999999999997</c:v>
                </c:pt>
                <c:pt idx="60">
                  <c:v>31.999999999999996</c:v>
                </c:pt>
                <c:pt idx="61">
                  <c:v>35.199999999999996</c:v>
                </c:pt>
                <c:pt idx="62">
                  <c:v>38.4</c:v>
                </c:pt>
                <c:pt idx="63">
                  <c:v>41.6</c:v>
                </c:pt>
                <c:pt idx="64">
                  <c:v>44.800000000000004</c:v>
                </c:pt>
                <c:pt idx="65">
                  <c:v>48.000000000000007</c:v>
                </c:pt>
                <c:pt idx="66">
                  <c:v>51.20000000000001</c:v>
                </c:pt>
                <c:pt idx="67">
                  <c:v>54.400000000000013</c:v>
                </c:pt>
                <c:pt idx="68">
                  <c:v>57.600000000000016</c:v>
                </c:pt>
                <c:pt idx="69">
                  <c:v>60.800000000000018</c:v>
                </c:pt>
                <c:pt idx="70">
                  <c:v>64.000000000000014</c:v>
                </c:pt>
                <c:pt idx="71">
                  <c:v>67.200000000000017</c:v>
                </c:pt>
                <c:pt idx="72">
                  <c:v>70.40000000000002</c:v>
                </c:pt>
                <c:pt idx="73">
                  <c:v>73.600000000000023</c:v>
                </c:pt>
                <c:pt idx="74">
                  <c:v>76.800000000000026</c:v>
                </c:pt>
                <c:pt idx="75">
                  <c:v>80.000000000000028</c:v>
                </c:pt>
                <c:pt idx="76">
                  <c:v>83.200000000000031</c:v>
                </c:pt>
                <c:pt idx="77">
                  <c:v>86.400000000000034</c:v>
                </c:pt>
                <c:pt idx="78">
                  <c:v>89.600000000000037</c:v>
                </c:pt>
                <c:pt idx="79">
                  <c:v>92.80000000000004</c:v>
                </c:pt>
                <c:pt idx="80">
                  <c:v>96.000000000000043</c:v>
                </c:pt>
                <c:pt idx="81">
                  <c:v>99.200000000000045</c:v>
                </c:pt>
                <c:pt idx="82">
                  <c:v>102.40000000000005</c:v>
                </c:pt>
                <c:pt idx="83">
                  <c:v>105.60000000000005</c:v>
                </c:pt>
                <c:pt idx="84">
                  <c:v>108.80000000000005</c:v>
                </c:pt>
                <c:pt idx="85">
                  <c:v>112.00000000000006</c:v>
                </c:pt>
                <c:pt idx="86">
                  <c:v>115.20000000000006</c:v>
                </c:pt>
                <c:pt idx="87">
                  <c:v>118.40000000000006</c:v>
                </c:pt>
                <c:pt idx="88">
                  <c:v>121.60000000000007</c:v>
                </c:pt>
                <c:pt idx="89">
                  <c:v>124.80000000000007</c:v>
                </c:pt>
                <c:pt idx="90">
                  <c:v>128.00000000000006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8-4EA8-B1A5-E26D7B53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63936"/>
        <c:axId val="1"/>
      </c:scatterChart>
      <c:valAx>
        <c:axId val="13041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Relative to Start Execute Command (Min)</a:t>
                </a:r>
              </a:p>
            </c:rich>
          </c:tx>
          <c:layout>
            <c:manualLayout>
              <c:xMode val="edge"/>
              <c:yMode val="edge"/>
              <c:x val="0.346281908990011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5008156606851549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4163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95" workbookViewId="0"/>
  </sheetViews>
  <pageMargins left="0.75" right="0.75" top="1" bottom="1" header="0.5" footer="0.5"/>
  <pageSetup orientation="landscape" horizont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3FF0031-36DA-A655-E27D-8A0E994BFE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8AB0C9A-C5F7-6219-254D-8D00DEEA7D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3"/>
  <sheetViews>
    <sheetView tabSelected="1" topLeftCell="A45" workbookViewId="0">
      <pane xSplit="2685" ySplit="3570" topLeftCell="B38" activePane="bottomRight"/>
      <selection activeCell="A42" sqref="A42"/>
      <selection pane="topRight" activeCell="B57" sqref="B57"/>
      <selection pane="bottomLeft" activeCell="A41" sqref="A41"/>
      <selection pane="bottomRight" activeCell="B43" sqref="B43"/>
    </sheetView>
  </sheetViews>
  <sheetFormatPr defaultRowHeight="12.75" x14ac:dyDescent="0.2"/>
  <cols>
    <col min="1" max="1" width="21.85546875" customWidth="1"/>
    <col min="2" max="2" width="13.85546875" bestFit="1" customWidth="1"/>
    <col min="3" max="6" width="12.28515625" bestFit="1" customWidth="1"/>
    <col min="7" max="7" width="14.28515625" customWidth="1"/>
  </cols>
  <sheetData>
    <row r="1" spans="1:13" ht="15.75" x14ac:dyDescent="0.25">
      <c r="A1" s="139" t="s">
        <v>130</v>
      </c>
      <c r="B1" s="139"/>
      <c r="C1" s="139"/>
      <c r="D1" s="139"/>
      <c r="E1" s="139"/>
      <c r="F1" s="139"/>
      <c r="G1" s="139"/>
      <c r="H1" s="127"/>
      <c r="I1" s="127"/>
      <c r="J1" s="127"/>
      <c r="K1" s="127"/>
      <c r="L1" s="127"/>
      <c r="M1" s="127"/>
    </row>
    <row r="2" spans="1:13" ht="15.75" x14ac:dyDescent="0.25">
      <c r="A2" s="139"/>
      <c r="B2" s="139"/>
      <c r="C2" s="139"/>
      <c r="D2" s="139"/>
      <c r="E2" s="139"/>
      <c r="F2" s="139"/>
      <c r="G2" s="139"/>
      <c r="H2" s="127"/>
      <c r="I2" s="127"/>
      <c r="J2" s="127"/>
      <c r="K2" s="127"/>
      <c r="L2" s="127"/>
      <c r="M2" s="127"/>
    </row>
    <row r="4" spans="1:13" x14ac:dyDescent="0.2">
      <c r="A4" s="9" t="s">
        <v>131</v>
      </c>
      <c r="B4" s="13" t="s">
        <v>129</v>
      </c>
      <c r="C4" s="13" t="s">
        <v>12</v>
      </c>
      <c r="D4" s="13" t="s">
        <v>13</v>
      </c>
      <c r="E4" s="13" t="s">
        <v>128</v>
      </c>
      <c r="F4" s="13" t="s">
        <v>125</v>
      </c>
      <c r="G4" s="13" t="s">
        <v>33</v>
      </c>
    </row>
    <row r="5" spans="1:13" x14ac:dyDescent="0.2">
      <c r="L5" s="61"/>
      <c r="M5" s="61"/>
    </row>
    <row r="6" spans="1:13" x14ac:dyDescent="0.2">
      <c r="A6" s="9" t="s">
        <v>145</v>
      </c>
    </row>
    <row r="7" spans="1:13" x14ac:dyDescent="0.2">
      <c r="A7" t="s">
        <v>146</v>
      </c>
      <c r="B7">
        <v>315</v>
      </c>
      <c r="C7">
        <v>415</v>
      </c>
      <c r="D7">
        <v>415</v>
      </c>
      <c r="E7">
        <v>415</v>
      </c>
      <c r="F7">
        <v>230</v>
      </c>
    </row>
    <row r="8" spans="1:13" x14ac:dyDescent="0.2">
      <c r="A8" t="s">
        <v>147</v>
      </c>
      <c r="B8">
        <v>180</v>
      </c>
      <c r="C8">
        <v>205</v>
      </c>
      <c r="D8">
        <v>205</v>
      </c>
      <c r="E8">
        <v>205</v>
      </c>
      <c r="F8">
        <v>140</v>
      </c>
    </row>
    <row r="10" spans="1:13" x14ac:dyDescent="0.2">
      <c r="A10" s="9" t="s">
        <v>139</v>
      </c>
    </row>
    <row r="11" spans="1:13" x14ac:dyDescent="0.2">
      <c r="A11" t="s">
        <v>140</v>
      </c>
      <c r="B11">
        <v>30</v>
      </c>
      <c r="C11">
        <f t="shared" ref="C11:F12" si="0">B11</f>
        <v>30</v>
      </c>
      <c r="D11">
        <f t="shared" si="0"/>
        <v>30</v>
      </c>
      <c r="E11">
        <f t="shared" si="0"/>
        <v>30</v>
      </c>
      <c r="F11">
        <f t="shared" si="0"/>
        <v>30</v>
      </c>
    </row>
    <row r="12" spans="1:13" x14ac:dyDescent="0.2">
      <c r="A12" t="s">
        <v>141</v>
      </c>
      <c r="B12">
        <v>25</v>
      </c>
      <c r="C12">
        <f t="shared" si="0"/>
        <v>25</v>
      </c>
      <c r="D12">
        <f t="shared" si="0"/>
        <v>25</v>
      </c>
      <c r="E12">
        <f t="shared" si="0"/>
        <v>25</v>
      </c>
      <c r="F12">
        <f t="shared" si="0"/>
        <v>25</v>
      </c>
    </row>
    <row r="13" spans="1:13" x14ac:dyDescent="0.2">
      <c r="A13" t="s">
        <v>142</v>
      </c>
      <c r="B13">
        <v>37</v>
      </c>
      <c r="C13">
        <f t="shared" ref="C13:F14" si="1">B13</f>
        <v>37</v>
      </c>
      <c r="D13">
        <f t="shared" si="1"/>
        <v>37</v>
      </c>
      <c r="E13">
        <f t="shared" si="1"/>
        <v>37</v>
      </c>
      <c r="F13">
        <f t="shared" si="1"/>
        <v>37</v>
      </c>
    </row>
    <row r="14" spans="1:13" x14ac:dyDescent="0.2">
      <c r="A14" t="s">
        <v>143</v>
      </c>
      <c r="B14" s="16">
        <v>30</v>
      </c>
      <c r="C14" s="16">
        <f t="shared" si="1"/>
        <v>30</v>
      </c>
      <c r="D14" s="16">
        <f t="shared" si="1"/>
        <v>30</v>
      </c>
      <c r="E14" s="16">
        <f t="shared" si="1"/>
        <v>30</v>
      </c>
      <c r="F14" s="16">
        <f t="shared" si="1"/>
        <v>30</v>
      </c>
    </row>
    <row r="15" spans="1:13" x14ac:dyDescent="0.2">
      <c r="A15" t="s">
        <v>33</v>
      </c>
      <c r="B15">
        <f>SUM(B11:B14)</f>
        <v>122</v>
      </c>
      <c r="C15">
        <f>SUM(C11:C14)</f>
        <v>122</v>
      </c>
      <c r="D15">
        <f>SUM(D11:D14)</f>
        <v>122</v>
      </c>
      <c r="E15">
        <f>SUM(E11:E14)</f>
        <v>122</v>
      </c>
      <c r="F15">
        <f>SUM(F11:F14)</f>
        <v>122</v>
      </c>
    </row>
    <row r="17" spans="1:7" x14ac:dyDescent="0.2">
      <c r="A17" s="9" t="s">
        <v>150</v>
      </c>
    </row>
    <row r="18" spans="1:7" x14ac:dyDescent="0.2">
      <c r="A18" t="s">
        <v>149</v>
      </c>
      <c r="B18">
        <v>416</v>
      </c>
      <c r="C18">
        <v>400</v>
      </c>
      <c r="D18">
        <v>432</v>
      </c>
      <c r="E18">
        <v>384</v>
      </c>
      <c r="F18">
        <v>432</v>
      </c>
    </row>
    <row r="19" spans="1:7" x14ac:dyDescent="0.2">
      <c r="A19" t="s">
        <v>96</v>
      </c>
      <c r="B19" s="16">
        <v>304</v>
      </c>
      <c r="C19" s="16">
        <v>344</v>
      </c>
      <c r="D19" s="16">
        <v>312</v>
      </c>
      <c r="E19" s="16">
        <v>336</v>
      </c>
      <c r="F19" s="16">
        <v>313</v>
      </c>
    </row>
    <row r="20" spans="1:7" x14ac:dyDescent="0.2">
      <c r="A20" t="s">
        <v>33</v>
      </c>
      <c r="B20">
        <f>SUM(B18:B19)</f>
        <v>720</v>
      </c>
      <c r="C20">
        <f>SUM(C18:C19)</f>
        <v>744</v>
      </c>
      <c r="D20">
        <f>SUM(D18:D19)</f>
        <v>744</v>
      </c>
      <c r="E20">
        <f>SUM(E18:E19)</f>
        <v>720</v>
      </c>
      <c r="F20">
        <f>SUM(F18:F19)</f>
        <v>745</v>
      </c>
    </row>
    <row r="22" spans="1:7" x14ac:dyDescent="0.2">
      <c r="A22" s="9" t="s">
        <v>144</v>
      </c>
    </row>
    <row r="23" spans="1:7" x14ac:dyDescent="0.2">
      <c r="A23" t="s">
        <v>134</v>
      </c>
      <c r="B23">
        <v>5.56</v>
      </c>
      <c r="C23" s="2">
        <v>5.62</v>
      </c>
      <c r="D23">
        <v>5.65</v>
      </c>
      <c r="E23">
        <v>5.67</v>
      </c>
      <c r="F23">
        <v>5.67</v>
      </c>
    </row>
    <row r="24" spans="1:7" x14ac:dyDescent="0.2">
      <c r="A24" t="s">
        <v>135</v>
      </c>
      <c r="B24">
        <v>8.25</v>
      </c>
      <c r="C24">
        <v>8.65</v>
      </c>
      <c r="D24">
        <v>8.65</v>
      </c>
      <c r="E24">
        <v>8.65</v>
      </c>
      <c r="F24" s="2">
        <v>8.1999999999999993</v>
      </c>
    </row>
    <row r="25" spans="1:7" x14ac:dyDescent="0.2">
      <c r="A25" t="s">
        <v>136</v>
      </c>
      <c r="B25">
        <v>0.15</v>
      </c>
      <c r="C25">
        <v>0.15</v>
      </c>
      <c r="D25">
        <v>0.15</v>
      </c>
      <c r="E25">
        <v>0.15</v>
      </c>
      <c r="F25">
        <v>0.15</v>
      </c>
    </row>
    <row r="26" spans="1:7" x14ac:dyDescent="0.2">
      <c r="A26" t="s">
        <v>137</v>
      </c>
      <c r="B26" s="97">
        <v>0.5</v>
      </c>
      <c r="C26" s="97">
        <v>0.5</v>
      </c>
      <c r="D26" s="97">
        <v>0.5</v>
      </c>
      <c r="E26" s="97">
        <v>0.5</v>
      </c>
      <c r="F26" s="97">
        <v>0.5</v>
      </c>
      <c r="G26" s="16"/>
    </row>
    <row r="27" spans="1:7" x14ac:dyDescent="0.2">
      <c r="A27" t="s">
        <v>138</v>
      </c>
      <c r="B27">
        <f>SUM(B23:B26)</f>
        <v>14.459999999999999</v>
      </c>
      <c r="C27">
        <f>SUM(C23:C26)</f>
        <v>14.92</v>
      </c>
      <c r="D27">
        <f>SUM(D23:D26)</f>
        <v>14.950000000000001</v>
      </c>
      <c r="E27">
        <f>SUM(E23:E26)</f>
        <v>14.97</v>
      </c>
      <c r="F27">
        <f>SUM(F23:F26)</f>
        <v>14.52</v>
      </c>
    </row>
    <row r="29" spans="1:7" x14ac:dyDescent="0.2">
      <c r="A29" s="9" t="s">
        <v>148</v>
      </c>
    </row>
    <row r="30" spans="1:7" x14ac:dyDescent="0.2">
      <c r="A30" t="s">
        <v>140</v>
      </c>
      <c r="B30">
        <v>13.5</v>
      </c>
      <c r="C30">
        <f>B30</f>
        <v>13.5</v>
      </c>
      <c r="D30">
        <f>C30</f>
        <v>13.5</v>
      </c>
      <c r="E30">
        <f>D30</f>
        <v>13.5</v>
      </c>
      <c r="F30">
        <f>E30</f>
        <v>13.5</v>
      </c>
    </row>
    <row r="31" spans="1:7" x14ac:dyDescent="0.2">
      <c r="A31" t="s">
        <v>141</v>
      </c>
      <c r="B31" s="10">
        <v>14</v>
      </c>
      <c r="C31" s="10">
        <f t="shared" ref="C31:F33" si="2">B31</f>
        <v>14</v>
      </c>
      <c r="D31" s="10">
        <f t="shared" si="2"/>
        <v>14</v>
      </c>
      <c r="E31" s="10">
        <f t="shared" si="2"/>
        <v>14</v>
      </c>
      <c r="F31" s="10">
        <f t="shared" si="2"/>
        <v>14</v>
      </c>
    </row>
    <row r="32" spans="1:7" x14ac:dyDescent="0.2">
      <c r="A32" t="s">
        <v>142</v>
      </c>
      <c r="B32">
        <v>13.3</v>
      </c>
      <c r="C32">
        <f t="shared" si="2"/>
        <v>13.3</v>
      </c>
      <c r="D32">
        <f t="shared" si="2"/>
        <v>13.3</v>
      </c>
      <c r="E32">
        <f t="shared" si="2"/>
        <v>13.3</v>
      </c>
      <c r="F32">
        <f t="shared" si="2"/>
        <v>13.3</v>
      </c>
    </row>
    <row r="33" spans="1:6" x14ac:dyDescent="0.2">
      <c r="A33" t="s">
        <v>143</v>
      </c>
      <c r="B33">
        <v>13.8</v>
      </c>
      <c r="C33">
        <f t="shared" si="2"/>
        <v>13.8</v>
      </c>
      <c r="D33">
        <f t="shared" si="2"/>
        <v>13.8</v>
      </c>
      <c r="E33">
        <f t="shared" si="2"/>
        <v>13.8</v>
      </c>
      <c r="F33">
        <f t="shared" si="2"/>
        <v>13.8</v>
      </c>
    </row>
    <row r="35" spans="1:6" x14ac:dyDescent="0.2">
      <c r="A35" s="9" t="s">
        <v>154</v>
      </c>
    </row>
    <row r="36" spans="1:6" x14ac:dyDescent="0.2">
      <c r="A36" t="s">
        <v>140</v>
      </c>
      <c r="B36" s="11">
        <f>$B$27*B30</f>
        <v>195.20999999999998</v>
      </c>
      <c r="C36" s="11">
        <f>$C$27*C30</f>
        <v>201.42</v>
      </c>
      <c r="D36" s="11">
        <f>$D$27*D30</f>
        <v>201.82500000000002</v>
      </c>
      <c r="E36" s="11">
        <f>$E$27*E30</f>
        <v>202.095</v>
      </c>
      <c r="F36" s="11">
        <f>$F$27*F30</f>
        <v>196.01999999999998</v>
      </c>
    </row>
    <row r="37" spans="1:6" x14ac:dyDescent="0.2">
      <c r="A37" t="s">
        <v>141</v>
      </c>
      <c r="B37" s="11">
        <f>$B$27*B31</f>
        <v>202.44</v>
      </c>
      <c r="C37" s="11">
        <f>$C$27*C31</f>
        <v>208.88</v>
      </c>
      <c r="D37" s="11">
        <f>$D$27*D31</f>
        <v>209.3</v>
      </c>
      <c r="E37" s="11">
        <f>$E$27*E31</f>
        <v>209.58</v>
      </c>
      <c r="F37" s="11">
        <f>$F$27*F31</f>
        <v>203.28</v>
      </c>
    </row>
    <row r="38" spans="1:6" x14ac:dyDescent="0.2">
      <c r="A38" t="s">
        <v>142</v>
      </c>
      <c r="B38" s="11">
        <f>$B$27*B32</f>
        <v>192.31800000000001</v>
      </c>
      <c r="C38" s="11">
        <f>$C$27*C32</f>
        <v>198.43600000000001</v>
      </c>
      <c r="D38" s="11">
        <f>$D$27*D32</f>
        <v>198.83500000000004</v>
      </c>
      <c r="E38" s="11">
        <f>$E$27*E32</f>
        <v>199.10100000000003</v>
      </c>
      <c r="F38" s="11">
        <f>$F$27*F32</f>
        <v>193.11600000000001</v>
      </c>
    </row>
    <row r="39" spans="1:6" x14ac:dyDescent="0.2">
      <c r="A39" t="s">
        <v>143</v>
      </c>
      <c r="B39" s="11">
        <f>$B$27*B33</f>
        <v>199.548</v>
      </c>
      <c r="C39" s="11">
        <f>$C$27*C33</f>
        <v>205.89600000000002</v>
      </c>
      <c r="D39" s="11">
        <f>$D$27*D33</f>
        <v>206.31000000000003</v>
      </c>
      <c r="E39" s="11">
        <f>$E$27*E33</f>
        <v>206.58600000000001</v>
      </c>
      <c r="F39" s="11">
        <f>$F$27*F33</f>
        <v>200.376</v>
      </c>
    </row>
    <row r="41" spans="1:6" x14ac:dyDescent="0.2">
      <c r="A41" s="9" t="s">
        <v>155</v>
      </c>
    </row>
    <row r="42" spans="1:6" x14ac:dyDescent="0.2">
      <c r="A42" t="s">
        <v>140</v>
      </c>
    </row>
    <row r="43" spans="1:6" x14ac:dyDescent="0.2">
      <c r="A43" t="s">
        <v>152</v>
      </c>
      <c r="B43" s="1">
        <f t="shared" ref="B43:F44" si="3">B7-$B$36</f>
        <v>119.79000000000002</v>
      </c>
      <c r="C43" s="1">
        <f t="shared" si="3"/>
        <v>219.79000000000002</v>
      </c>
      <c r="D43" s="1">
        <f t="shared" si="3"/>
        <v>219.79000000000002</v>
      </c>
      <c r="E43" s="1">
        <f t="shared" si="3"/>
        <v>219.79000000000002</v>
      </c>
      <c r="F43" s="1">
        <f t="shared" si="3"/>
        <v>34.79000000000002</v>
      </c>
    </row>
    <row r="44" spans="1:6" x14ac:dyDescent="0.2">
      <c r="A44" t="s">
        <v>153</v>
      </c>
      <c r="B44" s="1">
        <f t="shared" si="3"/>
        <v>-15.20999999999998</v>
      </c>
      <c r="C44" s="1">
        <f t="shared" si="3"/>
        <v>9.7900000000000205</v>
      </c>
      <c r="D44" s="1">
        <f t="shared" si="3"/>
        <v>9.7900000000000205</v>
      </c>
      <c r="E44" s="1">
        <f t="shared" si="3"/>
        <v>9.7900000000000205</v>
      </c>
      <c r="F44" s="1">
        <f t="shared" si="3"/>
        <v>-55.20999999999998</v>
      </c>
    </row>
    <row r="45" spans="1:6" x14ac:dyDescent="0.2">
      <c r="A45" t="s">
        <v>141</v>
      </c>
    </row>
    <row r="46" spans="1:6" x14ac:dyDescent="0.2">
      <c r="A46" t="s">
        <v>152</v>
      </c>
      <c r="B46" s="11">
        <f t="shared" ref="B46:F47" si="4">B7-$B$37</f>
        <v>112.56</v>
      </c>
      <c r="C46" s="11">
        <f t="shared" si="4"/>
        <v>212.56</v>
      </c>
      <c r="D46" s="11">
        <f t="shared" si="4"/>
        <v>212.56</v>
      </c>
      <c r="E46" s="11">
        <f t="shared" si="4"/>
        <v>212.56</v>
      </c>
      <c r="F46" s="11">
        <f t="shared" si="4"/>
        <v>27.560000000000002</v>
      </c>
    </row>
    <row r="47" spans="1:6" x14ac:dyDescent="0.2">
      <c r="A47" t="s">
        <v>153</v>
      </c>
      <c r="B47" s="1">
        <f t="shared" si="4"/>
        <v>-22.439999999999998</v>
      </c>
      <c r="C47" s="1">
        <f t="shared" si="4"/>
        <v>2.5600000000000023</v>
      </c>
      <c r="D47" s="1">
        <f t="shared" si="4"/>
        <v>2.5600000000000023</v>
      </c>
      <c r="E47" s="1">
        <f t="shared" si="4"/>
        <v>2.5600000000000023</v>
      </c>
      <c r="F47" s="1">
        <f t="shared" si="4"/>
        <v>-62.44</v>
      </c>
    </row>
    <row r="48" spans="1:6" x14ac:dyDescent="0.2">
      <c r="A48" t="s">
        <v>142</v>
      </c>
    </row>
    <row r="49" spans="1:6" x14ac:dyDescent="0.2">
      <c r="A49" t="s">
        <v>152</v>
      </c>
      <c r="B49" s="11">
        <f t="shared" ref="B49:F50" si="5">B7-$B$38</f>
        <v>122.68199999999999</v>
      </c>
      <c r="C49" s="11">
        <f t="shared" si="5"/>
        <v>222.68199999999999</v>
      </c>
      <c r="D49" s="11">
        <f t="shared" si="5"/>
        <v>222.68199999999999</v>
      </c>
      <c r="E49" s="11">
        <f t="shared" si="5"/>
        <v>222.68199999999999</v>
      </c>
      <c r="F49" s="11">
        <f t="shared" si="5"/>
        <v>37.681999999999988</v>
      </c>
    </row>
    <row r="50" spans="1:6" x14ac:dyDescent="0.2">
      <c r="A50" t="s">
        <v>153</v>
      </c>
      <c r="B50" s="1">
        <f t="shared" si="5"/>
        <v>-12.318000000000012</v>
      </c>
      <c r="C50" s="1">
        <f t="shared" si="5"/>
        <v>12.681999999999988</v>
      </c>
      <c r="D50" s="1">
        <f t="shared" si="5"/>
        <v>12.681999999999988</v>
      </c>
      <c r="E50" s="1">
        <f t="shared" si="5"/>
        <v>12.681999999999988</v>
      </c>
      <c r="F50" s="1">
        <f t="shared" si="5"/>
        <v>-52.318000000000012</v>
      </c>
    </row>
    <row r="51" spans="1:6" x14ac:dyDescent="0.2">
      <c r="A51" t="s">
        <v>143</v>
      </c>
    </row>
    <row r="52" spans="1:6" x14ac:dyDescent="0.2">
      <c r="A52" t="s">
        <v>152</v>
      </c>
      <c r="B52" s="11">
        <f t="shared" ref="B52:F53" si="6">B7-$B$39</f>
        <v>115.452</v>
      </c>
      <c r="C52" s="11">
        <f t="shared" si="6"/>
        <v>215.452</v>
      </c>
      <c r="D52" s="11">
        <f t="shared" si="6"/>
        <v>215.452</v>
      </c>
      <c r="E52" s="11">
        <f t="shared" si="6"/>
        <v>215.452</v>
      </c>
      <c r="F52" s="11">
        <f t="shared" si="6"/>
        <v>30.451999999999998</v>
      </c>
    </row>
    <row r="53" spans="1:6" x14ac:dyDescent="0.2">
      <c r="A53" t="s">
        <v>153</v>
      </c>
      <c r="B53" s="1">
        <f t="shared" si="6"/>
        <v>-19.548000000000002</v>
      </c>
      <c r="C53" s="1">
        <f t="shared" si="6"/>
        <v>5.4519999999999982</v>
      </c>
      <c r="D53" s="1">
        <f t="shared" si="6"/>
        <v>5.4519999999999982</v>
      </c>
      <c r="E53" s="1">
        <f t="shared" si="6"/>
        <v>5.4519999999999982</v>
      </c>
      <c r="F53" s="1">
        <f t="shared" si="6"/>
        <v>-59.548000000000002</v>
      </c>
    </row>
    <row r="55" spans="1:6" x14ac:dyDescent="0.2">
      <c r="A55" s="9" t="s">
        <v>156</v>
      </c>
    </row>
    <row r="56" spans="1:6" x14ac:dyDescent="0.2">
      <c r="A56" t="s">
        <v>140</v>
      </c>
    </row>
    <row r="57" spans="1:6" x14ac:dyDescent="0.2">
      <c r="A57" t="s">
        <v>152</v>
      </c>
      <c r="B57" s="140">
        <f t="shared" ref="B57:F58" si="7">IF(B43&gt;0,B11*B18*B43,0)</f>
        <v>1494979.2000000002</v>
      </c>
      <c r="C57" s="140">
        <f t="shared" si="7"/>
        <v>2637480.0000000005</v>
      </c>
      <c r="D57" s="140">
        <f t="shared" si="7"/>
        <v>2848478.4000000004</v>
      </c>
      <c r="E57" s="140">
        <f t="shared" si="7"/>
        <v>2531980.8000000003</v>
      </c>
      <c r="F57" s="140">
        <f t="shared" si="7"/>
        <v>450878.40000000026</v>
      </c>
    </row>
    <row r="58" spans="1:6" x14ac:dyDescent="0.2">
      <c r="A58" t="s">
        <v>153</v>
      </c>
      <c r="B58" s="140">
        <f t="shared" si="7"/>
        <v>0</v>
      </c>
      <c r="C58" s="140">
        <f t="shared" si="7"/>
        <v>84194.000000000175</v>
      </c>
      <c r="D58" s="140">
        <f t="shared" si="7"/>
        <v>76362.00000000016</v>
      </c>
      <c r="E58" s="140">
        <f t="shared" si="7"/>
        <v>82236.000000000175</v>
      </c>
      <c r="F58" s="140">
        <f t="shared" si="7"/>
        <v>0</v>
      </c>
    </row>
    <row r="59" spans="1:6" x14ac:dyDescent="0.2">
      <c r="A59" t="s">
        <v>141</v>
      </c>
    </row>
    <row r="60" spans="1:6" x14ac:dyDescent="0.2">
      <c r="A60" t="s">
        <v>152</v>
      </c>
      <c r="B60" s="140">
        <f t="shared" ref="B60:F61" si="8">IF(B46&gt;0,B12*B18*B46,0)</f>
        <v>1170624</v>
      </c>
      <c r="C60" s="140">
        <f t="shared" si="8"/>
        <v>2125600</v>
      </c>
      <c r="D60" s="140">
        <f t="shared" si="8"/>
        <v>2295648</v>
      </c>
      <c r="E60" s="140">
        <f t="shared" si="8"/>
        <v>2040576</v>
      </c>
      <c r="F60" s="140">
        <f t="shared" si="8"/>
        <v>297648</v>
      </c>
    </row>
    <row r="61" spans="1:6" x14ac:dyDescent="0.2">
      <c r="A61" t="s">
        <v>153</v>
      </c>
      <c r="B61" s="140">
        <f t="shared" si="8"/>
        <v>0</v>
      </c>
      <c r="C61" s="140">
        <f t="shared" si="8"/>
        <v>32583.680000000029</v>
      </c>
      <c r="D61" s="140">
        <f t="shared" si="8"/>
        <v>29552.640000000025</v>
      </c>
      <c r="E61" s="140">
        <f t="shared" si="8"/>
        <v>31825.920000000027</v>
      </c>
      <c r="F61" s="140">
        <f t="shared" si="8"/>
        <v>0</v>
      </c>
    </row>
    <row r="62" spans="1:6" x14ac:dyDescent="0.2">
      <c r="A62" t="s">
        <v>142</v>
      </c>
    </row>
    <row r="63" spans="1:6" x14ac:dyDescent="0.2">
      <c r="A63" t="s">
        <v>152</v>
      </c>
      <c r="B63" s="140">
        <f t="shared" ref="B63:F64" si="9">IF(B49&gt;0,B13*B18*B49,0)</f>
        <v>1888321.3439999998</v>
      </c>
      <c r="C63" s="140">
        <f t="shared" si="9"/>
        <v>3295693.5999999996</v>
      </c>
      <c r="D63" s="140">
        <f t="shared" si="9"/>
        <v>3559349.088</v>
      </c>
      <c r="E63" s="140">
        <f t="shared" si="9"/>
        <v>3163865.8559999997</v>
      </c>
      <c r="F63" s="140">
        <f t="shared" si="9"/>
        <v>602309.08799999976</v>
      </c>
    </row>
    <row r="64" spans="1:6" x14ac:dyDescent="0.2">
      <c r="A64" t="s">
        <v>153</v>
      </c>
      <c r="B64" s="140">
        <f t="shared" si="9"/>
        <v>0</v>
      </c>
      <c r="C64" s="140">
        <f t="shared" si="9"/>
        <v>130878.23999999987</v>
      </c>
      <c r="D64" s="140">
        <f t="shared" si="9"/>
        <v>118703.51999999989</v>
      </c>
      <c r="E64" s="140">
        <f t="shared" si="9"/>
        <v>127834.55999999988</v>
      </c>
      <c r="F64" s="140">
        <f t="shared" si="9"/>
        <v>0</v>
      </c>
    </row>
    <row r="65" spans="1:7" x14ac:dyDescent="0.2">
      <c r="A65" t="s">
        <v>143</v>
      </c>
    </row>
    <row r="66" spans="1:7" x14ac:dyDescent="0.2">
      <c r="A66" t="s">
        <v>152</v>
      </c>
      <c r="B66" s="140">
        <f t="shared" ref="B66:F67" si="10">IF(B52&gt;0,B14*B18*B52,0)</f>
        <v>1440840.96</v>
      </c>
      <c r="C66" s="140">
        <f t="shared" si="10"/>
        <v>2585424</v>
      </c>
      <c r="D66" s="140">
        <f t="shared" si="10"/>
        <v>2792257.92</v>
      </c>
      <c r="E66" s="140">
        <f t="shared" si="10"/>
        <v>2482007.04</v>
      </c>
      <c r="F66" s="140">
        <f t="shared" si="10"/>
        <v>394657.92</v>
      </c>
    </row>
    <row r="67" spans="1:7" x14ac:dyDescent="0.2">
      <c r="A67" t="s">
        <v>153</v>
      </c>
      <c r="B67" s="141">
        <f t="shared" si="10"/>
        <v>0</v>
      </c>
      <c r="C67" s="141">
        <f t="shared" si="10"/>
        <v>228809.53599999993</v>
      </c>
      <c r="D67" s="141">
        <f t="shared" si="10"/>
        <v>207524.92799999993</v>
      </c>
      <c r="E67" s="141">
        <f t="shared" si="10"/>
        <v>223488.38399999993</v>
      </c>
      <c r="F67" s="141">
        <f t="shared" si="10"/>
        <v>0</v>
      </c>
    </row>
    <row r="68" spans="1:7" x14ac:dyDescent="0.2">
      <c r="A68" t="s">
        <v>157</v>
      </c>
      <c r="B68" s="140">
        <f>SUM(B57:B67)</f>
        <v>5994765.5039999997</v>
      </c>
      <c r="C68" s="140">
        <f>SUM(C57:C67)</f>
        <v>11120663.056</v>
      </c>
      <c r="D68" s="140">
        <f>SUM(D57:D67)</f>
        <v>11927876.495999999</v>
      </c>
      <c r="E68" s="140">
        <f>SUM(E57:E67)</f>
        <v>10683814.559999999</v>
      </c>
      <c r="F68" s="140">
        <f>SUM(F57:F67)</f>
        <v>1745493.4079999998</v>
      </c>
      <c r="G68" s="86">
        <f>SUM(B68:F68)</f>
        <v>41472613.023999996</v>
      </c>
    </row>
    <row r="69" spans="1:7" x14ac:dyDescent="0.2">
      <c r="B69" s="140"/>
      <c r="C69" s="140"/>
      <c r="D69" s="140"/>
      <c r="E69" s="140"/>
      <c r="F69" s="140"/>
    </row>
    <row r="71" spans="1:7" x14ac:dyDescent="0.2">
      <c r="A71" s="9" t="s">
        <v>132</v>
      </c>
    </row>
    <row r="72" spans="1:7" x14ac:dyDescent="0.2">
      <c r="A72" t="s">
        <v>133</v>
      </c>
      <c r="B72" s="1">
        <f>(165+200)*B27</f>
        <v>5277.9</v>
      </c>
    </row>
    <row r="73" spans="1:7" x14ac:dyDescent="0.2">
      <c r="A73" t="s">
        <v>151</v>
      </c>
    </row>
  </sheetData>
  <printOptions gridLines="1"/>
  <pageMargins left="0.15" right="0.15" top="1" bottom="1" header="0.5" footer="0.5"/>
  <pageSetup paperSize="5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M67"/>
  <sheetViews>
    <sheetView zoomScale="75" workbookViewId="0">
      <selection activeCell="J4" sqref="J4"/>
    </sheetView>
  </sheetViews>
  <sheetFormatPr defaultRowHeight="12.75" x14ac:dyDescent="0.2"/>
  <cols>
    <col min="2" max="2" width="11.140625" customWidth="1"/>
    <col min="3" max="3" width="12.28515625" bestFit="1" customWidth="1"/>
    <col min="4" max="4" width="8" bestFit="1" customWidth="1"/>
    <col min="6" max="6" width="9.42578125" bestFit="1" customWidth="1"/>
    <col min="7" max="7" width="13.42578125" bestFit="1" customWidth="1"/>
    <col min="10" max="10" width="16.7109375" bestFit="1" customWidth="1"/>
    <col min="11" max="11" width="13.140625" customWidth="1"/>
    <col min="12" max="13" width="10.42578125" bestFit="1" customWidth="1"/>
    <col min="14" max="14" width="11" customWidth="1"/>
    <col min="15" max="15" width="12.42578125" bestFit="1" customWidth="1"/>
    <col min="16" max="19" width="10.42578125" customWidth="1"/>
    <col min="20" max="20" width="10.28515625" bestFit="1" customWidth="1"/>
    <col min="21" max="23" width="10.42578125" customWidth="1"/>
    <col min="24" max="25" width="11.42578125" bestFit="1" customWidth="1"/>
    <col min="26" max="26" width="12.42578125" bestFit="1" customWidth="1"/>
    <col min="27" max="27" width="10.42578125" customWidth="1"/>
    <col min="28" max="28" width="10.28515625" bestFit="1" customWidth="1"/>
    <col min="29" max="29" width="10.42578125" customWidth="1"/>
    <col min="30" max="30" width="11.42578125" bestFit="1" customWidth="1"/>
    <col min="31" max="31" width="10.5703125" bestFit="1" customWidth="1"/>
    <col min="32" max="33" width="10.5703125" customWidth="1"/>
    <col min="35" max="35" width="9" customWidth="1"/>
  </cols>
  <sheetData>
    <row r="2" spans="2:30" x14ac:dyDescent="0.2">
      <c r="C2" t="s">
        <v>73</v>
      </c>
      <c r="F2" s="81">
        <v>36708</v>
      </c>
      <c r="G2" s="81"/>
      <c r="I2" s="81"/>
      <c r="J2" t="s">
        <v>72</v>
      </c>
    </row>
    <row r="3" spans="2:30" x14ac:dyDescent="0.2">
      <c r="C3" t="s">
        <v>66</v>
      </c>
      <c r="F3" s="82">
        <v>77.534999999999997</v>
      </c>
      <c r="G3" s="82"/>
      <c r="I3" s="82"/>
      <c r="J3" t="s">
        <v>76</v>
      </c>
      <c r="K3" s="83">
        <v>4.5</v>
      </c>
      <c r="M3" t="s">
        <v>116</v>
      </c>
      <c r="N3" s="85">
        <v>66000</v>
      </c>
    </row>
    <row r="4" spans="2:30" x14ac:dyDescent="0.2">
      <c r="C4" t="s">
        <v>67</v>
      </c>
      <c r="F4" s="82">
        <v>12.628</v>
      </c>
      <c r="G4" s="82"/>
      <c r="I4" s="82"/>
      <c r="J4" t="s">
        <v>77</v>
      </c>
      <c r="K4" s="83">
        <v>0.5</v>
      </c>
      <c r="M4" t="s">
        <v>121</v>
      </c>
      <c r="N4" s="136">
        <f>N3/23</f>
        <v>2869.5652173913045</v>
      </c>
    </row>
    <row r="5" spans="2:30" x14ac:dyDescent="0.2">
      <c r="C5" t="s">
        <v>68</v>
      </c>
      <c r="F5" s="82">
        <v>65</v>
      </c>
      <c r="G5" s="82"/>
      <c r="I5" s="82"/>
      <c r="J5" t="s">
        <v>115</v>
      </c>
      <c r="M5" t="s">
        <v>79</v>
      </c>
      <c r="N5" s="7">
        <v>0.98499999999999999</v>
      </c>
    </row>
    <row r="6" spans="2:30" x14ac:dyDescent="0.2">
      <c r="C6" t="s">
        <v>69</v>
      </c>
      <c r="F6" s="82">
        <v>12.872</v>
      </c>
      <c r="G6" s="82"/>
      <c r="I6" s="82"/>
      <c r="J6" t="s">
        <v>33</v>
      </c>
      <c r="K6" s="14">
        <f>SUM(K3:K4)</f>
        <v>5</v>
      </c>
      <c r="T6" t="s">
        <v>117</v>
      </c>
    </row>
    <row r="7" spans="2:30" x14ac:dyDescent="0.2">
      <c r="J7" t="s">
        <v>106</v>
      </c>
      <c r="K7" s="84">
        <v>2.09</v>
      </c>
    </row>
    <row r="8" spans="2:30" x14ac:dyDescent="0.2">
      <c r="C8" t="s">
        <v>103</v>
      </c>
      <c r="D8" t="s">
        <v>110</v>
      </c>
      <c r="J8" t="s">
        <v>71</v>
      </c>
      <c r="K8" s="85">
        <v>2239</v>
      </c>
    </row>
    <row r="9" spans="2:30" x14ac:dyDescent="0.2">
      <c r="C9" t="s">
        <v>102</v>
      </c>
      <c r="D9" t="s">
        <v>111</v>
      </c>
      <c r="J9" t="s">
        <v>127</v>
      </c>
      <c r="K9" s="7">
        <v>600</v>
      </c>
      <c r="L9" s="7"/>
    </row>
    <row r="10" spans="2:30" x14ac:dyDescent="0.2">
      <c r="K10" s="85"/>
      <c r="L10" s="7"/>
    </row>
    <row r="12" spans="2:30" x14ac:dyDescent="0.2">
      <c r="B12" s="107" t="s">
        <v>70</v>
      </c>
      <c r="C12" s="114" t="s">
        <v>123</v>
      </c>
      <c r="D12" s="107" t="s">
        <v>74</v>
      </c>
      <c r="E12" s="108" t="s">
        <v>104</v>
      </c>
      <c r="F12" s="109" t="s">
        <v>84</v>
      </c>
      <c r="G12" s="109"/>
      <c r="I12" s="120" t="s">
        <v>113</v>
      </c>
      <c r="J12" s="121" t="s">
        <v>105</v>
      </c>
      <c r="K12" s="122"/>
      <c r="L12" s="123"/>
      <c r="M12" s="121" t="s">
        <v>81</v>
      </c>
      <c r="N12" s="124" t="s">
        <v>112</v>
      </c>
      <c r="O12" s="124" t="s">
        <v>112</v>
      </c>
      <c r="P12" s="123"/>
      <c r="Q12" s="120" t="s">
        <v>80</v>
      </c>
      <c r="R12" s="120" t="s">
        <v>119</v>
      </c>
      <c r="T12" s="120" t="s">
        <v>118</v>
      </c>
      <c r="U12" s="138" t="s">
        <v>105</v>
      </c>
      <c r="V12" s="122"/>
      <c r="W12" s="123"/>
      <c r="X12" s="122" t="s">
        <v>81</v>
      </c>
      <c r="Y12" s="134"/>
      <c r="Z12" s="122"/>
      <c r="AA12" s="122"/>
      <c r="AB12" s="120" t="s">
        <v>80</v>
      </c>
      <c r="AC12" s="120" t="s">
        <v>119</v>
      </c>
    </row>
    <row r="13" spans="2:30" x14ac:dyDescent="0.2">
      <c r="B13" s="113"/>
      <c r="C13" s="115" t="s">
        <v>82</v>
      </c>
      <c r="D13" s="113" t="s">
        <v>0</v>
      </c>
      <c r="E13" s="61" t="s">
        <v>0</v>
      </c>
      <c r="F13" s="110" t="s">
        <v>0</v>
      </c>
      <c r="G13" s="110" t="s">
        <v>122</v>
      </c>
      <c r="I13" s="125" t="s">
        <v>114</v>
      </c>
      <c r="J13" s="126" t="s">
        <v>72</v>
      </c>
      <c r="K13" s="127" t="s">
        <v>78</v>
      </c>
      <c r="L13" s="128" t="s">
        <v>33</v>
      </c>
      <c r="M13" s="129" t="s">
        <v>71</v>
      </c>
      <c r="N13" s="127" t="s">
        <v>108</v>
      </c>
      <c r="O13" s="127" t="s">
        <v>109</v>
      </c>
      <c r="P13" s="128" t="s">
        <v>33</v>
      </c>
      <c r="Q13" s="125"/>
      <c r="R13" s="125"/>
      <c r="T13" s="125"/>
      <c r="U13" s="126" t="s">
        <v>72</v>
      </c>
      <c r="V13" s="127" t="s">
        <v>78</v>
      </c>
      <c r="W13" s="128" t="s">
        <v>33</v>
      </c>
      <c r="X13" s="127" t="s">
        <v>71</v>
      </c>
      <c r="Y13" s="127" t="s">
        <v>108</v>
      </c>
      <c r="Z13" s="127" t="s">
        <v>109</v>
      </c>
      <c r="AA13" s="127" t="s">
        <v>33</v>
      </c>
      <c r="AB13" s="125"/>
      <c r="AC13" s="125"/>
      <c r="AD13" s="76"/>
    </row>
    <row r="14" spans="2:30" x14ac:dyDescent="0.2">
      <c r="B14" s="111"/>
      <c r="C14" s="116" t="s">
        <v>83</v>
      </c>
      <c r="D14" s="111" t="s">
        <v>4</v>
      </c>
      <c r="E14" s="16" t="s">
        <v>4</v>
      </c>
      <c r="F14" s="112" t="s">
        <v>4</v>
      </c>
      <c r="G14" s="112" t="s">
        <v>107</v>
      </c>
      <c r="I14" s="130" t="s">
        <v>60</v>
      </c>
      <c r="J14" s="131" t="s">
        <v>60</v>
      </c>
      <c r="K14" s="132" t="s">
        <v>60</v>
      </c>
      <c r="L14" s="133" t="s">
        <v>60</v>
      </c>
      <c r="M14" s="131" t="s">
        <v>60</v>
      </c>
      <c r="N14" s="132" t="s">
        <v>60</v>
      </c>
      <c r="O14" s="132" t="s">
        <v>60</v>
      </c>
      <c r="P14" s="133" t="s">
        <v>60</v>
      </c>
      <c r="Q14" s="130" t="s">
        <v>60</v>
      </c>
      <c r="R14" s="130" t="s">
        <v>60</v>
      </c>
      <c r="T14" s="131" t="s">
        <v>97</v>
      </c>
      <c r="U14" s="131" t="s">
        <v>97</v>
      </c>
      <c r="V14" s="132" t="s">
        <v>97</v>
      </c>
      <c r="W14" s="133" t="s">
        <v>97</v>
      </c>
      <c r="X14" s="132" t="s">
        <v>97</v>
      </c>
      <c r="Y14" s="132" t="s">
        <v>97</v>
      </c>
      <c r="Z14" s="132" t="s">
        <v>97</v>
      </c>
      <c r="AA14" s="132" t="s">
        <v>97</v>
      </c>
      <c r="AB14" s="130" t="s">
        <v>97</v>
      </c>
      <c r="AC14" s="130" t="s">
        <v>97</v>
      </c>
    </row>
    <row r="16" spans="2:30" x14ac:dyDescent="0.2">
      <c r="N16" s="2"/>
    </row>
    <row r="17" spans="1:39" x14ac:dyDescent="0.2">
      <c r="N17" s="2"/>
      <c r="AI17" t="s">
        <v>19</v>
      </c>
      <c r="AJ17" t="s">
        <v>72</v>
      </c>
      <c r="AK17" t="s">
        <v>72</v>
      </c>
      <c r="AL17" t="s">
        <v>75</v>
      </c>
    </row>
    <row r="18" spans="1:39" x14ac:dyDescent="0.2">
      <c r="A18" s="75">
        <v>1</v>
      </c>
      <c r="B18" s="75">
        <v>4.1666666666666664E-2</v>
      </c>
      <c r="C18" s="7">
        <v>0</v>
      </c>
      <c r="D18" s="80">
        <f t="shared" ref="D18:D41" si="0">IF(C18=1,$AL$21,IF(C18=2,$AL$22,0))</f>
        <v>0</v>
      </c>
      <c r="E18" s="87"/>
      <c r="F18" s="80">
        <f>SUM(D18:E18)</f>
        <v>0</v>
      </c>
      <c r="G18" s="79">
        <f t="shared" ref="G18:G41" si="1">IF(OR(C18=1,C18=2),$K$9/D18,IF(AND(E18&lt;($F$3+10),E18&gt;($F$5-5)),(E18-$F$5)/($F$3-$F$5)*($F$4-$F$6)+$F$6,0))</f>
        <v>0</v>
      </c>
      <c r="I18" s="85">
        <v>55</v>
      </c>
      <c r="J18" s="14">
        <f t="shared" ref="J18:J41" si="2">$K$6*G18</f>
        <v>0</v>
      </c>
      <c r="K18" s="14">
        <f>IF(F18&gt;0,$K$7,0)</f>
        <v>0</v>
      </c>
      <c r="L18" s="14">
        <f t="shared" ref="L18:L41" si="3">IF(F18&gt;0,J18+K18,0)</f>
        <v>0</v>
      </c>
      <c r="M18" s="14">
        <f t="shared" ref="M18:M41" si="4">IF(F18&gt;0,$X$43/$F$43,0)</f>
        <v>0</v>
      </c>
      <c r="N18" s="14">
        <f t="shared" ref="N18:N41" si="5">IF(F18&gt;0,$Y$43/$F$43,0)</f>
        <v>0</v>
      </c>
      <c r="O18" s="14">
        <f t="shared" ref="O18:O41" si="6">IF(F18&gt;0,$Z$43/$F$43,0)</f>
        <v>0</v>
      </c>
      <c r="P18" s="14">
        <f>SUM(M18:O18)</f>
        <v>0</v>
      </c>
      <c r="Q18" s="14">
        <f>L18+P18</f>
        <v>0</v>
      </c>
      <c r="R18" s="14">
        <f>IF(F18&gt;0,I18-Q18,0)</f>
        <v>0</v>
      </c>
      <c r="T18" s="14">
        <f t="shared" ref="T18:T41" si="7">F18*I18</f>
        <v>0</v>
      </c>
      <c r="U18" s="14">
        <f t="shared" ref="U18:U41" si="8">J18*F18</f>
        <v>0</v>
      </c>
      <c r="V18" s="14">
        <f t="shared" ref="V18:V41" si="9">K18*F18</f>
        <v>0</v>
      </c>
      <c r="W18" s="14">
        <f>SUM(U18:V18)</f>
        <v>0</v>
      </c>
      <c r="X18" s="14">
        <f t="shared" ref="X18:X41" si="10">IF(OR(C18=1,C18=2),$K$8,0)</f>
        <v>0</v>
      </c>
      <c r="Y18" s="2">
        <f t="shared" ref="Y18:Y25" si="11">IF(OR(C18=1,C18=2),45.6608,0)</f>
        <v>0</v>
      </c>
      <c r="Z18" s="90">
        <f t="shared" ref="Z18:Z29" si="12">IF(OR(C18=1,C18=2),0,0)</f>
        <v>0</v>
      </c>
      <c r="AA18" s="14">
        <f>SUM(X18:Z18)</f>
        <v>0</v>
      </c>
      <c r="AB18" s="14">
        <f>W18+AA18</f>
        <v>0</v>
      </c>
      <c r="AC18" s="67">
        <f>T18-AB18</f>
        <v>0</v>
      </c>
      <c r="AD18" s="61"/>
      <c r="AE18" s="61"/>
      <c r="AF18" s="61"/>
      <c r="AI18" t="s">
        <v>98</v>
      </c>
      <c r="AJ18" t="s">
        <v>99</v>
      </c>
      <c r="AK18" t="s">
        <v>100</v>
      </c>
      <c r="AL18" t="s">
        <v>101</v>
      </c>
      <c r="AM18" s="3"/>
    </row>
    <row r="19" spans="1:39" x14ac:dyDescent="0.2">
      <c r="A19" s="75">
        <v>4.1666666666666664E-2</v>
      </c>
      <c r="B19" s="75">
        <v>8.3333333333333301E-2</v>
      </c>
      <c r="C19" s="7">
        <v>0</v>
      </c>
      <c r="D19" s="80">
        <f t="shared" si="0"/>
        <v>0</v>
      </c>
      <c r="E19" s="87"/>
      <c r="F19" s="80">
        <f t="shared" ref="F19:F41" si="13">SUM(D19:E19)</f>
        <v>0</v>
      </c>
      <c r="G19" s="79">
        <f t="shared" si="1"/>
        <v>0</v>
      </c>
      <c r="I19" s="85">
        <v>55</v>
      </c>
      <c r="J19" s="14">
        <f t="shared" si="2"/>
        <v>0</v>
      </c>
      <c r="K19" s="14">
        <f t="shared" ref="K19:K41" si="14">IF(F19&gt;0,$K$7,0)</f>
        <v>0</v>
      </c>
      <c r="L19" s="14">
        <f t="shared" si="3"/>
        <v>0</v>
      </c>
      <c r="M19" s="14">
        <f t="shared" si="4"/>
        <v>0</v>
      </c>
      <c r="N19" s="14">
        <f t="shared" si="5"/>
        <v>0</v>
      </c>
      <c r="O19" s="14">
        <f t="shared" si="6"/>
        <v>0</v>
      </c>
      <c r="P19" s="14">
        <f t="shared" ref="P19:P40" si="15">SUM(M19:O19)</f>
        <v>0</v>
      </c>
      <c r="Q19" s="14">
        <f t="shared" ref="Q19:Q41" si="16">L19+P19</f>
        <v>0</v>
      </c>
      <c r="R19" s="14">
        <f t="shared" ref="R19:R41" si="17">IF(F19&gt;0,I19-Q19,0)</f>
        <v>0</v>
      </c>
      <c r="T19" s="14">
        <f t="shared" si="7"/>
        <v>0</v>
      </c>
      <c r="U19" s="14">
        <f t="shared" si="8"/>
        <v>0</v>
      </c>
      <c r="V19" s="14">
        <f t="shared" si="9"/>
        <v>0</v>
      </c>
      <c r="W19" s="14">
        <f t="shared" ref="W19:W41" si="18">SUM(U19:V19)</f>
        <v>0</v>
      </c>
      <c r="X19" s="14">
        <f t="shared" si="10"/>
        <v>0</v>
      </c>
      <c r="Y19" s="2">
        <f t="shared" si="11"/>
        <v>0</v>
      </c>
      <c r="Z19" s="90">
        <f t="shared" si="12"/>
        <v>0</v>
      </c>
      <c r="AA19" s="14">
        <f t="shared" ref="AA19:AA41" si="19">SUM(X19:Z19)</f>
        <v>0</v>
      </c>
      <c r="AB19" s="14">
        <f t="shared" ref="AB19:AB41" si="20">W19+AA19</f>
        <v>0</v>
      </c>
      <c r="AC19" s="67">
        <f t="shared" ref="AC19:AC41" si="21">T19-AB19</f>
        <v>0</v>
      </c>
      <c r="AD19" s="61"/>
      <c r="AE19" s="61"/>
      <c r="AF19" s="61"/>
      <c r="AI19" t="s">
        <v>1</v>
      </c>
      <c r="AJ19" t="s">
        <v>2</v>
      </c>
      <c r="AK19" t="s">
        <v>2</v>
      </c>
      <c r="AL19" t="s">
        <v>3</v>
      </c>
      <c r="AM19" s="3"/>
    </row>
    <row r="20" spans="1:39" x14ac:dyDescent="0.2">
      <c r="A20" s="75">
        <v>8.3333333333333301E-2</v>
      </c>
      <c r="B20" s="75">
        <v>0.125</v>
      </c>
      <c r="C20" s="7">
        <v>0</v>
      </c>
      <c r="D20" s="80">
        <f t="shared" si="0"/>
        <v>0</v>
      </c>
      <c r="E20" s="87"/>
      <c r="F20" s="80">
        <f t="shared" si="13"/>
        <v>0</v>
      </c>
      <c r="G20" s="79">
        <f t="shared" si="1"/>
        <v>0</v>
      </c>
      <c r="I20" s="85">
        <v>55</v>
      </c>
      <c r="J20" s="14">
        <f t="shared" si="2"/>
        <v>0</v>
      </c>
      <c r="K20" s="14">
        <f t="shared" si="14"/>
        <v>0</v>
      </c>
      <c r="L20" s="14">
        <f t="shared" si="3"/>
        <v>0</v>
      </c>
      <c r="M20" s="14">
        <f t="shared" si="4"/>
        <v>0</v>
      </c>
      <c r="N20" s="14">
        <f t="shared" si="5"/>
        <v>0</v>
      </c>
      <c r="O20" s="14">
        <f t="shared" si="6"/>
        <v>0</v>
      </c>
      <c r="P20" s="14">
        <f t="shared" si="15"/>
        <v>0</v>
      </c>
      <c r="Q20" s="14">
        <f t="shared" si="16"/>
        <v>0</v>
      </c>
      <c r="R20" s="14">
        <f t="shared" si="17"/>
        <v>0</v>
      </c>
      <c r="T20" s="14">
        <f t="shared" si="7"/>
        <v>0</v>
      </c>
      <c r="U20" s="14">
        <f t="shared" si="8"/>
        <v>0</v>
      </c>
      <c r="V20" s="14">
        <f t="shared" si="9"/>
        <v>0</v>
      </c>
      <c r="W20" s="14">
        <f t="shared" si="18"/>
        <v>0</v>
      </c>
      <c r="X20" s="14">
        <f t="shared" si="10"/>
        <v>0</v>
      </c>
      <c r="Y20" s="2">
        <f t="shared" si="11"/>
        <v>0</v>
      </c>
      <c r="Z20" s="90">
        <f t="shared" si="12"/>
        <v>0</v>
      </c>
      <c r="AA20" s="14">
        <f t="shared" si="19"/>
        <v>0</v>
      </c>
      <c r="AB20" s="14">
        <f t="shared" si="20"/>
        <v>0</v>
      </c>
      <c r="AC20" s="67">
        <f t="shared" si="21"/>
        <v>0</v>
      </c>
      <c r="AD20" s="61"/>
      <c r="AE20" s="61"/>
      <c r="AF20" s="61"/>
      <c r="AM20" s="5"/>
    </row>
    <row r="21" spans="1:39" x14ac:dyDescent="0.2">
      <c r="A21" s="75">
        <v>0.125</v>
      </c>
      <c r="B21" s="75">
        <v>0.16666666666666699</v>
      </c>
      <c r="C21" s="7">
        <v>0</v>
      </c>
      <c r="D21" s="80">
        <f t="shared" si="0"/>
        <v>0</v>
      </c>
      <c r="E21" s="87"/>
      <c r="F21" s="80">
        <f t="shared" si="13"/>
        <v>0</v>
      </c>
      <c r="G21" s="79">
        <f t="shared" si="1"/>
        <v>0</v>
      </c>
      <c r="I21" s="85">
        <v>55</v>
      </c>
      <c r="J21" s="14">
        <f t="shared" si="2"/>
        <v>0</v>
      </c>
      <c r="K21" s="14">
        <f t="shared" si="14"/>
        <v>0</v>
      </c>
      <c r="L21" s="14">
        <f t="shared" si="3"/>
        <v>0</v>
      </c>
      <c r="M21" s="14">
        <f t="shared" si="4"/>
        <v>0</v>
      </c>
      <c r="N21" s="14">
        <f t="shared" si="5"/>
        <v>0</v>
      </c>
      <c r="O21" s="14">
        <f t="shared" si="6"/>
        <v>0</v>
      </c>
      <c r="P21" s="14">
        <f t="shared" si="15"/>
        <v>0</v>
      </c>
      <c r="Q21" s="14">
        <f t="shared" si="16"/>
        <v>0</v>
      </c>
      <c r="R21" s="14">
        <f t="shared" si="17"/>
        <v>0</v>
      </c>
      <c r="T21" s="14">
        <f t="shared" si="7"/>
        <v>0</v>
      </c>
      <c r="U21" s="14">
        <f t="shared" si="8"/>
        <v>0</v>
      </c>
      <c r="V21" s="14">
        <f t="shared" si="9"/>
        <v>0</v>
      </c>
      <c r="W21" s="14">
        <f t="shared" si="18"/>
        <v>0</v>
      </c>
      <c r="X21" s="14">
        <f t="shared" si="10"/>
        <v>0</v>
      </c>
      <c r="Y21" s="2">
        <f t="shared" si="11"/>
        <v>0</v>
      </c>
      <c r="Z21" s="90">
        <f t="shared" si="12"/>
        <v>0</v>
      </c>
      <c r="AA21" s="14">
        <f t="shared" si="19"/>
        <v>0</v>
      </c>
      <c r="AB21" s="14">
        <f t="shared" si="20"/>
        <v>0</v>
      </c>
      <c r="AC21" s="67">
        <f t="shared" si="21"/>
        <v>0</v>
      </c>
      <c r="AD21" s="61"/>
      <c r="AE21" s="61"/>
      <c r="AF21" s="61"/>
      <c r="AG21">
        <v>1</v>
      </c>
      <c r="AH21" t="s">
        <v>102</v>
      </c>
      <c r="AI21">
        <v>60</v>
      </c>
      <c r="AJ21">
        <v>10</v>
      </c>
      <c r="AK21" s="11">
        <v>571.01247503999991</v>
      </c>
      <c r="AL21" s="2">
        <v>38.912999999999997</v>
      </c>
      <c r="AM21" s="3"/>
    </row>
    <row r="22" spans="1:39" x14ac:dyDescent="0.2">
      <c r="A22" s="75">
        <v>0.16666666666666699</v>
      </c>
      <c r="B22" s="75">
        <v>0.20833333333333401</v>
      </c>
      <c r="C22" s="7">
        <v>0</v>
      </c>
      <c r="D22" s="80">
        <f t="shared" si="0"/>
        <v>0</v>
      </c>
      <c r="E22" s="87"/>
      <c r="F22" s="80">
        <f t="shared" si="13"/>
        <v>0</v>
      </c>
      <c r="G22" s="79">
        <f t="shared" si="1"/>
        <v>0</v>
      </c>
      <c r="I22" s="85">
        <v>55</v>
      </c>
      <c r="J22" s="14">
        <f t="shared" si="2"/>
        <v>0</v>
      </c>
      <c r="K22" s="14">
        <f t="shared" si="14"/>
        <v>0</v>
      </c>
      <c r="L22" s="14">
        <f t="shared" si="3"/>
        <v>0</v>
      </c>
      <c r="M22" s="14">
        <f t="shared" si="4"/>
        <v>0</v>
      </c>
      <c r="N22" s="14">
        <f t="shared" si="5"/>
        <v>0</v>
      </c>
      <c r="O22" s="14">
        <f t="shared" si="6"/>
        <v>0</v>
      </c>
      <c r="P22" s="14">
        <f t="shared" si="15"/>
        <v>0</v>
      </c>
      <c r="Q22" s="14">
        <f t="shared" si="16"/>
        <v>0</v>
      </c>
      <c r="R22" s="14">
        <f t="shared" si="17"/>
        <v>0</v>
      </c>
      <c r="T22" s="14">
        <f t="shared" si="7"/>
        <v>0</v>
      </c>
      <c r="U22" s="14">
        <f t="shared" si="8"/>
        <v>0</v>
      </c>
      <c r="V22" s="14">
        <f t="shared" si="9"/>
        <v>0</v>
      </c>
      <c r="W22" s="14">
        <f t="shared" si="18"/>
        <v>0</v>
      </c>
      <c r="X22" s="14">
        <f t="shared" si="10"/>
        <v>0</v>
      </c>
      <c r="Y22" s="2">
        <f t="shared" si="11"/>
        <v>0</v>
      </c>
      <c r="Z22" s="90">
        <f t="shared" si="12"/>
        <v>0</v>
      </c>
      <c r="AA22" s="14">
        <f t="shared" si="19"/>
        <v>0</v>
      </c>
      <c r="AB22" s="14">
        <f t="shared" si="20"/>
        <v>0</v>
      </c>
      <c r="AC22" s="67">
        <f t="shared" si="21"/>
        <v>0</v>
      </c>
      <c r="AD22" s="61"/>
      <c r="AE22" s="61"/>
      <c r="AF22" s="61"/>
      <c r="AG22">
        <v>2</v>
      </c>
      <c r="AH22" t="s">
        <v>103</v>
      </c>
      <c r="AI22">
        <v>45</v>
      </c>
      <c r="AJ22">
        <v>10</v>
      </c>
      <c r="AK22" s="11">
        <v>428.25935627999991</v>
      </c>
      <c r="AL22" s="2">
        <v>29.184749999999998</v>
      </c>
      <c r="AM22" s="3"/>
    </row>
    <row r="23" spans="1:39" x14ac:dyDescent="0.2">
      <c r="A23" s="75">
        <v>0.20833333333333401</v>
      </c>
      <c r="B23" s="75">
        <v>0.25</v>
      </c>
      <c r="C23" s="7">
        <v>0</v>
      </c>
      <c r="D23" s="80">
        <f t="shared" si="0"/>
        <v>0</v>
      </c>
      <c r="E23" s="87"/>
      <c r="F23" s="80">
        <f t="shared" si="13"/>
        <v>0</v>
      </c>
      <c r="G23" s="79">
        <f t="shared" si="1"/>
        <v>0</v>
      </c>
      <c r="I23" s="85">
        <v>55</v>
      </c>
      <c r="J23" s="14">
        <f t="shared" si="2"/>
        <v>0</v>
      </c>
      <c r="K23" s="14">
        <f t="shared" si="14"/>
        <v>0</v>
      </c>
      <c r="L23" s="14">
        <f t="shared" si="3"/>
        <v>0</v>
      </c>
      <c r="M23" s="14">
        <f t="shared" si="4"/>
        <v>0</v>
      </c>
      <c r="N23" s="14">
        <f t="shared" si="5"/>
        <v>0</v>
      </c>
      <c r="O23" s="14">
        <f t="shared" si="6"/>
        <v>0</v>
      </c>
      <c r="P23" s="14">
        <f t="shared" si="15"/>
        <v>0</v>
      </c>
      <c r="Q23" s="14">
        <f t="shared" si="16"/>
        <v>0</v>
      </c>
      <c r="R23" s="14">
        <f t="shared" si="17"/>
        <v>0</v>
      </c>
      <c r="T23" s="14">
        <f t="shared" si="7"/>
        <v>0</v>
      </c>
      <c r="U23" s="14">
        <f t="shared" si="8"/>
        <v>0</v>
      </c>
      <c r="V23" s="14">
        <f t="shared" si="9"/>
        <v>0</v>
      </c>
      <c r="W23" s="14">
        <f t="shared" si="18"/>
        <v>0</v>
      </c>
      <c r="X23" s="14">
        <f t="shared" si="10"/>
        <v>0</v>
      </c>
      <c r="Y23" s="2">
        <f t="shared" si="11"/>
        <v>0</v>
      </c>
      <c r="Z23" s="90">
        <f t="shared" si="12"/>
        <v>0</v>
      </c>
      <c r="AA23" s="14">
        <f t="shared" si="19"/>
        <v>0</v>
      </c>
      <c r="AB23" s="14">
        <f t="shared" si="20"/>
        <v>0</v>
      </c>
      <c r="AC23" s="67">
        <f t="shared" si="21"/>
        <v>0</v>
      </c>
      <c r="AD23" s="61"/>
      <c r="AE23" s="61"/>
      <c r="AF23" s="61"/>
      <c r="AH23" s="77"/>
      <c r="AK23" s="1"/>
      <c r="AM23" s="3"/>
    </row>
    <row r="24" spans="1:39" x14ac:dyDescent="0.2">
      <c r="A24" s="75">
        <v>0.25</v>
      </c>
      <c r="B24" s="75">
        <v>0.29166666666666702</v>
      </c>
      <c r="C24" s="7">
        <v>1</v>
      </c>
      <c r="D24" s="80">
        <f t="shared" si="0"/>
        <v>38.912999999999997</v>
      </c>
      <c r="E24" s="87"/>
      <c r="F24" s="80">
        <f t="shared" si="13"/>
        <v>38.912999999999997</v>
      </c>
      <c r="G24" s="79">
        <f t="shared" si="1"/>
        <v>15.419011641353791</v>
      </c>
      <c r="I24" s="85">
        <v>55</v>
      </c>
      <c r="J24" s="14">
        <f t="shared" si="2"/>
        <v>77.095058206768954</v>
      </c>
      <c r="K24" s="14">
        <f t="shared" si="14"/>
        <v>2.09</v>
      </c>
      <c r="L24" s="14">
        <f t="shared" si="3"/>
        <v>79.185058206768957</v>
      </c>
      <c r="M24" s="14">
        <f t="shared" si="4"/>
        <v>1.890260819479564</v>
      </c>
      <c r="N24" s="14">
        <f t="shared" si="5"/>
        <v>3.8548825916075245E-2</v>
      </c>
      <c r="O24" s="14">
        <f t="shared" si="6"/>
        <v>0</v>
      </c>
      <c r="P24" s="14">
        <f t="shared" si="15"/>
        <v>1.9288096453956394</v>
      </c>
      <c r="Q24" s="14">
        <f t="shared" si="16"/>
        <v>81.113867852164603</v>
      </c>
      <c r="R24" s="14">
        <f t="shared" si="17"/>
        <v>-26.113867852164603</v>
      </c>
      <c r="T24" s="14">
        <f t="shared" si="7"/>
        <v>2140.2149999999997</v>
      </c>
      <c r="U24" s="14">
        <f t="shared" si="8"/>
        <v>3000</v>
      </c>
      <c r="V24" s="14">
        <f t="shared" si="9"/>
        <v>81.328169999999986</v>
      </c>
      <c r="W24" s="14">
        <f t="shared" si="18"/>
        <v>3081.3281699999998</v>
      </c>
      <c r="X24" s="14">
        <f t="shared" si="10"/>
        <v>2239</v>
      </c>
      <c r="Y24" s="2">
        <f t="shared" si="11"/>
        <v>45.660800000000002</v>
      </c>
      <c r="Z24" s="90">
        <f t="shared" si="12"/>
        <v>0</v>
      </c>
      <c r="AA24" s="14">
        <f t="shared" si="19"/>
        <v>2284.6608000000001</v>
      </c>
      <c r="AB24" s="14">
        <f t="shared" si="20"/>
        <v>5365.9889700000003</v>
      </c>
      <c r="AC24" s="67">
        <f t="shared" si="21"/>
        <v>-3225.7739700000006</v>
      </c>
      <c r="AD24" s="61"/>
      <c r="AE24" s="61"/>
      <c r="AF24" s="61"/>
      <c r="AH24" s="77"/>
      <c r="AK24" s="1"/>
      <c r="AM24" s="17"/>
    </row>
    <row r="25" spans="1:39" x14ac:dyDescent="0.2">
      <c r="A25" s="75">
        <v>0.29166666666666702</v>
      </c>
      <c r="B25" s="104">
        <v>0.33333333333333298</v>
      </c>
      <c r="C25" s="92">
        <v>0</v>
      </c>
      <c r="D25" s="93">
        <f t="shared" si="0"/>
        <v>0</v>
      </c>
      <c r="E25" s="94">
        <f t="shared" ref="E25:E39" si="22">$F$3*$N$5</f>
        <v>76.371974999999992</v>
      </c>
      <c r="F25" s="93">
        <f t="shared" si="13"/>
        <v>76.371974999999992</v>
      </c>
      <c r="G25" s="95">
        <f t="shared" si="1"/>
        <v>12.650638859194256</v>
      </c>
      <c r="I25" s="135">
        <v>120</v>
      </c>
      <c r="J25" s="96">
        <f t="shared" si="2"/>
        <v>63.253194295971284</v>
      </c>
      <c r="K25" s="96">
        <f t="shared" si="14"/>
        <v>2.09</v>
      </c>
      <c r="L25" s="96">
        <f t="shared" si="3"/>
        <v>65.343194295971287</v>
      </c>
      <c r="M25" s="96">
        <f t="shared" si="4"/>
        <v>1.890260819479564</v>
      </c>
      <c r="N25" s="96">
        <f t="shared" si="5"/>
        <v>3.8548825916075245E-2</v>
      </c>
      <c r="O25" s="96">
        <f t="shared" si="6"/>
        <v>0</v>
      </c>
      <c r="P25" s="96">
        <f t="shared" si="15"/>
        <v>1.9288096453956394</v>
      </c>
      <c r="Q25" s="96">
        <f t="shared" si="16"/>
        <v>67.272003941366933</v>
      </c>
      <c r="R25" s="96">
        <f t="shared" si="17"/>
        <v>52.727996058633067</v>
      </c>
      <c r="T25" s="96">
        <f t="shared" si="7"/>
        <v>9164.6369999999988</v>
      </c>
      <c r="U25" s="96">
        <f t="shared" si="8"/>
        <v>4830.7713734420613</v>
      </c>
      <c r="V25" s="96">
        <f t="shared" si="9"/>
        <v>159.61742774999996</v>
      </c>
      <c r="W25" s="96">
        <f t="shared" si="18"/>
        <v>4990.3888011920617</v>
      </c>
      <c r="X25" s="96">
        <f t="shared" si="10"/>
        <v>0</v>
      </c>
      <c r="Y25" s="97">
        <f t="shared" si="11"/>
        <v>0</v>
      </c>
      <c r="Z25" s="98">
        <f t="shared" si="12"/>
        <v>0</v>
      </c>
      <c r="AA25" s="96">
        <f t="shared" si="19"/>
        <v>0</v>
      </c>
      <c r="AB25" s="96">
        <f t="shared" si="20"/>
        <v>4990.3888011920617</v>
      </c>
      <c r="AC25" s="96">
        <f t="shared" si="21"/>
        <v>4174.2481988079371</v>
      </c>
      <c r="AD25" s="61"/>
      <c r="AE25" s="61"/>
      <c r="AF25" s="61"/>
      <c r="AH25" s="77"/>
      <c r="AK25" s="1"/>
      <c r="AM25" s="3"/>
    </row>
    <row r="26" spans="1:39" x14ac:dyDescent="0.2">
      <c r="A26" s="75">
        <v>0.33333333333333298</v>
      </c>
      <c r="B26" s="105">
        <v>0.375</v>
      </c>
      <c r="C26" s="7">
        <v>0</v>
      </c>
      <c r="D26" s="80">
        <f t="shared" si="0"/>
        <v>0</v>
      </c>
      <c r="E26" s="87">
        <f t="shared" si="22"/>
        <v>76.371974999999992</v>
      </c>
      <c r="F26" s="80">
        <f t="shared" si="13"/>
        <v>76.371974999999992</v>
      </c>
      <c r="G26" s="79">
        <f t="shared" si="1"/>
        <v>12.650638859194256</v>
      </c>
      <c r="I26" s="135">
        <f>I25</f>
        <v>120</v>
      </c>
      <c r="J26" s="14">
        <f t="shared" si="2"/>
        <v>63.253194295971284</v>
      </c>
      <c r="K26" s="14">
        <f t="shared" si="14"/>
        <v>2.09</v>
      </c>
      <c r="L26" s="14">
        <f t="shared" si="3"/>
        <v>65.343194295971287</v>
      </c>
      <c r="M26" s="14">
        <f t="shared" si="4"/>
        <v>1.890260819479564</v>
      </c>
      <c r="N26" s="14">
        <f t="shared" si="5"/>
        <v>3.8548825916075245E-2</v>
      </c>
      <c r="O26" s="14">
        <f t="shared" si="6"/>
        <v>0</v>
      </c>
      <c r="P26" s="14">
        <f t="shared" si="15"/>
        <v>1.9288096453956394</v>
      </c>
      <c r="Q26" s="14">
        <f t="shared" si="16"/>
        <v>67.272003941366933</v>
      </c>
      <c r="R26" s="14">
        <f t="shared" si="17"/>
        <v>52.727996058633067</v>
      </c>
      <c r="T26" s="14">
        <f t="shared" si="7"/>
        <v>9164.6369999999988</v>
      </c>
      <c r="U26" s="14">
        <f t="shared" si="8"/>
        <v>4830.7713734420613</v>
      </c>
      <c r="V26" s="14">
        <f t="shared" si="9"/>
        <v>159.61742774999996</v>
      </c>
      <c r="W26" s="14">
        <f t="shared" si="18"/>
        <v>4990.3888011920617</v>
      </c>
      <c r="X26" s="14">
        <f t="shared" si="10"/>
        <v>0</v>
      </c>
      <c r="Y26" s="2">
        <f>IF(OR(C26=1,C26=2),61.44448,0)</f>
        <v>0</v>
      </c>
      <c r="Z26" s="90">
        <f t="shared" si="12"/>
        <v>0</v>
      </c>
      <c r="AA26" s="14">
        <f t="shared" si="19"/>
        <v>0</v>
      </c>
      <c r="AB26" s="14">
        <f t="shared" si="20"/>
        <v>4990.3888011920617</v>
      </c>
      <c r="AC26" s="67">
        <f t="shared" si="21"/>
        <v>4174.2481988079371</v>
      </c>
      <c r="AD26" s="61"/>
      <c r="AE26" s="61"/>
      <c r="AF26" s="61"/>
      <c r="AH26" s="77"/>
      <c r="AK26" s="1"/>
      <c r="AM26" s="3"/>
    </row>
    <row r="27" spans="1:39" x14ac:dyDescent="0.2">
      <c r="A27" s="75">
        <v>0.375</v>
      </c>
      <c r="B27" s="105">
        <v>0.41666666666666702</v>
      </c>
      <c r="C27" s="7">
        <v>0</v>
      </c>
      <c r="D27" s="80">
        <f t="shared" si="0"/>
        <v>0</v>
      </c>
      <c r="E27" s="87">
        <f t="shared" si="22"/>
        <v>76.371974999999992</v>
      </c>
      <c r="F27" s="80">
        <f t="shared" si="13"/>
        <v>76.371974999999992</v>
      </c>
      <c r="G27" s="79">
        <f t="shared" si="1"/>
        <v>12.650638859194256</v>
      </c>
      <c r="I27" s="135">
        <f t="shared" ref="I27:I39" si="23">I26</f>
        <v>120</v>
      </c>
      <c r="J27" s="14">
        <f t="shared" si="2"/>
        <v>63.253194295971284</v>
      </c>
      <c r="K27" s="14">
        <f t="shared" si="14"/>
        <v>2.09</v>
      </c>
      <c r="L27" s="14">
        <f t="shared" si="3"/>
        <v>65.343194295971287</v>
      </c>
      <c r="M27" s="14">
        <f t="shared" si="4"/>
        <v>1.890260819479564</v>
      </c>
      <c r="N27" s="14">
        <f t="shared" si="5"/>
        <v>3.8548825916075245E-2</v>
      </c>
      <c r="O27" s="14">
        <f t="shared" si="6"/>
        <v>0</v>
      </c>
      <c r="P27" s="14">
        <f t="shared" si="15"/>
        <v>1.9288096453956394</v>
      </c>
      <c r="Q27" s="14">
        <f t="shared" si="16"/>
        <v>67.272003941366933</v>
      </c>
      <c r="R27" s="14">
        <f t="shared" si="17"/>
        <v>52.727996058633067</v>
      </c>
      <c r="T27" s="14">
        <f t="shared" si="7"/>
        <v>9164.6369999999988</v>
      </c>
      <c r="U27" s="14">
        <f t="shared" si="8"/>
        <v>4830.7713734420613</v>
      </c>
      <c r="V27" s="14">
        <f t="shared" si="9"/>
        <v>159.61742774999996</v>
      </c>
      <c r="W27" s="14">
        <f t="shared" si="18"/>
        <v>4990.3888011920617</v>
      </c>
      <c r="X27" s="14">
        <f t="shared" si="10"/>
        <v>0</v>
      </c>
      <c r="Y27" s="2">
        <f>IF(OR(C27=1,C27=2),61.44448,0)</f>
        <v>0</v>
      </c>
      <c r="Z27" s="90">
        <f t="shared" si="12"/>
        <v>0</v>
      </c>
      <c r="AA27" s="14">
        <f t="shared" si="19"/>
        <v>0</v>
      </c>
      <c r="AB27" s="14">
        <f t="shared" si="20"/>
        <v>4990.3888011920617</v>
      </c>
      <c r="AC27" s="67">
        <f t="shared" si="21"/>
        <v>4174.2481988079371</v>
      </c>
      <c r="AD27" s="61"/>
      <c r="AE27" s="61"/>
      <c r="AF27" s="61"/>
      <c r="AH27" s="77"/>
      <c r="AK27" s="1"/>
      <c r="AM27" s="3"/>
    </row>
    <row r="28" spans="1:39" x14ac:dyDescent="0.2">
      <c r="A28" s="75">
        <v>0.41666666666666702</v>
      </c>
      <c r="B28" s="105">
        <v>0.45833333333333298</v>
      </c>
      <c r="C28" s="7">
        <v>0</v>
      </c>
      <c r="D28" s="80">
        <f t="shared" si="0"/>
        <v>0</v>
      </c>
      <c r="E28" s="87">
        <f t="shared" si="22"/>
        <v>76.371974999999992</v>
      </c>
      <c r="F28" s="80">
        <f t="shared" si="13"/>
        <v>76.371974999999992</v>
      </c>
      <c r="G28" s="79">
        <f t="shared" si="1"/>
        <v>12.650638859194256</v>
      </c>
      <c r="I28" s="135">
        <f t="shared" si="23"/>
        <v>120</v>
      </c>
      <c r="J28" s="14">
        <f t="shared" si="2"/>
        <v>63.253194295971284</v>
      </c>
      <c r="K28" s="14">
        <f t="shared" si="14"/>
        <v>2.09</v>
      </c>
      <c r="L28" s="14">
        <f t="shared" si="3"/>
        <v>65.343194295971287</v>
      </c>
      <c r="M28" s="14">
        <f t="shared" si="4"/>
        <v>1.890260819479564</v>
      </c>
      <c r="N28" s="14">
        <f t="shared" si="5"/>
        <v>3.8548825916075245E-2</v>
      </c>
      <c r="O28" s="14">
        <f t="shared" si="6"/>
        <v>0</v>
      </c>
      <c r="P28" s="14">
        <f t="shared" si="15"/>
        <v>1.9288096453956394</v>
      </c>
      <c r="Q28" s="14">
        <f t="shared" si="16"/>
        <v>67.272003941366933</v>
      </c>
      <c r="R28" s="14">
        <f t="shared" si="17"/>
        <v>52.727996058633067</v>
      </c>
      <c r="T28" s="14">
        <f t="shared" si="7"/>
        <v>9164.6369999999988</v>
      </c>
      <c r="U28" s="14">
        <f t="shared" si="8"/>
        <v>4830.7713734420613</v>
      </c>
      <c r="V28" s="14">
        <f t="shared" si="9"/>
        <v>159.61742774999996</v>
      </c>
      <c r="W28" s="14">
        <f t="shared" si="18"/>
        <v>4990.3888011920617</v>
      </c>
      <c r="X28" s="14">
        <f t="shared" si="10"/>
        <v>0</v>
      </c>
      <c r="Y28" s="2">
        <f>IF(OR(C28=1,C28=2),61.44448,0)</f>
        <v>0</v>
      </c>
      <c r="Z28" s="90">
        <f t="shared" si="12"/>
        <v>0</v>
      </c>
      <c r="AA28" s="14">
        <f t="shared" si="19"/>
        <v>0</v>
      </c>
      <c r="AB28" s="14">
        <f t="shared" si="20"/>
        <v>4990.3888011920617</v>
      </c>
      <c r="AC28" s="67">
        <f t="shared" si="21"/>
        <v>4174.2481988079371</v>
      </c>
      <c r="AD28" s="61"/>
      <c r="AE28" s="61"/>
      <c r="AF28" s="61"/>
      <c r="AH28" s="77"/>
      <c r="AK28" s="1"/>
      <c r="AM28" s="4"/>
    </row>
    <row r="29" spans="1:39" x14ac:dyDescent="0.2">
      <c r="A29" s="75">
        <v>0.45833333333333298</v>
      </c>
      <c r="B29" s="104">
        <v>0.5</v>
      </c>
      <c r="C29" s="92">
        <v>0</v>
      </c>
      <c r="D29" s="93">
        <f t="shared" si="0"/>
        <v>0</v>
      </c>
      <c r="E29" s="94">
        <f t="shared" si="22"/>
        <v>76.371974999999992</v>
      </c>
      <c r="F29" s="93">
        <f t="shared" si="13"/>
        <v>76.371974999999992</v>
      </c>
      <c r="G29" s="95">
        <f t="shared" si="1"/>
        <v>12.650638859194256</v>
      </c>
      <c r="I29" s="135">
        <f t="shared" si="23"/>
        <v>120</v>
      </c>
      <c r="J29" s="96">
        <f t="shared" si="2"/>
        <v>63.253194295971284</v>
      </c>
      <c r="K29" s="96">
        <f t="shared" si="14"/>
        <v>2.09</v>
      </c>
      <c r="L29" s="96">
        <f t="shared" si="3"/>
        <v>65.343194295971287</v>
      </c>
      <c r="M29" s="96">
        <f t="shared" si="4"/>
        <v>1.890260819479564</v>
      </c>
      <c r="N29" s="96">
        <f t="shared" si="5"/>
        <v>3.8548825916075245E-2</v>
      </c>
      <c r="O29" s="96">
        <f t="shared" si="6"/>
        <v>0</v>
      </c>
      <c r="P29" s="96">
        <f t="shared" si="15"/>
        <v>1.9288096453956394</v>
      </c>
      <c r="Q29" s="96">
        <f t="shared" si="16"/>
        <v>67.272003941366933</v>
      </c>
      <c r="R29" s="96">
        <f t="shared" si="17"/>
        <v>52.727996058633067</v>
      </c>
      <c r="T29" s="96">
        <f t="shared" si="7"/>
        <v>9164.6369999999988</v>
      </c>
      <c r="U29" s="96">
        <f t="shared" si="8"/>
        <v>4830.7713734420613</v>
      </c>
      <c r="V29" s="96">
        <f t="shared" si="9"/>
        <v>159.61742774999996</v>
      </c>
      <c r="W29" s="96">
        <f t="shared" si="18"/>
        <v>4990.3888011920617</v>
      </c>
      <c r="X29" s="96">
        <f t="shared" si="10"/>
        <v>0</v>
      </c>
      <c r="Y29" s="97">
        <f>IF(OR(C29=1,C29=2),61.44448,0)</f>
        <v>0</v>
      </c>
      <c r="Z29" s="98">
        <f t="shared" si="12"/>
        <v>0</v>
      </c>
      <c r="AA29" s="96">
        <f t="shared" si="19"/>
        <v>0</v>
      </c>
      <c r="AB29" s="96">
        <f t="shared" si="20"/>
        <v>4990.3888011920617</v>
      </c>
      <c r="AC29" s="96">
        <f t="shared" si="21"/>
        <v>4174.2481988079371</v>
      </c>
      <c r="AD29" s="61"/>
      <c r="AE29" s="61"/>
      <c r="AF29" s="61"/>
      <c r="AH29" s="78"/>
      <c r="AK29" s="6"/>
      <c r="AM29" s="3"/>
    </row>
    <row r="30" spans="1:39" x14ac:dyDescent="0.2">
      <c r="A30" s="75">
        <v>0.5</v>
      </c>
      <c r="B30" s="105">
        <v>0.54166666666666696</v>
      </c>
      <c r="C30" s="7">
        <v>0</v>
      </c>
      <c r="D30" s="80">
        <f t="shared" si="0"/>
        <v>0</v>
      </c>
      <c r="E30" s="87">
        <f t="shared" si="22"/>
        <v>76.371974999999992</v>
      </c>
      <c r="F30" s="80">
        <f t="shared" si="13"/>
        <v>76.371974999999992</v>
      </c>
      <c r="G30" s="79">
        <f t="shared" si="1"/>
        <v>12.650638859194256</v>
      </c>
      <c r="I30" s="135">
        <f t="shared" si="23"/>
        <v>120</v>
      </c>
      <c r="J30" s="14">
        <f t="shared" si="2"/>
        <v>63.253194295971284</v>
      </c>
      <c r="K30" s="14">
        <f t="shared" si="14"/>
        <v>2.09</v>
      </c>
      <c r="L30" s="14">
        <f t="shared" si="3"/>
        <v>65.343194295971287</v>
      </c>
      <c r="M30" s="14">
        <f t="shared" si="4"/>
        <v>1.890260819479564</v>
      </c>
      <c r="N30" s="14">
        <f t="shared" si="5"/>
        <v>3.8548825916075245E-2</v>
      </c>
      <c r="O30" s="14">
        <f t="shared" si="6"/>
        <v>0</v>
      </c>
      <c r="P30" s="14">
        <f t="shared" si="15"/>
        <v>1.9288096453956394</v>
      </c>
      <c r="Q30" s="14">
        <f t="shared" si="16"/>
        <v>67.272003941366933</v>
      </c>
      <c r="R30" s="14">
        <f t="shared" si="17"/>
        <v>52.727996058633067</v>
      </c>
      <c r="T30" s="14">
        <f t="shared" si="7"/>
        <v>9164.6369999999988</v>
      </c>
      <c r="U30" s="14">
        <f t="shared" si="8"/>
        <v>4830.7713734420613</v>
      </c>
      <c r="V30" s="14">
        <f t="shared" si="9"/>
        <v>159.61742774999996</v>
      </c>
      <c r="W30" s="14">
        <f t="shared" si="18"/>
        <v>4990.3888011920617</v>
      </c>
      <c r="X30" s="14">
        <f t="shared" si="10"/>
        <v>0</v>
      </c>
      <c r="Y30" s="2">
        <f t="shared" ref="Y30:Y35" si="24">IF(OR(C30=1,C30=2),89.94752,0)</f>
        <v>0</v>
      </c>
      <c r="Z30" s="90">
        <f t="shared" ref="Z30:Z35" si="25">IF(OR(C30=1,C30=2),1216*0.88,0)</f>
        <v>0</v>
      </c>
      <c r="AA30" s="14">
        <f t="shared" si="19"/>
        <v>0</v>
      </c>
      <c r="AB30" s="14">
        <f t="shared" si="20"/>
        <v>4990.3888011920617</v>
      </c>
      <c r="AC30" s="67">
        <f t="shared" si="21"/>
        <v>4174.2481988079371</v>
      </c>
      <c r="AD30" s="61"/>
      <c r="AE30" s="61"/>
      <c r="AF30" s="61"/>
      <c r="AH30" s="77"/>
      <c r="AK30" s="1"/>
      <c r="AM30" s="3"/>
    </row>
    <row r="31" spans="1:39" x14ac:dyDescent="0.2">
      <c r="A31" s="75">
        <v>0.54166666666666696</v>
      </c>
      <c r="B31" s="105">
        <v>0.58333333333333304</v>
      </c>
      <c r="C31" s="7">
        <v>0</v>
      </c>
      <c r="D31" s="80">
        <f t="shared" si="0"/>
        <v>0</v>
      </c>
      <c r="E31" s="87">
        <f t="shared" si="22"/>
        <v>76.371974999999992</v>
      </c>
      <c r="F31" s="80">
        <f t="shared" si="13"/>
        <v>76.371974999999992</v>
      </c>
      <c r="G31" s="79">
        <f t="shared" si="1"/>
        <v>12.650638859194256</v>
      </c>
      <c r="I31" s="135">
        <f t="shared" si="23"/>
        <v>120</v>
      </c>
      <c r="J31" s="14">
        <f t="shared" si="2"/>
        <v>63.253194295971284</v>
      </c>
      <c r="K31" s="14">
        <f t="shared" si="14"/>
        <v>2.09</v>
      </c>
      <c r="L31" s="14">
        <f t="shared" si="3"/>
        <v>65.343194295971287</v>
      </c>
      <c r="M31" s="14">
        <f t="shared" si="4"/>
        <v>1.890260819479564</v>
      </c>
      <c r="N31" s="14">
        <f t="shared" si="5"/>
        <v>3.8548825916075245E-2</v>
      </c>
      <c r="O31" s="14">
        <f t="shared" si="6"/>
        <v>0</v>
      </c>
      <c r="P31" s="14">
        <f t="shared" si="15"/>
        <v>1.9288096453956394</v>
      </c>
      <c r="Q31" s="14">
        <f t="shared" si="16"/>
        <v>67.272003941366933</v>
      </c>
      <c r="R31" s="14">
        <f t="shared" si="17"/>
        <v>52.727996058633067</v>
      </c>
      <c r="T31" s="14">
        <f t="shared" si="7"/>
        <v>9164.6369999999988</v>
      </c>
      <c r="U31" s="14">
        <f t="shared" si="8"/>
        <v>4830.7713734420613</v>
      </c>
      <c r="V31" s="14">
        <f t="shared" si="9"/>
        <v>159.61742774999996</v>
      </c>
      <c r="W31" s="14">
        <f t="shared" si="18"/>
        <v>4990.3888011920617</v>
      </c>
      <c r="X31" s="14">
        <f t="shared" si="10"/>
        <v>0</v>
      </c>
      <c r="Y31" s="2">
        <f t="shared" si="24"/>
        <v>0</v>
      </c>
      <c r="Z31" s="90">
        <f t="shared" si="25"/>
        <v>0</v>
      </c>
      <c r="AA31" s="14">
        <f t="shared" si="19"/>
        <v>0</v>
      </c>
      <c r="AB31" s="14">
        <f t="shared" si="20"/>
        <v>4990.3888011920617</v>
      </c>
      <c r="AC31" s="67">
        <f t="shared" si="21"/>
        <v>4174.2481988079371</v>
      </c>
      <c r="AD31" s="61"/>
      <c r="AE31" s="61"/>
      <c r="AF31" s="61"/>
      <c r="AK31" s="1"/>
      <c r="AM31" s="3"/>
    </row>
    <row r="32" spans="1:39" x14ac:dyDescent="0.2">
      <c r="A32" s="75">
        <v>0.58333333333333304</v>
      </c>
      <c r="B32" s="105">
        <v>0.625</v>
      </c>
      <c r="C32" s="7">
        <v>0</v>
      </c>
      <c r="D32" s="80">
        <f t="shared" si="0"/>
        <v>0</v>
      </c>
      <c r="E32" s="87">
        <f t="shared" si="22"/>
        <v>76.371974999999992</v>
      </c>
      <c r="F32" s="80">
        <f t="shared" si="13"/>
        <v>76.371974999999992</v>
      </c>
      <c r="G32" s="79">
        <f t="shared" si="1"/>
        <v>12.650638859194256</v>
      </c>
      <c r="I32" s="135">
        <f t="shared" si="23"/>
        <v>120</v>
      </c>
      <c r="J32" s="14">
        <f t="shared" si="2"/>
        <v>63.253194295971284</v>
      </c>
      <c r="K32" s="14">
        <f t="shared" si="14"/>
        <v>2.09</v>
      </c>
      <c r="L32" s="14">
        <f t="shared" si="3"/>
        <v>65.343194295971287</v>
      </c>
      <c r="M32" s="14">
        <f t="shared" si="4"/>
        <v>1.890260819479564</v>
      </c>
      <c r="N32" s="14">
        <f t="shared" si="5"/>
        <v>3.8548825916075245E-2</v>
      </c>
      <c r="O32" s="14">
        <f t="shared" si="6"/>
        <v>0</v>
      </c>
      <c r="P32" s="14">
        <f t="shared" si="15"/>
        <v>1.9288096453956394</v>
      </c>
      <c r="Q32" s="14">
        <f t="shared" si="16"/>
        <v>67.272003941366933</v>
      </c>
      <c r="R32" s="14">
        <f t="shared" si="17"/>
        <v>52.727996058633067</v>
      </c>
      <c r="T32" s="14">
        <f t="shared" si="7"/>
        <v>9164.6369999999988</v>
      </c>
      <c r="U32" s="14">
        <f t="shared" si="8"/>
        <v>4830.7713734420613</v>
      </c>
      <c r="V32" s="14">
        <f t="shared" si="9"/>
        <v>159.61742774999996</v>
      </c>
      <c r="W32" s="14">
        <f t="shared" si="18"/>
        <v>4990.3888011920617</v>
      </c>
      <c r="X32" s="14">
        <f t="shared" si="10"/>
        <v>0</v>
      </c>
      <c r="Y32" s="2">
        <f t="shared" si="24"/>
        <v>0</v>
      </c>
      <c r="Z32" s="90">
        <f t="shared" si="25"/>
        <v>0</v>
      </c>
      <c r="AA32" s="14">
        <f t="shared" si="19"/>
        <v>0</v>
      </c>
      <c r="AB32" s="14">
        <f t="shared" si="20"/>
        <v>4990.3888011920617</v>
      </c>
      <c r="AC32" s="67">
        <f t="shared" si="21"/>
        <v>4174.2481988079371</v>
      </c>
      <c r="AD32" s="61"/>
      <c r="AK32" s="1"/>
      <c r="AM32" s="3"/>
    </row>
    <row r="33" spans="1:32" x14ac:dyDescent="0.2">
      <c r="A33" s="75">
        <v>0.625</v>
      </c>
      <c r="B33" s="105">
        <v>0.66666666666666696</v>
      </c>
      <c r="C33" s="7">
        <v>0</v>
      </c>
      <c r="D33" s="80">
        <f t="shared" si="0"/>
        <v>0</v>
      </c>
      <c r="E33" s="87">
        <f t="shared" si="22"/>
        <v>76.371974999999992</v>
      </c>
      <c r="F33" s="80">
        <f t="shared" si="13"/>
        <v>76.371974999999992</v>
      </c>
      <c r="G33" s="79">
        <f t="shared" si="1"/>
        <v>12.650638859194256</v>
      </c>
      <c r="I33" s="135">
        <f t="shared" si="23"/>
        <v>120</v>
      </c>
      <c r="J33" s="14">
        <f t="shared" si="2"/>
        <v>63.253194295971284</v>
      </c>
      <c r="K33" s="14">
        <f t="shared" si="14"/>
        <v>2.09</v>
      </c>
      <c r="L33" s="14">
        <f t="shared" si="3"/>
        <v>65.343194295971287</v>
      </c>
      <c r="M33" s="14">
        <f t="shared" si="4"/>
        <v>1.890260819479564</v>
      </c>
      <c r="N33" s="14">
        <f t="shared" si="5"/>
        <v>3.8548825916075245E-2</v>
      </c>
      <c r="O33" s="14">
        <f t="shared" si="6"/>
        <v>0</v>
      </c>
      <c r="P33" s="14">
        <f t="shared" si="15"/>
        <v>1.9288096453956394</v>
      </c>
      <c r="Q33" s="14">
        <f t="shared" si="16"/>
        <v>67.272003941366933</v>
      </c>
      <c r="R33" s="14">
        <f t="shared" si="17"/>
        <v>52.727996058633067</v>
      </c>
      <c r="T33" s="14">
        <f t="shared" si="7"/>
        <v>9164.6369999999988</v>
      </c>
      <c r="U33" s="14">
        <f t="shared" si="8"/>
        <v>4830.7713734420613</v>
      </c>
      <c r="V33" s="14">
        <f t="shared" si="9"/>
        <v>159.61742774999996</v>
      </c>
      <c r="W33" s="14">
        <f t="shared" si="18"/>
        <v>4990.3888011920617</v>
      </c>
      <c r="X33" s="14">
        <f t="shared" si="10"/>
        <v>0</v>
      </c>
      <c r="Y33" s="2">
        <f t="shared" si="24"/>
        <v>0</v>
      </c>
      <c r="Z33" s="90">
        <f t="shared" si="25"/>
        <v>0</v>
      </c>
      <c r="AA33" s="14">
        <f t="shared" si="19"/>
        <v>0</v>
      </c>
      <c r="AB33" s="14">
        <f t="shared" si="20"/>
        <v>4990.3888011920617</v>
      </c>
      <c r="AC33" s="67">
        <f t="shared" si="21"/>
        <v>4174.2481988079371</v>
      </c>
      <c r="AD33" s="61"/>
    </row>
    <row r="34" spans="1:32" x14ac:dyDescent="0.2">
      <c r="A34" s="75">
        <v>0.66666666666666696</v>
      </c>
      <c r="B34" s="105">
        <v>0.70833333333333304</v>
      </c>
      <c r="C34" s="7">
        <v>0</v>
      </c>
      <c r="D34" s="80">
        <f t="shared" si="0"/>
        <v>0</v>
      </c>
      <c r="E34" s="87">
        <f t="shared" si="22"/>
        <v>76.371974999999992</v>
      </c>
      <c r="F34" s="80">
        <f t="shared" si="13"/>
        <v>76.371974999999992</v>
      </c>
      <c r="G34" s="79">
        <f t="shared" si="1"/>
        <v>12.650638859194256</v>
      </c>
      <c r="I34" s="135">
        <f t="shared" si="23"/>
        <v>120</v>
      </c>
      <c r="J34" s="14">
        <f t="shared" si="2"/>
        <v>63.253194295971284</v>
      </c>
      <c r="K34" s="14">
        <f t="shared" si="14"/>
        <v>2.09</v>
      </c>
      <c r="L34" s="14">
        <f t="shared" si="3"/>
        <v>65.343194295971287</v>
      </c>
      <c r="M34" s="14">
        <f t="shared" si="4"/>
        <v>1.890260819479564</v>
      </c>
      <c r="N34" s="14">
        <f t="shared" si="5"/>
        <v>3.8548825916075245E-2</v>
      </c>
      <c r="O34" s="14">
        <f t="shared" si="6"/>
        <v>0</v>
      </c>
      <c r="P34" s="14">
        <f t="shared" si="15"/>
        <v>1.9288096453956394</v>
      </c>
      <c r="Q34" s="14">
        <f t="shared" si="16"/>
        <v>67.272003941366933</v>
      </c>
      <c r="R34" s="14">
        <f t="shared" si="17"/>
        <v>52.727996058633067</v>
      </c>
      <c r="T34" s="14">
        <f t="shared" si="7"/>
        <v>9164.6369999999988</v>
      </c>
      <c r="U34" s="14">
        <f t="shared" si="8"/>
        <v>4830.7713734420613</v>
      </c>
      <c r="V34" s="14">
        <f t="shared" si="9"/>
        <v>159.61742774999996</v>
      </c>
      <c r="W34" s="14">
        <f t="shared" si="18"/>
        <v>4990.3888011920617</v>
      </c>
      <c r="X34" s="14">
        <f t="shared" si="10"/>
        <v>0</v>
      </c>
      <c r="Y34" s="2">
        <f t="shared" si="24"/>
        <v>0</v>
      </c>
      <c r="Z34" s="90">
        <f t="shared" si="25"/>
        <v>0</v>
      </c>
      <c r="AA34" s="14">
        <f t="shared" si="19"/>
        <v>0</v>
      </c>
      <c r="AB34" s="14">
        <f t="shared" si="20"/>
        <v>4990.3888011920617</v>
      </c>
      <c r="AC34" s="67">
        <f t="shared" si="21"/>
        <v>4174.2481988079371</v>
      </c>
      <c r="AD34" s="61"/>
    </row>
    <row r="35" spans="1:32" x14ac:dyDescent="0.2">
      <c r="A35" s="75">
        <v>0.70833333333333304</v>
      </c>
      <c r="B35" s="104">
        <v>0.75</v>
      </c>
      <c r="C35" s="92">
        <v>0</v>
      </c>
      <c r="D35" s="93">
        <f t="shared" si="0"/>
        <v>0</v>
      </c>
      <c r="E35" s="94">
        <f t="shared" si="22"/>
        <v>76.371974999999992</v>
      </c>
      <c r="F35" s="93">
        <f t="shared" si="13"/>
        <v>76.371974999999992</v>
      </c>
      <c r="G35" s="95">
        <f t="shared" si="1"/>
        <v>12.650638859194256</v>
      </c>
      <c r="I35" s="135">
        <f t="shared" si="23"/>
        <v>120</v>
      </c>
      <c r="J35" s="96">
        <f t="shared" si="2"/>
        <v>63.253194295971284</v>
      </c>
      <c r="K35" s="96">
        <f t="shared" si="14"/>
        <v>2.09</v>
      </c>
      <c r="L35" s="96">
        <f t="shared" si="3"/>
        <v>65.343194295971287</v>
      </c>
      <c r="M35" s="96">
        <f t="shared" si="4"/>
        <v>1.890260819479564</v>
      </c>
      <c r="N35" s="96">
        <f t="shared" si="5"/>
        <v>3.8548825916075245E-2</v>
      </c>
      <c r="O35" s="96">
        <f t="shared" si="6"/>
        <v>0</v>
      </c>
      <c r="P35" s="96">
        <f t="shared" si="15"/>
        <v>1.9288096453956394</v>
      </c>
      <c r="Q35" s="96">
        <f t="shared" si="16"/>
        <v>67.272003941366933</v>
      </c>
      <c r="R35" s="96">
        <f t="shared" si="17"/>
        <v>52.727996058633067</v>
      </c>
      <c r="T35" s="96">
        <f t="shared" si="7"/>
        <v>9164.6369999999988</v>
      </c>
      <c r="U35" s="96">
        <f t="shared" si="8"/>
        <v>4830.7713734420613</v>
      </c>
      <c r="V35" s="96">
        <f t="shared" si="9"/>
        <v>159.61742774999996</v>
      </c>
      <c r="W35" s="96">
        <f t="shared" si="18"/>
        <v>4990.3888011920617</v>
      </c>
      <c r="X35" s="96">
        <f t="shared" si="10"/>
        <v>0</v>
      </c>
      <c r="Y35" s="97">
        <f t="shared" si="24"/>
        <v>0</v>
      </c>
      <c r="Z35" s="98">
        <f t="shared" si="25"/>
        <v>0</v>
      </c>
      <c r="AA35" s="96">
        <f t="shared" si="19"/>
        <v>0</v>
      </c>
      <c r="AB35" s="96">
        <f t="shared" si="20"/>
        <v>4990.3888011920617</v>
      </c>
      <c r="AC35" s="96">
        <f t="shared" si="21"/>
        <v>4174.2481988079371</v>
      </c>
      <c r="AD35" s="61"/>
    </row>
    <row r="36" spans="1:32" x14ac:dyDescent="0.2">
      <c r="A36" s="75">
        <v>0.75</v>
      </c>
      <c r="B36" s="106">
        <v>0.79166666666666596</v>
      </c>
      <c r="C36" s="99">
        <v>0</v>
      </c>
      <c r="D36" s="100">
        <f t="shared" si="0"/>
        <v>0</v>
      </c>
      <c r="E36" s="87">
        <f t="shared" si="22"/>
        <v>76.371974999999992</v>
      </c>
      <c r="F36" s="100">
        <f t="shared" si="13"/>
        <v>76.371974999999992</v>
      </c>
      <c r="G36" s="101">
        <f t="shared" si="1"/>
        <v>12.650638859194256</v>
      </c>
      <c r="I36" s="135">
        <f t="shared" si="23"/>
        <v>120</v>
      </c>
      <c r="J36" s="14">
        <f t="shared" si="2"/>
        <v>63.253194295971284</v>
      </c>
      <c r="K36" s="14">
        <f t="shared" si="14"/>
        <v>2.09</v>
      </c>
      <c r="L36" s="14">
        <f t="shared" si="3"/>
        <v>65.343194295971287</v>
      </c>
      <c r="M36" s="67">
        <f t="shared" si="4"/>
        <v>1.890260819479564</v>
      </c>
      <c r="N36" s="14">
        <f t="shared" si="5"/>
        <v>3.8548825916075245E-2</v>
      </c>
      <c r="O36" s="14">
        <f t="shared" si="6"/>
        <v>0</v>
      </c>
      <c r="P36" s="14">
        <f t="shared" si="15"/>
        <v>1.9288096453956394</v>
      </c>
      <c r="Q36" s="14">
        <f t="shared" si="16"/>
        <v>67.272003941366933</v>
      </c>
      <c r="R36" s="14">
        <f t="shared" si="17"/>
        <v>52.727996058633067</v>
      </c>
      <c r="T36" s="14">
        <f t="shared" si="7"/>
        <v>9164.6369999999988</v>
      </c>
      <c r="U36" s="14">
        <f t="shared" si="8"/>
        <v>4830.7713734420613</v>
      </c>
      <c r="V36" s="14">
        <f t="shared" si="9"/>
        <v>159.61742774999996</v>
      </c>
      <c r="W36" s="14">
        <f t="shared" si="18"/>
        <v>4990.3888011920617</v>
      </c>
      <c r="X36" s="67">
        <f t="shared" si="10"/>
        <v>0</v>
      </c>
      <c r="Y36" s="102">
        <f>IF(OR(C36=1,C36=2),61.44448,0)</f>
        <v>0</v>
      </c>
      <c r="Z36" s="103">
        <f t="shared" ref="Z36:Z41" si="26">IF(OR(C36=1,C36=2),0,0)</f>
        <v>0</v>
      </c>
      <c r="AA36" s="14">
        <f t="shared" si="19"/>
        <v>0</v>
      </c>
      <c r="AB36" s="14">
        <f t="shared" si="20"/>
        <v>4990.3888011920617</v>
      </c>
      <c r="AC36" s="67">
        <f t="shared" si="21"/>
        <v>4174.2481988079371</v>
      </c>
      <c r="AD36" s="61"/>
    </row>
    <row r="37" spans="1:32" x14ac:dyDescent="0.2">
      <c r="A37" s="75">
        <v>0.79166666666666596</v>
      </c>
      <c r="B37" s="105">
        <v>0.83333333333333304</v>
      </c>
      <c r="C37" s="7">
        <v>0</v>
      </c>
      <c r="D37" s="80">
        <f t="shared" si="0"/>
        <v>0</v>
      </c>
      <c r="E37" s="87">
        <f t="shared" si="22"/>
        <v>76.371974999999992</v>
      </c>
      <c r="F37" s="80">
        <f t="shared" si="13"/>
        <v>76.371974999999992</v>
      </c>
      <c r="G37" s="79">
        <f t="shared" si="1"/>
        <v>12.650638859194256</v>
      </c>
      <c r="I37" s="135">
        <f t="shared" si="23"/>
        <v>120</v>
      </c>
      <c r="J37" s="14">
        <f t="shared" si="2"/>
        <v>63.253194295971284</v>
      </c>
      <c r="K37" s="14">
        <f t="shared" si="14"/>
        <v>2.09</v>
      </c>
      <c r="L37" s="14">
        <f t="shared" si="3"/>
        <v>65.343194295971287</v>
      </c>
      <c r="M37" s="14">
        <f t="shared" si="4"/>
        <v>1.890260819479564</v>
      </c>
      <c r="N37" s="14">
        <f t="shared" si="5"/>
        <v>3.8548825916075245E-2</v>
      </c>
      <c r="O37" s="14">
        <f t="shared" si="6"/>
        <v>0</v>
      </c>
      <c r="P37" s="14">
        <f t="shared" si="15"/>
        <v>1.9288096453956394</v>
      </c>
      <c r="Q37" s="14">
        <f t="shared" si="16"/>
        <v>67.272003941366933</v>
      </c>
      <c r="R37" s="14">
        <f t="shared" si="17"/>
        <v>52.727996058633067</v>
      </c>
      <c r="T37" s="14">
        <f t="shared" si="7"/>
        <v>9164.6369999999988</v>
      </c>
      <c r="U37" s="14">
        <f t="shared" si="8"/>
        <v>4830.7713734420613</v>
      </c>
      <c r="V37" s="14">
        <f t="shared" si="9"/>
        <v>159.61742774999996</v>
      </c>
      <c r="W37" s="14">
        <f t="shared" si="18"/>
        <v>4990.3888011920617</v>
      </c>
      <c r="X37" s="14">
        <f t="shared" si="10"/>
        <v>0</v>
      </c>
      <c r="Y37" s="2">
        <f>IF(OR(C37=1,C37=2),61.44448,0)</f>
        <v>0</v>
      </c>
      <c r="Z37" s="90">
        <f t="shared" si="26"/>
        <v>0</v>
      </c>
      <c r="AA37" s="14">
        <f t="shared" si="19"/>
        <v>0</v>
      </c>
      <c r="AB37" s="14">
        <f t="shared" si="20"/>
        <v>4990.3888011920617</v>
      </c>
      <c r="AC37" s="67">
        <f t="shared" si="21"/>
        <v>4174.2481988079371</v>
      </c>
      <c r="AD37" s="61"/>
    </row>
    <row r="38" spans="1:32" x14ac:dyDescent="0.2">
      <c r="A38" s="75">
        <v>0.83333333333333304</v>
      </c>
      <c r="B38" s="105">
        <v>0.875</v>
      </c>
      <c r="C38" s="7">
        <v>0</v>
      </c>
      <c r="D38" s="80">
        <f t="shared" si="0"/>
        <v>0</v>
      </c>
      <c r="E38" s="87">
        <f t="shared" si="22"/>
        <v>76.371974999999992</v>
      </c>
      <c r="F38" s="80">
        <f t="shared" si="13"/>
        <v>76.371974999999992</v>
      </c>
      <c r="G38" s="79">
        <f t="shared" si="1"/>
        <v>12.650638859194256</v>
      </c>
      <c r="I38" s="135">
        <f t="shared" si="23"/>
        <v>120</v>
      </c>
      <c r="J38" s="14">
        <f t="shared" si="2"/>
        <v>63.253194295971284</v>
      </c>
      <c r="K38" s="14">
        <f t="shared" si="14"/>
        <v>2.09</v>
      </c>
      <c r="L38" s="14">
        <f t="shared" si="3"/>
        <v>65.343194295971287</v>
      </c>
      <c r="M38" s="14">
        <f t="shared" si="4"/>
        <v>1.890260819479564</v>
      </c>
      <c r="N38" s="14">
        <f t="shared" si="5"/>
        <v>3.8548825916075245E-2</v>
      </c>
      <c r="O38" s="14">
        <f t="shared" si="6"/>
        <v>0</v>
      </c>
      <c r="P38" s="14">
        <f t="shared" si="15"/>
        <v>1.9288096453956394</v>
      </c>
      <c r="Q38" s="14">
        <f t="shared" si="16"/>
        <v>67.272003941366933</v>
      </c>
      <c r="R38" s="14">
        <f t="shared" si="17"/>
        <v>52.727996058633067</v>
      </c>
      <c r="T38" s="14">
        <f t="shared" si="7"/>
        <v>9164.6369999999988</v>
      </c>
      <c r="U38" s="14">
        <f t="shared" si="8"/>
        <v>4830.7713734420613</v>
      </c>
      <c r="V38" s="14">
        <f t="shared" si="9"/>
        <v>159.61742774999996</v>
      </c>
      <c r="W38" s="14">
        <f t="shared" si="18"/>
        <v>4990.3888011920617</v>
      </c>
      <c r="X38" s="14">
        <f t="shared" si="10"/>
        <v>0</v>
      </c>
      <c r="Y38" s="2">
        <f>IF(OR(C38=1,C38=2),61.44448,0)</f>
        <v>0</v>
      </c>
      <c r="Z38" s="90">
        <f t="shared" si="26"/>
        <v>0</v>
      </c>
      <c r="AA38" s="14">
        <f t="shared" si="19"/>
        <v>0</v>
      </c>
      <c r="AB38" s="14">
        <f t="shared" si="20"/>
        <v>4990.3888011920617</v>
      </c>
      <c r="AC38" s="67">
        <f t="shared" si="21"/>
        <v>4174.2481988079371</v>
      </c>
      <c r="AD38" s="61"/>
    </row>
    <row r="39" spans="1:32" x14ac:dyDescent="0.2">
      <c r="A39" s="75">
        <v>0.875</v>
      </c>
      <c r="B39" s="106">
        <v>0.91666666666666596</v>
      </c>
      <c r="C39" s="99">
        <v>0</v>
      </c>
      <c r="D39" s="100">
        <f t="shared" si="0"/>
        <v>0</v>
      </c>
      <c r="E39" s="87">
        <f t="shared" si="22"/>
        <v>76.371974999999992</v>
      </c>
      <c r="F39" s="100">
        <f t="shared" si="13"/>
        <v>76.371974999999992</v>
      </c>
      <c r="G39" s="101">
        <f t="shared" si="1"/>
        <v>12.650638859194256</v>
      </c>
      <c r="I39" s="135">
        <f t="shared" si="23"/>
        <v>120</v>
      </c>
      <c r="J39" s="14">
        <f t="shared" si="2"/>
        <v>63.253194295971284</v>
      </c>
      <c r="K39" s="14">
        <f t="shared" si="14"/>
        <v>2.09</v>
      </c>
      <c r="L39" s="14">
        <f t="shared" si="3"/>
        <v>65.343194295971287</v>
      </c>
      <c r="M39" s="67">
        <f t="shared" si="4"/>
        <v>1.890260819479564</v>
      </c>
      <c r="N39" s="14">
        <f t="shared" si="5"/>
        <v>3.8548825916075245E-2</v>
      </c>
      <c r="O39" s="14">
        <f t="shared" si="6"/>
        <v>0</v>
      </c>
      <c r="P39" s="14">
        <f t="shared" si="15"/>
        <v>1.9288096453956394</v>
      </c>
      <c r="Q39" s="14">
        <f t="shared" si="16"/>
        <v>67.272003941366933</v>
      </c>
      <c r="R39" s="14">
        <f t="shared" si="17"/>
        <v>52.727996058633067</v>
      </c>
      <c r="T39" s="14">
        <f t="shared" si="7"/>
        <v>9164.6369999999988</v>
      </c>
      <c r="U39" s="14">
        <f t="shared" si="8"/>
        <v>4830.7713734420613</v>
      </c>
      <c r="V39" s="14">
        <f t="shared" si="9"/>
        <v>159.61742774999996</v>
      </c>
      <c r="W39" s="14">
        <f t="shared" si="18"/>
        <v>4990.3888011920617</v>
      </c>
      <c r="X39" s="67">
        <f t="shared" si="10"/>
        <v>0</v>
      </c>
      <c r="Y39" s="102">
        <f>IF(OR(C39=1,C39=2),61.44448,0)</f>
        <v>0</v>
      </c>
      <c r="Z39" s="103">
        <f t="shared" si="26"/>
        <v>0</v>
      </c>
      <c r="AA39" s="14">
        <f t="shared" si="19"/>
        <v>0</v>
      </c>
      <c r="AB39" s="14">
        <f t="shared" si="20"/>
        <v>4990.3888011920617</v>
      </c>
      <c r="AC39" s="67">
        <f t="shared" si="21"/>
        <v>4174.2481988079371</v>
      </c>
      <c r="AD39" s="61"/>
      <c r="AE39" s="61"/>
      <c r="AF39" s="61"/>
    </row>
    <row r="40" spans="1:32" x14ac:dyDescent="0.2">
      <c r="A40" s="75">
        <v>0.91666666666666596</v>
      </c>
      <c r="B40" s="91">
        <v>0.95833333333333304</v>
      </c>
      <c r="C40" s="92">
        <v>0</v>
      </c>
      <c r="D40" s="93">
        <f t="shared" si="0"/>
        <v>0</v>
      </c>
      <c r="E40" s="94"/>
      <c r="F40" s="93">
        <f t="shared" si="13"/>
        <v>0</v>
      </c>
      <c r="G40" s="95">
        <f t="shared" si="1"/>
        <v>0</v>
      </c>
      <c r="I40" s="119">
        <v>55</v>
      </c>
      <c r="J40" s="96">
        <f t="shared" si="2"/>
        <v>0</v>
      </c>
      <c r="K40" s="96">
        <f t="shared" si="14"/>
        <v>0</v>
      </c>
      <c r="L40" s="96">
        <f t="shared" si="3"/>
        <v>0</v>
      </c>
      <c r="M40" s="96">
        <f t="shared" si="4"/>
        <v>0</v>
      </c>
      <c r="N40" s="96">
        <f t="shared" si="5"/>
        <v>0</v>
      </c>
      <c r="O40" s="96">
        <f t="shared" si="6"/>
        <v>0</v>
      </c>
      <c r="P40" s="96">
        <f t="shared" si="15"/>
        <v>0</v>
      </c>
      <c r="Q40" s="96">
        <f t="shared" si="16"/>
        <v>0</v>
      </c>
      <c r="R40" s="96">
        <f t="shared" si="17"/>
        <v>0</v>
      </c>
      <c r="T40" s="96">
        <f t="shared" si="7"/>
        <v>0</v>
      </c>
      <c r="U40" s="96">
        <f t="shared" si="8"/>
        <v>0</v>
      </c>
      <c r="V40" s="96">
        <f t="shared" si="9"/>
        <v>0</v>
      </c>
      <c r="W40" s="96">
        <f t="shared" si="18"/>
        <v>0</v>
      </c>
      <c r="X40" s="96">
        <f t="shared" si="10"/>
        <v>0</v>
      </c>
      <c r="Y40" s="97">
        <f>IF(OR(C40=1,C40=2),45.6608,0)</f>
        <v>0</v>
      </c>
      <c r="Z40" s="98">
        <f t="shared" si="26"/>
        <v>0</v>
      </c>
      <c r="AA40" s="96">
        <f t="shared" si="19"/>
        <v>0</v>
      </c>
      <c r="AB40" s="96">
        <f t="shared" si="20"/>
        <v>0</v>
      </c>
      <c r="AC40" s="96">
        <f t="shared" si="21"/>
        <v>0</v>
      </c>
      <c r="AD40" s="61"/>
      <c r="AE40" s="61"/>
      <c r="AF40" s="61"/>
    </row>
    <row r="41" spans="1:32" x14ac:dyDescent="0.2">
      <c r="A41" s="75">
        <v>0.95833333333333304</v>
      </c>
      <c r="B41" s="75">
        <v>1</v>
      </c>
      <c r="C41" s="7">
        <v>0</v>
      </c>
      <c r="D41" s="80">
        <f t="shared" si="0"/>
        <v>0</v>
      </c>
      <c r="E41" s="87"/>
      <c r="F41" s="80">
        <f t="shared" si="13"/>
        <v>0</v>
      </c>
      <c r="G41" s="79">
        <f t="shared" si="1"/>
        <v>0</v>
      </c>
      <c r="I41" s="135">
        <v>55</v>
      </c>
      <c r="J41" s="14">
        <f t="shared" si="2"/>
        <v>0</v>
      </c>
      <c r="K41" s="14">
        <f t="shared" si="14"/>
        <v>0</v>
      </c>
      <c r="L41" s="14">
        <f t="shared" si="3"/>
        <v>0</v>
      </c>
      <c r="M41" s="14">
        <f t="shared" si="4"/>
        <v>0</v>
      </c>
      <c r="N41" s="14">
        <f t="shared" si="5"/>
        <v>0</v>
      </c>
      <c r="O41" s="14">
        <f t="shared" si="6"/>
        <v>0</v>
      </c>
      <c r="Q41" s="14">
        <f t="shared" si="16"/>
        <v>0</v>
      </c>
      <c r="R41" s="14">
        <f t="shared" si="17"/>
        <v>0</v>
      </c>
      <c r="T41" s="14">
        <f t="shared" si="7"/>
        <v>0</v>
      </c>
      <c r="U41" s="14">
        <f t="shared" si="8"/>
        <v>0</v>
      </c>
      <c r="V41" s="14">
        <f t="shared" si="9"/>
        <v>0</v>
      </c>
      <c r="W41" s="14">
        <f t="shared" si="18"/>
        <v>0</v>
      </c>
      <c r="X41" s="14">
        <f t="shared" si="10"/>
        <v>0</v>
      </c>
      <c r="Y41" s="2">
        <f>IF(OR(C41=1,C41=2),45.6608,0)</f>
        <v>0</v>
      </c>
      <c r="Z41" s="90">
        <f t="shared" si="26"/>
        <v>0</v>
      </c>
      <c r="AA41" s="14">
        <f t="shared" si="19"/>
        <v>0</v>
      </c>
      <c r="AB41" s="14">
        <f t="shared" si="20"/>
        <v>0</v>
      </c>
      <c r="AC41" s="67">
        <f t="shared" si="21"/>
        <v>0</v>
      </c>
      <c r="AD41" s="61"/>
      <c r="AE41" s="61"/>
      <c r="AF41" s="61"/>
    </row>
    <row r="42" spans="1:32" x14ac:dyDescent="0.2">
      <c r="L42" s="14"/>
      <c r="M42" s="14"/>
    </row>
    <row r="43" spans="1:32" x14ac:dyDescent="0.2">
      <c r="B43" t="s">
        <v>33</v>
      </c>
      <c r="D43">
        <f>SUM(D18:D42)</f>
        <v>38.912999999999997</v>
      </c>
      <c r="E43">
        <f>SUM(E18:E42)</f>
        <v>1145.5796250000001</v>
      </c>
      <c r="F43">
        <f>SUM(F18:F42)</f>
        <v>1184.4926250000001</v>
      </c>
      <c r="L43" s="14"/>
      <c r="M43" s="86">
        <f>MAX(M18:M41)*$F$43</f>
        <v>2239</v>
      </c>
      <c r="N43" s="86">
        <f>MAX(N18:N41)*$F$43</f>
        <v>45.660800000000002</v>
      </c>
      <c r="O43" s="86">
        <f>MAX(O18:O41)*$F$43</f>
        <v>0</v>
      </c>
      <c r="T43" s="86">
        <f t="shared" ref="T43:AC43" si="27">SUM(T18:T41)</f>
        <v>139609.77000000002</v>
      </c>
      <c r="U43" s="86">
        <f t="shared" si="27"/>
        <v>75461.570601630898</v>
      </c>
      <c r="V43" s="86">
        <f t="shared" si="27"/>
        <v>2475.5895862499992</v>
      </c>
      <c r="W43" s="86">
        <f t="shared" si="27"/>
        <v>77937.160187880945</v>
      </c>
      <c r="X43" s="86">
        <f t="shared" si="27"/>
        <v>2239</v>
      </c>
      <c r="Y43" s="86">
        <f t="shared" si="27"/>
        <v>45.660800000000002</v>
      </c>
      <c r="Z43" s="86">
        <f t="shared" si="27"/>
        <v>0</v>
      </c>
      <c r="AA43" s="86">
        <f t="shared" si="27"/>
        <v>2284.6608000000001</v>
      </c>
      <c r="AB43" s="86">
        <f t="shared" si="27"/>
        <v>80221.820987880943</v>
      </c>
      <c r="AC43" s="86">
        <f t="shared" si="27"/>
        <v>59387.949012119068</v>
      </c>
    </row>
    <row r="44" spans="1:32" x14ac:dyDescent="0.2">
      <c r="L44" s="14"/>
    </row>
    <row r="45" spans="1:32" ht="13.5" thickBot="1" x14ac:dyDescent="0.25"/>
    <row r="46" spans="1:32" ht="13.5" thickBot="1" x14ac:dyDescent="0.25">
      <c r="AB46" s="117" t="s">
        <v>120</v>
      </c>
      <c r="AC46" s="118">
        <f>(AC43*27)/(79*1000)</f>
        <v>20.297147130724237</v>
      </c>
    </row>
    <row r="48" spans="1:32" x14ac:dyDescent="0.2">
      <c r="AB48" s="61" t="s">
        <v>124</v>
      </c>
      <c r="AC48" s="102">
        <v>35.317902100906167</v>
      </c>
    </row>
    <row r="49" spans="2:39" x14ac:dyDescent="0.2">
      <c r="AB49" s="61" t="s">
        <v>13</v>
      </c>
      <c r="AC49" s="102">
        <v>33.655465162709284</v>
      </c>
    </row>
    <row r="50" spans="2:39" x14ac:dyDescent="0.2">
      <c r="C50" t="s">
        <v>72</v>
      </c>
      <c r="AB50" s="61" t="s">
        <v>14</v>
      </c>
      <c r="AC50" s="102">
        <v>10.798737352934154</v>
      </c>
    </row>
    <row r="51" spans="2:39" x14ac:dyDescent="0.2">
      <c r="B51" t="s">
        <v>12</v>
      </c>
      <c r="C51">
        <v>5</v>
      </c>
      <c r="D51">
        <v>12.7</v>
      </c>
      <c r="E51">
        <f>D51*C51</f>
        <v>63.5</v>
      </c>
      <c r="F51">
        <f>E51+2</f>
        <v>65.5</v>
      </c>
      <c r="G51">
        <v>98</v>
      </c>
      <c r="H51">
        <f>G51-F51</f>
        <v>32.5</v>
      </c>
      <c r="I51">
        <f>13*16</f>
        <v>208</v>
      </c>
      <c r="J51">
        <f>I51*H51</f>
        <v>6760</v>
      </c>
      <c r="K51">
        <f>(J51*78)/(78*1000)</f>
        <v>6.76</v>
      </c>
      <c r="AB51" s="61" t="s">
        <v>125</v>
      </c>
      <c r="AC51" s="137">
        <v>-1.3453411643588566</v>
      </c>
    </row>
    <row r="52" spans="2:39" x14ac:dyDescent="0.2">
      <c r="B52" t="s">
        <v>13</v>
      </c>
      <c r="C52">
        <v>5</v>
      </c>
      <c r="D52">
        <v>12.7</v>
      </c>
      <c r="E52">
        <f>D52*C52</f>
        <v>63.5</v>
      </c>
      <c r="F52">
        <f>E52+2</f>
        <v>65.5</v>
      </c>
      <c r="G52">
        <v>112</v>
      </c>
      <c r="H52">
        <f>G52-F52</f>
        <v>46.5</v>
      </c>
      <c r="I52">
        <v>432</v>
      </c>
      <c r="J52">
        <f>I52*H52</f>
        <v>20088</v>
      </c>
      <c r="K52">
        <f>(J52*78)/(78*1000)</f>
        <v>20.088000000000001</v>
      </c>
      <c r="AB52" s="61" t="s">
        <v>126</v>
      </c>
      <c r="AC52" s="102">
        <v>-0.33762300009030982</v>
      </c>
    </row>
    <row r="53" spans="2:39" x14ac:dyDescent="0.2">
      <c r="B53" t="s">
        <v>128</v>
      </c>
      <c r="C53">
        <v>5</v>
      </c>
      <c r="D53">
        <v>12.7</v>
      </c>
      <c r="E53">
        <f>D53*C53</f>
        <v>63.5</v>
      </c>
      <c r="F53">
        <f>E53+2</f>
        <v>65.5</v>
      </c>
      <c r="G53">
        <v>85</v>
      </c>
      <c r="H53">
        <f>G53-F53</f>
        <v>19.5</v>
      </c>
      <c r="I53">
        <v>400</v>
      </c>
      <c r="J53">
        <f>I53*H53</f>
        <v>7800</v>
      </c>
      <c r="K53">
        <f>(J53*78)/(78*1000)</f>
        <v>7.8</v>
      </c>
      <c r="AB53" s="61"/>
      <c r="AC53" s="137"/>
    </row>
    <row r="54" spans="2:39" x14ac:dyDescent="0.2">
      <c r="B54" t="s">
        <v>125</v>
      </c>
      <c r="C54">
        <v>5</v>
      </c>
      <c r="D54">
        <v>12.7</v>
      </c>
      <c r="E54">
        <f>D54*C54</f>
        <v>63.5</v>
      </c>
      <c r="F54">
        <f>E54+2</f>
        <v>65.5</v>
      </c>
      <c r="G54">
        <v>66</v>
      </c>
      <c r="H54">
        <f>G54-F54</f>
        <v>0.5</v>
      </c>
      <c r="I54">
        <v>416</v>
      </c>
      <c r="J54">
        <f>I54*H54</f>
        <v>208</v>
      </c>
      <c r="K54">
        <f>(J54*78)/(78*1000)</f>
        <v>0.20799999999999999</v>
      </c>
      <c r="AB54" s="61" t="s">
        <v>15</v>
      </c>
      <c r="AC54" s="102">
        <f>AVERAGE(AC48:AC52)</f>
        <v>15.617828090420087</v>
      </c>
    </row>
    <row r="55" spans="2:39" x14ac:dyDescent="0.2">
      <c r="K55">
        <f>AVERAGE(K51:K54)</f>
        <v>8.7139999999999986</v>
      </c>
    </row>
    <row r="56" spans="2:39" x14ac:dyDescent="0.2">
      <c r="AH56" s="7"/>
      <c r="AK56" s="6"/>
      <c r="AM56" s="3"/>
    </row>
    <row r="65" spans="12:12" x14ac:dyDescent="0.2">
      <c r="L65" s="3"/>
    </row>
    <row r="66" spans="12:12" x14ac:dyDescent="0.2">
      <c r="L66" s="3"/>
    </row>
    <row r="67" spans="12:12" x14ac:dyDescent="0.2">
      <c r="L67" s="3"/>
    </row>
  </sheetData>
  <pageMargins left="0.75" right="0.75" top="1" bottom="1" header="0.5" footer="0.5"/>
  <pageSetup paperSize="5" scale="53" orientation="landscape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J96"/>
  <sheetViews>
    <sheetView topLeftCell="A50" workbookViewId="0">
      <selection activeCell="D81" sqref="D81"/>
    </sheetView>
  </sheetViews>
  <sheetFormatPr defaultRowHeight="12.75" x14ac:dyDescent="0.2"/>
  <cols>
    <col min="5" max="5" width="9" style="1" customWidth="1"/>
    <col min="7" max="7" width="9" style="3" customWidth="1"/>
  </cols>
  <sheetData>
    <row r="1" spans="2:10" x14ac:dyDescent="0.2">
      <c r="E1" s="1" t="s">
        <v>89</v>
      </c>
    </row>
    <row r="2" spans="2:10" x14ac:dyDescent="0.2">
      <c r="E2">
        <v>3.2</v>
      </c>
    </row>
    <row r="3" spans="2:10" x14ac:dyDescent="0.2">
      <c r="B3" t="s">
        <v>85</v>
      </c>
      <c r="I3" t="s">
        <v>19</v>
      </c>
      <c r="J3" t="s">
        <v>20</v>
      </c>
    </row>
    <row r="4" spans="2:10" x14ac:dyDescent="0.2">
      <c r="C4" t="s">
        <v>86</v>
      </c>
      <c r="D4" t="s">
        <v>87</v>
      </c>
      <c r="E4" s="1" t="s">
        <v>88</v>
      </c>
    </row>
    <row r="5" spans="2:10" x14ac:dyDescent="0.2">
      <c r="B5" t="s">
        <v>19</v>
      </c>
      <c r="E5" s="1" t="s">
        <v>90</v>
      </c>
    </row>
    <row r="6" spans="2:10" x14ac:dyDescent="0.2">
      <c r="B6">
        <v>-30</v>
      </c>
      <c r="C6">
        <v>-0.3</v>
      </c>
      <c r="D6">
        <v>0</v>
      </c>
      <c r="E6" s="1">
        <f>SUM(C6:D6)</f>
        <v>-0.3</v>
      </c>
      <c r="I6">
        <v>0</v>
      </c>
      <c r="J6" t="s">
        <v>21</v>
      </c>
    </row>
    <row r="7" spans="2:10" x14ac:dyDescent="0.2">
      <c r="B7">
        <v>-29</v>
      </c>
      <c r="C7">
        <v>-0.3</v>
      </c>
      <c r="D7">
        <v>0</v>
      </c>
      <c r="E7" s="1">
        <f t="shared" ref="E7:E70" si="0">SUM(C7:D7)</f>
        <v>-0.3</v>
      </c>
      <c r="I7">
        <v>8</v>
      </c>
      <c r="J7" t="s">
        <v>22</v>
      </c>
    </row>
    <row r="8" spans="2:10" x14ac:dyDescent="0.2">
      <c r="B8">
        <v>-28</v>
      </c>
      <c r="C8">
        <v>-0.3</v>
      </c>
      <c r="D8">
        <v>0</v>
      </c>
      <c r="E8" s="1">
        <f t="shared" si="0"/>
        <v>-0.3</v>
      </c>
      <c r="I8">
        <v>20</v>
      </c>
      <c r="J8" t="s">
        <v>23</v>
      </c>
    </row>
    <row r="9" spans="2:10" x14ac:dyDescent="0.2">
      <c r="B9">
        <v>-27</v>
      </c>
      <c r="C9">
        <v>-0.3</v>
      </c>
      <c r="D9">
        <v>0</v>
      </c>
      <c r="E9" s="1">
        <f t="shared" si="0"/>
        <v>-0.3</v>
      </c>
      <c r="I9">
        <v>60</v>
      </c>
      <c r="J9" t="s">
        <v>24</v>
      </c>
    </row>
    <row r="10" spans="2:10" x14ac:dyDescent="0.2">
      <c r="B10">
        <v>-26</v>
      </c>
      <c r="C10">
        <v>-0.3</v>
      </c>
      <c r="D10">
        <v>0</v>
      </c>
      <c r="E10" s="1">
        <f t="shared" si="0"/>
        <v>-0.3</v>
      </c>
    </row>
    <row r="11" spans="2:10" x14ac:dyDescent="0.2">
      <c r="B11">
        <v>-25</v>
      </c>
      <c r="C11">
        <v>-0.3</v>
      </c>
      <c r="D11">
        <v>0</v>
      </c>
      <c r="E11" s="1">
        <f t="shared" si="0"/>
        <v>-0.3</v>
      </c>
    </row>
    <row r="12" spans="2:10" x14ac:dyDescent="0.2">
      <c r="B12">
        <v>-24</v>
      </c>
      <c r="C12">
        <v>-0.3</v>
      </c>
      <c r="D12">
        <v>0</v>
      </c>
      <c r="E12" s="1">
        <f t="shared" si="0"/>
        <v>-0.3</v>
      </c>
    </row>
    <row r="13" spans="2:10" x14ac:dyDescent="0.2">
      <c r="B13">
        <v>-23</v>
      </c>
      <c r="C13">
        <v>-0.3</v>
      </c>
      <c r="D13">
        <v>0</v>
      </c>
      <c r="E13" s="1">
        <f t="shared" si="0"/>
        <v>-0.3</v>
      </c>
    </row>
    <row r="14" spans="2:10" x14ac:dyDescent="0.2">
      <c r="B14">
        <v>-22</v>
      </c>
      <c r="C14">
        <v>-0.3</v>
      </c>
      <c r="D14">
        <v>0</v>
      </c>
      <c r="E14" s="1">
        <f t="shared" si="0"/>
        <v>-0.3</v>
      </c>
    </row>
    <row r="15" spans="2:10" x14ac:dyDescent="0.2">
      <c r="B15">
        <v>-21</v>
      </c>
      <c r="C15">
        <v>-0.3</v>
      </c>
      <c r="D15">
        <v>0</v>
      </c>
      <c r="E15" s="1">
        <f t="shared" si="0"/>
        <v>-0.3</v>
      </c>
    </row>
    <row r="16" spans="2:10" x14ac:dyDescent="0.2">
      <c r="B16">
        <v>-20</v>
      </c>
      <c r="C16">
        <v>-0.3</v>
      </c>
      <c r="D16">
        <v>0</v>
      </c>
      <c r="E16" s="1">
        <f t="shared" si="0"/>
        <v>-0.3</v>
      </c>
    </row>
    <row r="17" spans="2:5" x14ac:dyDescent="0.2">
      <c r="B17">
        <v>-19</v>
      </c>
      <c r="C17">
        <v>-0.3</v>
      </c>
      <c r="D17">
        <v>0</v>
      </c>
      <c r="E17" s="1">
        <f t="shared" si="0"/>
        <v>-0.3</v>
      </c>
    </row>
    <row r="18" spans="2:5" x14ac:dyDescent="0.2">
      <c r="B18">
        <v>-18</v>
      </c>
      <c r="C18">
        <v>-0.3</v>
      </c>
      <c r="D18">
        <v>0</v>
      </c>
      <c r="E18" s="1">
        <f t="shared" si="0"/>
        <v>-0.3</v>
      </c>
    </row>
    <row r="19" spans="2:5" x14ac:dyDescent="0.2">
      <c r="B19">
        <v>-17</v>
      </c>
      <c r="C19">
        <v>-0.3</v>
      </c>
      <c r="D19">
        <v>0</v>
      </c>
      <c r="E19" s="1">
        <f t="shared" si="0"/>
        <v>-0.3</v>
      </c>
    </row>
    <row r="20" spans="2:5" x14ac:dyDescent="0.2">
      <c r="B20">
        <v>-16</v>
      </c>
      <c r="C20">
        <v>-0.3</v>
      </c>
      <c r="D20">
        <v>0</v>
      </c>
      <c r="E20" s="1">
        <f t="shared" si="0"/>
        <v>-0.3</v>
      </c>
    </row>
    <row r="21" spans="2:5" x14ac:dyDescent="0.2">
      <c r="B21">
        <v>-15</v>
      </c>
      <c r="C21">
        <v>-1.8</v>
      </c>
      <c r="D21">
        <v>0</v>
      </c>
      <c r="E21" s="1">
        <f t="shared" si="0"/>
        <v>-1.8</v>
      </c>
    </row>
    <row r="22" spans="2:5" x14ac:dyDescent="0.2">
      <c r="B22">
        <v>-14</v>
      </c>
      <c r="C22">
        <v>-1.8</v>
      </c>
      <c r="D22">
        <v>0</v>
      </c>
      <c r="E22" s="1">
        <f t="shared" si="0"/>
        <v>-1.8</v>
      </c>
    </row>
    <row r="23" spans="2:5" x14ac:dyDescent="0.2">
      <c r="B23">
        <v>-13</v>
      </c>
      <c r="C23">
        <v>-1.8</v>
      </c>
      <c r="D23">
        <v>0</v>
      </c>
      <c r="E23" s="1">
        <f t="shared" si="0"/>
        <v>-1.8</v>
      </c>
    </row>
    <row r="24" spans="2:5" x14ac:dyDescent="0.2">
      <c r="B24">
        <v>-12</v>
      </c>
      <c r="C24">
        <v>-1.8</v>
      </c>
      <c r="D24">
        <v>0</v>
      </c>
      <c r="E24" s="1">
        <f t="shared" si="0"/>
        <v>-1.8</v>
      </c>
    </row>
    <row r="25" spans="2:5" x14ac:dyDescent="0.2">
      <c r="B25">
        <v>-11</v>
      </c>
      <c r="C25">
        <v>-1.8</v>
      </c>
      <c r="D25">
        <v>0</v>
      </c>
      <c r="E25" s="1">
        <f t="shared" si="0"/>
        <v>-1.8</v>
      </c>
    </row>
    <row r="26" spans="2:5" x14ac:dyDescent="0.2">
      <c r="B26">
        <v>-10</v>
      </c>
      <c r="C26">
        <v>-1.8</v>
      </c>
      <c r="D26">
        <v>0</v>
      </c>
      <c r="E26" s="1">
        <f t="shared" si="0"/>
        <v>-1.8</v>
      </c>
    </row>
    <row r="27" spans="2:5" x14ac:dyDescent="0.2">
      <c r="B27">
        <v>-9</v>
      </c>
      <c r="C27">
        <v>-1.8</v>
      </c>
      <c r="D27">
        <v>0</v>
      </c>
      <c r="E27" s="1">
        <f t="shared" si="0"/>
        <v>-1.8</v>
      </c>
    </row>
    <row r="28" spans="2:5" x14ac:dyDescent="0.2">
      <c r="B28">
        <v>-8</v>
      </c>
      <c r="C28">
        <v>-1.8</v>
      </c>
      <c r="D28">
        <v>0</v>
      </c>
      <c r="E28" s="1">
        <f t="shared" si="0"/>
        <v>-1.8</v>
      </c>
    </row>
    <row r="29" spans="2:5" x14ac:dyDescent="0.2">
      <c r="B29">
        <v>-7</v>
      </c>
      <c r="C29">
        <v>-1.8</v>
      </c>
      <c r="D29">
        <v>0</v>
      </c>
      <c r="E29" s="1">
        <f t="shared" si="0"/>
        <v>-1.8</v>
      </c>
    </row>
    <row r="30" spans="2:5" x14ac:dyDescent="0.2">
      <c r="B30">
        <v>-6</v>
      </c>
      <c r="C30">
        <v>-1.8</v>
      </c>
      <c r="D30">
        <v>0</v>
      </c>
      <c r="E30" s="1">
        <f t="shared" si="0"/>
        <v>-1.8</v>
      </c>
    </row>
    <row r="31" spans="2:5" x14ac:dyDescent="0.2">
      <c r="B31">
        <v>-5</v>
      </c>
      <c r="C31">
        <v>-1.8</v>
      </c>
      <c r="D31">
        <v>0</v>
      </c>
      <c r="E31" s="1">
        <f t="shared" si="0"/>
        <v>-1.8</v>
      </c>
    </row>
    <row r="32" spans="2:5" x14ac:dyDescent="0.2">
      <c r="B32">
        <v>-4</v>
      </c>
      <c r="C32">
        <v>-1.8</v>
      </c>
      <c r="D32">
        <v>0</v>
      </c>
      <c r="E32" s="1">
        <f t="shared" si="0"/>
        <v>-1.8</v>
      </c>
    </row>
    <row r="33" spans="2:5" x14ac:dyDescent="0.2">
      <c r="B33">
        <v>-3</v>
      </c>
      <c r="C33">
        <v>-1.8</v>
      </c>
      <c r="D33">
        <v>0</v>
      </c>
      <c r="E33" s="1">
        <f t="shared" si="0"/>
        <v>-1.8</v>
      </c>
    </row>
    <row r="34" spans="2:5" x14ac:dyDescent="0.2">
      <c r="B34">
        <v>-2</v>
      </c>
      <c r="C34">
        <v>-1.8</v>
      </c>
      <c r="D34">
        <v>0</v>
      </c>
      <c r="E34" s="1">
        <f t="shared" si="0"/>
        <v>-1.8</v>
      </c>
    </row>
    <row r="35" spans="2:5" x14ac:dyDescent="0.2">
      <c r="B35">
        <v>-1</v>
      </c>
      <c r="C35">
        <v>-1.8</v>
      </c>
      <c r="D35">
        <v>0</v>
      </c>
      <c r="E35" s="1">
        <f t="shared" si="0"/>
        <v>-1.8</v>
      </c>
    </row>
    <row r="36" spans="2:5" x14ac:dyDescent="0.2">
      <c r="B36">
        <v>0</v>
      </c>
      <c r="C36">
        <v>-1.8</v>
      </c>
      <c r="D36">
        <v>0</v>
      </c>
      <c r="E36" s="1">
        <f t="shared" si="0"/>
        <v>-1.8</v>
      </c>
    </row>
    <row r="37" spans="2:5" x14ac:dyDescent="0.2">
      <c r="B37">
        <v>1</v>
      </c>
      <c r="C37">
        <v>-2.5</v>
      </c>
      <c r="D37">
        <v>0</v>
      </c>
      <c r="E37" s="1">
        <f t="shared" si="0"/>
        <v>-2.5</v>
      </c>
    </row>
    <row r="38" spans="2:5" x14ac:dyDescent="0.2">
      <c r="B38">
        <v>2</v>
      </c>
      <c r="C38">
        <v>-2.2000000000000002</v>
      </c>
      <c r="D38">
        <v>0</v>
      </c>
      <c r="E38" s="1">
        <f t="shared" si="0"/>
        <v>-2.2000000000000002</v>
      </c>
    </row>
    <row r="39" spans="2:5" x14ac:dyDescent="0.2">
      <c r="B39">
        <v>3</v>
      </c>
      <c r="C39">
        <v>-2.2000000000000002</v>
      </c>
      <c r="D39">
        <v>0</v>
      </c>
      <c r="E39" s="1">
        <f t="shared" si="0"/>
        <v>-2.2000000000000002</v>
      </c>
    </row>
    <row r="40" spans="2:5" x14ac:dyDescent="0.2">
      <c r="B40">
        <v>4</v>
      </c>
      <c r="C40">
        <v>-2.2000000000000002</v>
      </c>
      <c r="D40">
        <v>0</v>
      </c>
      <c r="E40" s="1">
        <f t="shared" si="0"/>
        <v>-2.2000000000000002</v>
      </c>
    </row>
    <row r="41" spans="2:5" x14ac:dyDescent="0.2">
      <c r="B41">
        <v>5</v>
      </c>
      <c r="C41">
        <v>-2.2000000000000002</v>
      </c>
      <c r="D41">
        <v>0</v>
      </c>
      <c r="E41" s="1">
        <f t="shared" si="0"/>
        <v>-2.2000000000000002</v>
      </c>
    </row>
    <row r="42" spans="2:5" x14ac:dyDescent="0.2">
      <c r="B42">
        <v>6</v>
      </c>
      <c r="C42">
        <v>-2.2000000000000002</v>
      </c>
      <c r="D42">
        <v>0</v>
      </c>
      <c r="E42" s="1">
        <f t="shared" si="0"/>
        <v>-2.2000000000000002</v>
      </c>
    </row>
    <row r="43" spans="2:5" x14ac:dyDescent="0.2">
      <c r="B43">
        <v>7</v>
      </c>
      <c r="C43">
        <v>-2.2000000000000002</v>
      </c>
      <c r="D43">
        <v>0</v>
      </c>
      <c r="E43" s="1">
        <f t="shared" si="0"/>
        <v>-2.2000000000000002</v>
      </c>
    </row>
    <row r="44" spans="2:5" x14ac:dyDescent="0.2">
      <c r="B44">
        <v>8</v>
      </c>
      <c r="C44">
        <v>-2.2000000000000002</v>
      </c>
      <c r="D44">
        <v>0</v>
      </c>
      <c r="E44" s="1">
        <f t="shared" si="0"/>
        <v>-2.2000000000000002</v>
      </c>
    </row>
    <row r="45" spans="2:5" x14ac:dyDescent="0.2">
      <c r="B45">
        <v>9</v>
      </c>
      <c r="C45">
        <v>-2.2000000000000002</v>
      </c>
      <c r="D45">
        <v>0</v>
      </c>
      <c r="E45" s="1">
        <f t="shared" si="0"/>
        <v>-2.2000000000000002</v>
      </c>
    </row>
    <row r="46" spans="2:5" x14ac:dyDescent="0.2">
      <c r="B46">
        <v>10</v>
      </c>
      <c r="C46">
        <v>-2.2000000000000002</v>
      </c>
      <c r="D46">
        <v>0</v>
      </c>
      <c r="E46" s="1">
        <f t="shared" si="0"/>
        <v>-2.2000000000000002</v>
      </c>
    </row>
    <row r="47" spans="2:5" x14ac:dyDescent="0.2">
      <c r="B47">
        <v>11</v>
      </c>
      <c r="C47">
        <v>-2.2000000000000002</v>
      </c>
      <c r="D47">
        <v>0</v>
      </c>
      <c r="E47" s="1">
        <f t="shared" si="0"/>
        <v>-2.2000000000000002</v>
      </c>
    </row>
    <row r="48" spans="2:5" x14ac:dyDescent="0.2">
      <c r="B48">
        <v>12</v>
      </c>
      <c r="C48">
        <v>-2.2000000000000002</v>
      </c>
      <c r="D48">
        <v>0</v>
      </c>
      <c r="E48" s="1">
        <f t="shared" si="0"/>
        <v>-2.2000000000000002</v>
      </c>
    </row>
    <row r="49" spans="2:5" x14ac:dyDescent="0.2">
      <c r="B49">
        <v>13</v>
      </c>
      <c r="C49">
        <v>-2.2000000000000002</v>
      </c>
      <c r="D49">
        <v>0</v>
      </c>
      <c r="E49" s="1">
        <f t="shared" si="0"/>
        <v>-2.2000000000000002</v>
      </c>
    </row>
    <row r="50" spans="2:5" x14ac:dyDescent="0.2">
      <c r="B50">
        <v>14</v>
      </c>
      <c r="C50">
        <v>-2.2000000000000002</v>
      </c>
      <c r="D50">
        <v>0</v>
      </c>
      <c r="E50" s="1">
        <f t="shared" si="0"/>
        <v>-2.2000000000000002</v>
      </c>
    </row>
    <row r="51" spans="2:5" x14ac:dyDescent="0.2">
      <c r="B51">
        <v>15</v>
      </c>
      <c r="C51">
        <v>-2.2000000000000002</v>
      </c>
      <c r="D51">
        <v>0</v>
      </c>
      <c r="E51" s="1">
        <f t="shared" si="0"/>
        <v>-2.2000000000000002</v>
      </c>
    </row>
    <row r="52" spans="2:5" x14ac:dyDescent="0.2">
      <c r="B52">
        <v>16</v>
      </c>
      <c r="C52">
        <v>-2.2000000000000002</v>
      </c>
      <c r="D52">
        <v>0</v>
      </c>
      <c r="E52" s="1">
        <f t="shared" si="0"/>
        <v>-2.2000000000000002</v>
      </c>
    </row>
    <row r="53" spans="2:5" x14ac:dyDescent="0.2">
      <c r="B53">
        <v>17</v>
      </c>
      <c r="C53">
        <v>-2.2000000000000002</v>
      </c>
      <c r="D53">
        <v>0</v>
      </c>
      <c r="E53" s="1">
        <f t="shared" si="0"/>
        <v>-2.2000000000000002</v>
      </c>
    </row>
    <row r="54" spans="2:5" x14ac:dyDescent="0.2">
      <c r="B54">
        <v>18</v>
      </c>
      <c r="C54">
        <v>-2.2000000000000002</v>
      </c>
      <c r="D54">
        <v>0</v>
      </c>
      <c r="E54" s="1">
        <f t="shared" si="0"/>
        <v>-2.2000000000000002</v>
      </c>
    </row>
    <row r="55" spans="2:5" x14ac:dyDescent="0.2">
      <c r="B55">
        <v>19</v>
      </c>
      <c r="C55">
        <v>-2.2000000000000002</v>
      </c>
      <c r="D55">
        <v>0</v>
      </c>
      <c r="E55" s="1">
        <f t="shared" si="0"/>
        <v>-2.2000000000000002</v>
      </c>
    </row>
    <row r="56" spans="2:5" x14ac:dyDescent="0.2">
      <c r="B56">
        <v>20</v>
      </c>
      <c r="C56">
        <v>-2.2000000000000002</v>
      </c>
      <c r="D56">
        <v>0</v>
      </c>
      <c r="E56" s="1">
        <f t="shared" si="0"/>
        <v>-2.2000000000000002</v>
      </c>
    </row>
    <row r="57" spans="2:5" x14ac:dyDescent="0.2">
      <c r="B57">
        <v>21</v>
      </c>
      <c r="D57" s="18">
        <f>D56+$E$2</f>
        <v>3.2</v>
      </c>
      <c r="E57" s="1">
        <f t="shared" si="0"/>
        <v>3.2</v>
      </c>
    </row>
    <row r="58" spans="2:5" x14ac:dyDescent="0.2">
      <c r="B58">
        <v>22</v>
      </c>
      <c r="D58" s="18">
        <f t="shared" ref="D58:D96" si="1">D57+$E$2</f>
        <v>6.4</v>
      </c>
      <c r="E58" s="1">
        <f t="shared" si="0"/>
        <v>6.4</v>
      </c>
    </row>
    <row r="59" spans="2:5" x14ac:dyDescent="0.2">
      <c r="B59">
        <v>23</v>
      </c>
      <c r="D59" s="18">
        <f t="shared" si="1"/>
        <v>9.6000000000000014</v>
      </c>
      <c r="E59" s="1">
        <f t="shared" si="0"/>
        <v>9.6000000000000014</v>
      </c>
    </row>
    <row r="60" spans="2:5" x14ac:dyDescent="0.2">
      <c r="B60">
        <v>24</v>
      </c>
      <c r="D60" s="18">
        <f t="shared" si="1"/>
        <v>12.8</v>
      </c>
      <c r="E60" s="1">
        <f t="shared" si="0"/>
        <v>12.8</v>
      </c>
    </row>
    <row r="61" spans="2:5" x14ac:dyDescent="0.2">
      <c r="B61">
        <v>25</v>
      </c>
      <c r="D61" s="18">
        <f t="shared" si="1"/>
        <v>16</v>
      </c>
      <c r="E61" s="1">
        <f t="shared" si="0"/>
        <v>16</v>
      </c>
    </row>
    <row r="62" spans="2:5" x14ac:dyDescent="0.2">
      <c r="B62">
        <v>26</v>
      </c>
      <c r="D62" s="18">
        <f t="shared" si="1"/>
        <v>19.2</v>
      </c>
      <c r="E62" s="1">
        <f t="shared" si="0"/>
        <v>19.2</v>
      </c>
    </row>
    <row r="63" spans="2:5" x14ac:dyDescent="0.2">
      <c r="B63">
        <v>27</v>
      </c>
      <c r="D63" s="18">
        <f t="shared" si="1"/>
        <v>22.4</v>
      </c>
      <c r="E63" s="1">
        <f t="shared" si="0"/>
        <v>22.4</v>
      </c>
    </row>
    <row r="64" spans="2:5" x14ac:dyDescent="0.2">
      <c r="B64">
        <v>28</v>
      </c>
      <c r="D64" s="18">
        <f t="shared" si="1"/>
        <v>25.599999999999998</v>
      </c>
      <c r="E64" s="1">
        <f t="shared" si="0"/>
        <v>25.599999999999998</v>
      </c>
    </row>
    <row r="65" spans="2:5" x14ac:dyDescent="0.2">
      <c r="B65">
        <v>29</v>
      </c>
      <c r="D65" s="18">
        <f t="shared" si="1"/>
        <v>28.799999999999997</v>
      </c>
      <c r="E65" s="1">
        <f t="shared" si="0"/>
        <v>28.799999999999997</v>
      </c>
    </row>
    <row r="66" spans="2:5" x14ac:dyDescent="0.2">
      <c r="B66">
        <v>30</v>
      </c>
      <c r="D66" s="18">
        <f t="shared" si="1"/>
        <v>31.999999999999996</v>
      </c>
      <c r="E66" s="1">
        <f t="shared" si="0"/>
        <v>31.999999999999996</v>
      </c>
    </row>
    <row r="67" spans="2:5" x14ac:dyDescent="0.2">
      <c r="B67">
        <v>31</v>
      </c>
      <c r="D67" s="18">
        <f t="shared" si="1"/>
        <v>35.199999999999996</v>
      </c>
      <c r="E67" s="1">
        <f t="shared" si="0"/>
        <v>35.199999999999996</v>
      </c>
    </row>
    <row r="68" spans="2:5" x14ac:dyDescent="0.2">
      <c r="B68">
        <v>32</v>
      </c>
      <c r="D68" s="18">
        <f t="shared" si="1"/>
        <v>38.4</v>
      </c>
      <c r="E68" s="1">
        <f t="shared" si="0"/>
        <v>38.4</v>
      </c>
    </row>
    <row r="69" spans="2:5" x14ac:dyDescent="0.2">
      <c r="B69">
        <v>33</v>
      </c>
      <c r="D69" s="18">
        <f t="shared" si="1"/>
        <v>41.6</v>
      </c>
      <c r="E69" s="1">
        <f t="shared" si="0"/>
        <v>41.6</v>
      </c>
    </row>
    <row r="70" spans="2:5" x14ac:dyDescent="0.2">
      <c r="B70">
        <v>34</v>
      </c>
      <c r="D70" s="18">
        <f t="shared" si="1"/>
        <v>44.800000000000004</v>
      </c>
      <c r="E70" s="1">
        <f t="shared" si="0"/>
        <v>44.800000000000004</v>
      </c>
    </row>
    <row r="71" spans="2:5" x14ac:dyDescent="0.2">
      <c r="B71">
        <v>35</v>
      </c>
      <c r="D71" s="18">
        <f t="shared" si="1"/>
        <v>48.000000000000007</v>
      </c>
      <c r="E71" s="1">
        <f t="shared" ref="E71:E96" si="2">SUM(C71:D71)</f>
        <v>48.000000000000007</v>
      </c>
    </row>
    <row r="72" spans="2:5" x14ac:dyDescent="0.2">
      <c r="B72">
        <v>36</v>
      </c>
      <c r="D72" s="18">
        <f t="shared" si="1"/>
        <v>51.20000000000001</v>
      </c>
      <c r="E72" s="1">
        <f t="shared" si="2"/>
        <v>51.20000000000001</v>
      </c>
    </row>
    <row r="73" spans="2:5" x14ac:dyDescent="0.2">
      <c r="B73">
        <v>37</v>
      </c>
      <c r="D73" s="18">
        <f t="shared" si="1"/>
        <v>54.400000000000013</v>
      </c>
      <c r="E73" s="1">
        <f t="shared" si="2"/>
        <v>54.400000000000013</v>
      </c>
    </row>
    <row r="74" spans="2:5" x14ac:dyDescent="0.2">
      <c r="B74">
        <v>38</v>
      </c>
      <c r="D74" s="18">
        <f t="shared" si="1"/>
        <v>57.600000000000016</v>
      </c>
      <c r="E74" s="1">
        <f t="shared" si="2"/>
        <v>57.600000000000016</v>
      </c>
    </row>
    <row r="75" spans="2:5" x14ac:dyDescent="0.2">
      <c r="B75">
        <v>39</v>
      </c>
      <c r="D75" s="18">
        <f t="shared" si="1"/>
        <v>60.800000000000018</v>
      </c>
      <c r="E75" s="1">
        <f t="shared" si="2"/>
        <v>60.800000000000018</v>
      </c>
    </row>
    <row r="76" spans="2:5" x14ac:dyDescent="0.2">
      <c r="B76">
        <v>40</v>
      </c>
      <c r="D76" s="18">
        <f t="shared" si="1"/>
        <v>64.000000000000014</v>
      </c>
      <c r="E76" s="1">
        <f t="shared" si="2"/>
        <v>64.000000000000014</v>
      </c>
    </row>
    <row r="77" spans="2:5" x14ac:dyDescent="0.2">
      <c r="B77">
        <v>41</v>
      </c>
      <c r="D77" s="18">
        <f t="shared" si="1"/>
        <v>67.200000000000017</v>
      </c>
      <c r="E77" s="1">
        <f t="shared" si="2"/>
        <v>67.200000000000017</v>
      </c>
    </row>
    <row r="78" spans="2:5" x14ac:dyDescent="0.2">
      <c r="B78">
        <v>42</v>
      </c>
      <c r="D78" s="18">
        <f t="shared" si="1"/>
        <v>70.40000000000002</v>
      </c>
      <c r="E78" s="1">
        <f t="shared" si="2"/>
        <v>70.40000000000002</v>
      </c>
    </row>
    <row r="79" spans="2:5" x14ac:dyDescent="0.2">
      <c r="B79">
        <v>43</v>
      </c>
      <c r="D79" s="18">
        <f t="shared" si="1"/>
        <v>73.600000000000023</v>
      </c>
      <c r="E79" s="1">
        <f t="shared" si="2"/>
        <v>73.600000000000023</v>
      </c>
    </row>
    <row r="80" spans="2:5" x14ac:dyDescent="0.2">
      <c r="B80">
        <v>44</v>
      </c>
      <c r="D80" s="18">
        <f t="shared" si="1"/>
        <v>76.800000000000026</v>
      </c>
      <c r="E80" s="1">
        <f t="shared" si="2"/>
        <v>76.800000000000026</v>
      </c>
    </row>
    <row r="81" spans="2:5" x14ac:dyDescent="0.2">
      <c r="B81">
        <v>45</v>
      </c>
      <c r="D81" s="18">
        <f t="shared" si="1"/>
        <v>80.000000000000028</v>
      </c>
      <c r="E81" s="1">
        <f t="shared" si="2"/>
        <v>80.000000000000028</v>
      </c>
    </row>
    <row r="82" spans="2:5" x14ac:dyDescent="0.2">
      <c r="B82">
        <v>46</v>
      </c>
      <c r="D82" s="18">
        <f t="shared" si="1"/>
        <v>83.200000000000031</v>
      </c>
      <c r="E82" s="1">
        <f t="shared" si="2"/>
        <v>83.200000000000031</v>
      </c>
    </row>
    <row r="83" spans="2:5" x14ac:dyDescent="0.2">
      <c r="B83">
        <v>47</v>
      </c>
      <c r="D83" s="18">
        <f t="shared" si="1"/>
        <v>86.400000000000034</v>
      </c>
      <c r="E83" s="1">
        <f t="shared" si="2"/>
        <v>86.400000000000034</v>
      </c>
    </row>
    <row r="84" spans="2:5" x14ac:dyDescent="0.2">
      <c r="B84">
        <v>48</v>
      </c>
      <c r="D84" s="18">
        <f t="shared" si="1"/>
        <v>89.600000000000037</v>
      </c>
      <c r="E84" s="1">
        <f t="shared" si="2"/>
        <v>89.600000000000037</v>
      </c>
    </row>
    <row r="85" spans="2:5" x14ac:dyDescent="0.2">
      <c r="B85">
        <v>49</v>
      </c>
      <c r="D85" s="18">
        <f t="shared" si="1"/>
        <v>92.80000000000004</v>
      </c>
      <c r="E85" s="1">
        <f t="shared" si="2"/>
        <v>92.80000000000004</v>
      </c>
    </row>
    <row r="86" spans="2:5" x14ac:dyDescent="0.2">
      <c r="B86">
        <v>50</v>
      </c>
      <c r="D86" s="18">
        <f t="shared" si="1"/>
        <v>96.000000000000043</v>
      </c>
      <c r="E86" s="1">
        <f t="shared" si="2"/>
        <v>96.000000000000043</v>
      </c>
    </row>
    <row r="87" spans="2:5" x14ac:dyDescent="0.2">
      <c r="B87">
        <v>51</v>
      </c>
      <c r="D87" s="18">
        <f t="shared" si="1"/>
        <v>99.200000000000045</v>
      </c>
      <c r="E87" s="1">
        <f t="shared" si="2"/>
        <v>99.200000000000045</v>
      </c>
    </row>
    <row r="88" spans="2:5" x14ac:dyDescent="0.2">
      <c r="B88">
        <v>52</v>
      </c>
      <c r="D88" s="18">
        <f t="shared" si="1"/>
        <v>102.40000000000005</v>
      </c>
      <c r="E88" s="1">
        <f t="shared" si="2"/>
        <v>102.40000000000005</v>
      </c>
    </row>
    <row r="89" spans="2:5" x14ac:dyDescent="0.2">
      <c r="B89">
        <v>53</v>
      </c>
      <c r="D89" s="18">
        <f t="shared" si="1"/>
        <v>105.60000000000005</v>
      </c>
      <c r="E89" s="1">
        <f t="shared" si="2"/>
        <v>105.60000000000005</v>
      </c>
    </row>
    <row r="90" spans="2:5" x14ac:dyDescent="0.2">
      <c r="B90">
        <v>54</v>
      </c>
      <c r="D90" s="18">
        <f t="shared" si="1"/>
        <v>108.80000000000005</v>
      </c>
      <c r="E90" s="1">
        <f t="shared" si="2"/>
        <v>108.80000000000005</v>
      </c>
    </row>
    <row r="91" spans="2:5" x14ac:dyDescent="0.2">
      <c r="B91">
        <v>55</v>
      </c>
      <c r="D91" s="18">
        <f t="shared" si="1"/>
        <v>112.00000000000006</v>
      </c>
      <c r="E91" s="1">
        <f t="shared" si="2"/>
        <v>112.00000000000006</v>
      </c>
    </row>
    <row r="92" spans="2:5" x14ac:dyDescent="0.2">
      <c r="B92">
        <v>56</v>
      </c>
      <c r="D92" s="18">
        <f t="shared" si="1"/>
        <v>115.20000000000006</v>
      </c>
      <c r="E92" s="1">
        <f t="shared" si="2"/>
        <v>115.20000000000006</v>
      </c>
    </row>
    <row r="93" spans="2:5" x14ac:dyDescent="0.2">
      <c r="B93">
        <v>57</v>
      </c>
      <c r="D93" s="18">
        <f t="shared" si="1"/>
        <v>118.40000000000006</v>
      </c>
      <c r="E93" s="1">
        <f t="shared" si="2"/>
        <v>118.40000000000006</v>
      </c>
    </row>
    <row r="94" spans="2:5" x14ac:dyDescent="0.2">
      <c r="B94">
        <v>58</v>
      </c>
      <c r="D94" s="18">
        <f t="shared" si="1"/>
        <v>121.60000000000007</v>
      </c>
      <c r="E94" s="1">
        <f t="shared" si="2"/>
        <v>121.60000000000007</v>
      </c>
    </row>
    <row r="95" spans="2:5" x14ac:dyDescent="0.2">
      <c r="B95">
        <v>59</v>
      </c>
      <c r="D95" s="18">
        <f t="shared" si="1"/>
        <v>124.80000000000007</v>
      </c>
      <c r="E95" s="1">
        <f t="shared" si="2"/>
        <v>124.80000000000007</v>
      </c>
    </row>
    <row r="96" spans="2:5" x14ac:dyDescent="0.2">
      <c r="B96">
        <v>60</v>
      </c>
      <c r="D96" s="18">
        <f t="shared" si="1"/>
        <v>128.00000000000006</v>
      </c>
      <c r="E96" s="1">
        <f t="shared" si="2"/>
        <v>128.00000000000006</v>
      </c>
    </row>
  </sheetData>
  <pageMargins left="0.75" right="0.75" top="1" bottom="1" header="0.5" footer="0.5"/>
  <pageSetup scale="83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="75" workbookViewId="0">
      <selection activeCell="E45" sqref="E45"/>
    </sheetView>
  </sheetViews>
  <sheetFormatPr defaultRowHeight="12.75" x14ac:dyDescent="0.2"/>
  <sheetData>
    <row r="2" spans="1:8" x14ac:dyDescent="0.2">
      <c r="C2" t="s">
        <v>96</v>
      </c>
      <c r="E2" t="s">
        <v>93</v>
      </c>
      <c r="G2" t="s">
        <v>94</v>
      </c>
    </row>
    <row r="3" spans="1:8" x14ac:dyDescent="0.2">
      <c r="C3" t="s">
        <v>95</v>
      </c>
      <c r="D3" t="s">
        <v>92</v>
      </c>
      <c r="E3" t="s">
        <v>95</v>
      </c>
      <c r="F3" t="s">
        <v>92</v>
      </c>
      <c r="G3" t="s">
        <v>91</v>
      </c>
      <c r="H3" t="s">
        <v>92</v>
      </c>
    </row>
    <row r="5" spans="1:8" x14ac:dyDescent="0.2">
      <c r="A5" s="88">
        <v>36708</v>
      </c>
      <c r="B5" s="21"/>
      <c r="C5" s="21"/>
      <c r="D5" s="21"/>
      <c r="E5" s="21"/>
      <c r="F5" s="21"/>
      <c r="G5" s="21"/>
      <c r="H5" s="21"/>
    </row>
    <row r="6" spans="1:8" x14ac:dyDescent="0.2">
      <c r="A6" s="88">
        <v>36709</v>
      </c>
      <c r="B6" s="21"/>
      <c r="C6" s="21">
        <v>2000</v>
      </c>
      <c r="D6" s="21">
        <v>2500</v>
      </c>
      <c r="E6" s="21"/>
      <c r="F6" s="21"/>
      <c r="G6" s="21"/>
      <c r="H6" s="21"/>
    </row>
    <row r="7" spans="1:8" x14ac:dyDescent="0.2">
      <c r="A7" s="60">
        <v>36710</v>
      </c>
    </row>
    <row r="8" spans="1:8" x14ac:dyDescent="0.2">
      <c r="A8" s="60">
        <v>36711</v>
      </c>
    </row>
    <row r="9" spans="1:8" x14ac:dyDescent="0.2">
      <c r="A9" s="60">
        <v>36712</v>
      </c>
    </row>
    <row r="10" spans="1:8" x14ac:dyDescent="0.2">
      <c r="A10" s="60">
        <v>36713</v>
      </c>
    </row>
    <row r="11" spans="1:8" x14ac:dyDescent="0.2">
      <c r="A11" s="60">
        <v>36714</v>
      </c>
    </row>
    <row r="12" spans="1:8" x14ac:dyDescent="0.2">
      <c r="A12" s="88">
        <v>36715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88">
        <v>36716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60">
        <v>36717</v>
      </c>
    </row>
    <row r="15" spans="1:8" x14ac:dyDescent="0.2">
      <c r="A15" s="60">
        <v>36718</v>
      </c>
    </row>
    <row r="16" spans="1:8" x14ac:dyDescent="0.2">
      <c r="A16" s="60">
        <v>36719</v>
      </c>
    </row>
    <row r="17" spans="1:8" x14ac:dyDescent="0.2">
      <c r="A17" s="60">
        <v>36720</v>
      </c>
    </row>
    <row r="18" spans="1:8" x14ac:dyDescent="0.2">
      <c r="A18" s="60">
        <v>36721</v>
      </c>
    </row>
    <row r="19" spans="1:8" x14ac:dyDescent="0.2">
      <c r="A19" s="88">
        <v>36722</v>
      </c>
      <c r="B19" s="21"/>
      <c r="C19" s="21"/>
      <c r="D19" s="21"/>
      <c r="E19" s="21"/>
      <c r="F19" s="21"/>
      <c r="G19" s="21"/>
      <c r="H19" s="21"/>
    </row>
    <row r="20" spans="1:8" x14ac:dyDescent="0.2">
      <c r="A20" s="88">
        <v>36723</v>
      </c>
      <c r="B20" s="21"/>
      <c r="C20" s="21"/>
      <c r="D20" s="21"/>
      <c r="E20" s="21"/>
      <c r="F20" s="21"/>
      <c r="G20" s="21"/>
      <c r="H20" s="21"/>
    </row>
    <row r="21" spans="1:8" x14ac:dyDescent="0.2">
      <c r="A21" s="60">
        <v>36724</v>
      </c>
    </row>
    <row r="22" spans="1:8" x14ac:dyDescent="0.2">
      <c r="A22" s="60">
        <v>36725</v>
      </c>
    </row>
    <row r="23" spans="1:8" x14ac:dyDescent="0.2">
      <c r="A23" s="60">
        <v>36726</v>
      </c>
    </row>
    <row r="24" spans="1:8" x14ac:dyDescent="0.2">
      <c r="A24" s="60">
        <v>36727</v>
      </c>
    </row>
    <row r="25" spans="1:8" x14ac:dyDescent="0.2">
      <c r="A25" s="60">
        <v>36728</v>
      </c>
    </row>
    <row r="26" spans="1:8" x14ac:dyDescent="0.2">
      <c r="A26" s="88">
        <v>36729</v>
      </c>
      <c r="B26" s="21"/>
      <c r="C26" s="21"/>
      <c r="D26" s="21"/>
      <c r="E26" s="21"/>
      <c r="F26" s="21"/>
      <c r="G26" s="21"/>
      <c r="H26" s="21"/>
    </row>
    <row r="27" spans="1:8" x14ac:dyDescent="0.2">
      <c r="A27" s="88">
        <v>36730</v>
      </c>
      <c r="B27" s="21"/>
      <c r="C27" s="21"/>
      <c r="D27" s="21"/>
      <c r="E27" s="21"/>
      <c r="F27" s="21"/>
      <c r="G27" s="21"/>
      <c r="H27" s="21"/>
    </row>
    <row r="28" spans="1:8" x14ac:dyDescent="0.2">
      <c r="A28" s="60">
        <v>36731</v>
      </c>
    </row>
    <row r="29" spans="1:8" x14ac:dyDescent="0.2">
      <c r="A29" s="60">
        <v>36732</v>
      </c>
    </row>
    <row r="30" spans="1:8" x14ac:dyDescent="0.2">
      <c r="A30" s="60">
        <v>36733</v>
      </c>
    </row>
    <row r="31" spans="1:8" x14ac:dyDescent="0.2">
      <c r="A31" s="60">
        <v>36734</v>
      </c>
    </row>
    <row r="32" spans="1:8" x14ac:dyDescent="0.2">
      <c r="A32" s="60">
        <v>36735</v>
      </c>
    </row>
    <row r="33" spans="1:8" x14ac:dyDescent="0.2">
      <c r="A33" s="88">
        <v>36736</v>
      </c>
      <c r="B33" s="21"/>
      <c r="C33" s="21"/>
      <c r="D33" s="21"/>
      <c r="E33" s="21"/>
      <c r="F33" s="21"/>
      <c r="G33" s="21"/>
      <c r="H33" s="21"/>
    </row>
    <row r="34" spans="1:8" x14ac:dyDescent="0.2">
      <c r="A34" s="88">
        <v>36737</v>
      </c>
      <c r="B34" s="21"/>
      <c r="C34" s="21"/>
      <c r="D34" s="21"/>
      <c r="E34" s="21"/>
      <c r="F34" s="21"/>
      <c r="G34" s="21"/>
      <c r="H34" s="21"/>
    </row>
    <row r="35" spans="1:8" x14ac:dyDescent="0.2">
      <c r="A35" s="60">
        <v>36738</v>
      </c>
    </row>
    <row r="37" spans="1:8" x14ac:dyDescent="0.2">
      <c r="C37">
        <f>SUM(C5:C35)</f>
        <v>2000</v>
      </c>
      <c r="D37">
        <f>MAX(D5:D35)</f>
        <v>2500</v>
      </c>
      <c r="E37">
        <f>SUM(E5:E35)</f>
        <v>0</v>
      </c>
      <c r="F37">
        <f>MAX(F5:F35)</f>
        <v>0</v>
      </c>
      <c r="G37">
        <f>SUM(G5:G35)</f>
        <v>0</v>
      </c>
      <c r="H37">
        <f>MAX(H5:H35)</f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B84"/>
  <sheetViews>
    <sheetView topLeftCell="A4" zoomScale="80" workbookViewId="0">
      <selection activeCell="B21" sqref="B21"/>
    </sheetView>
  </sheetViews>
  <sheetFormatPr defaultRowHeight="12.75" x14ac:dyDescent="0.2"/>
  <cols>
    <col min="1" max="1" width="27.7109375" customWidth="1"/>
    <col min="2" max="2" width="9.7109375" bestFit="1" customWidth="1"/>
    <col min="3" max="3" width="8.710937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12.28515625" bestFit="1" customWidth="1"/>
    <col min="8" max="8" width="14.140625" bestFit="1" customWidth="1"/>
    <col min="9" max="9" width="18.42578125" bestFit="1" customWidth="1"/>
    <col min="10" max="10" width="14.140625" customWidth="1"/>
    <col min="11" max="11" width="9.42578125" bestFit="1" customWidth="1"/>
    <col min="12" max="12" width="13" bestFit="1" customWidth="1"/>
    <col min="13" max="13" width="35.140625" bestFit="1" customWidth="1"/>
    <col min="14" max="16" width="12.140625" bestFit="1" customWidth="1"/>
    <col min="17" max="17" width="8.140625" bestFit="1" customWidth="1"/>
    <col min="18" max="19" width="12.85546875" bestFit="1" customWidth="1"/>
    <col min="20" max="20" width="12.5703125" bestFit="1" customWidth="1"/>
    <col min="21" max="21" width="11.7109375" bestFit="1" customWidth="1"/>
    <col min="22" max="22" width="12.140625" bestFit="1" customWidth="1"/>
    <col min="23" max="23" width="11.42578125" bestFit="1" customWidth="1"/>
    <col min="24" max="24" width="11.7109375" customWidth="1"/>
    <col min="25" max="25" width="12" bestFit="1" customWidth="1"/>
    <col min="26" max="26" width="12.5703125" bestFit="1" customWidth="1"/>
  </cols>
  <sheetData>
    <row r="1" spans="1:9" ht="15" x14ac:dyDescent="0.25">
      <c r="A1" s="142" t="s">
        <v>59</v>
      </c>
      <c r="B1" s="142"/>
      <c r="C1" s="142"/>
      <c r="D1" s="142"/>
      <c r="E1" s="142"/>
      <c r="F1" s="142"/>
      <c r="G1" s="142"/>
    </row>
    <row r="3" spans="1:9" x14ac:dyDescent="0.2">
      <c r="A3" s="22"/>
      <c r="B3" s="13" t="s">
        <v>50</v>
      </c>
      <c r="C3" s="13" t="s">
        <v>50</v>
      </c>
      <c r="D3" s="13" t="s">
        <v>56</v>
      </c>
      <c r="E3" s="13" t="s">
        <v>56</v>
      </c>
      <c r="F3" s="13" t="s">
        <v>33</v>
      </c>
      <c r="G3" s="13" t="s">
        <v>33</v>
      </c>
      <c r="H3" s="13"/>
    </row>
    <row r="4" spans="1:9" x14ac:dyDescent="0.2">
      <c r="A4" s="24"/>
      <c r="B4" s="23" t="s">
        <v>10</v>
      </c>
      <c r="C4" s="23" t="s">
        <v>11</v>
      </c>
      <c r="D4" s="23" t="s">
        <v>10</v>
      </c>
      <c r="E4" s="23" t="s">
        <v>11</v>
      </c>
      <c r="F4" s="23" t="s">
        <v>35</v>
      </c>
      <c r="G4" s="23" t="s">
        <v>11</v>
      </c>
    </row>
    <row r="5" spans="1:9" x14ac:dyDescent="0.2">
      <c r="A5" s="24"/>
      <c r="B5" s="24"/>
      <c r="C5" s="24"/>
      <c r="D5" s="24"/>
      <c r="E5" s="24"/>
      <c r="F5" s="24"/>
      <c r="G5" s="24"/>
    </row>
    <row r="6" spans="1:9" x14ac:dyDescent="0.2">
      <c r="A6" s="22" t="s">
        <v>45</v>
      </c>
      <c r="B6" s="23" t="s">
        <v>37</v>
      </c>
      <c r="C6" s="23" t="s">
        <v>37</v>
      </c>
      <c r="D6" s="23" t="s">
        <v>18</v>
      </c>
      <c r="E6" s="23" t="s">
        <v>18</v>
      </c>
      <c r="F6" s="23" t="s">
        <v>57</v>
      </c>
      <c r="G6" s="23" t="s">
        <v>57</v>
      </c>
      <c r="I6" s="13" t="s">
        <v>61</v>
      </c>
    </row>
    <row r="7" spans="1:9" ht="13.5" thickBot="1" x14ac:dyDescent="0.25">
      <c r="A7" s="24"/>
      <c r="B7" s="26"/>
      <c r="C7" s="24"/>
      <c r="D7" s="24"/>
      <c r="E7" s="24"/>
      <c r="F7" s="24"/>
      <c r="G7" s="24"/>
      <c r="I7" s="65">
        <v>1800</v>
      </c>
    </row>
    <row r="8" spans="1:9" ht="13.5" thickBot="1" x14ac:dyDescent="0.25">
      <c r="A8" s="24" t="s">
        <v>38</v>
      </c>
      <c r="B8" s="27">
        <v>300</v>
      </c>
      <c r="C8" s="28">
        <v>0</v>
      </c>
      <c r="D8" s="24">
        <v>0.65</v>
      </c>
      <c r="E8" s="24">
        <v>0.65</v>
      </c>
      <c r="F8" s="29">
        <f>B8*D8</f>
        <v>195</v>
      </c>
      <c r="G8" s="29">
        <f>C8*E8</f>
        <v>0</v>
      </c>
      <c r="H8" s="8"/>
      <c r="I8" s="9"/>
    </row>
    <row r="9" spans="1:9" x14ac:dyDescent="0.2">
      <c r="A9" s="24"/>
      <c r="B9" s="30"/>
      <c r="C9" s="30"/>
      <c r="D9" s="24"/>
      <c r="E9" s="24"/>
      <c r="F9" s="24"/>
      <c r="G9" s="24"/>
      <c r="I9" s="13" t="s">
        <v>62</v>
      </c>
    </row>
    <row r="10" spans="1:9" ht="13.5" thickBot="1" x14ac:dyDescent="0.25">
      <c r="A10" s="24" t="s">
        <v>9</v>
      </c>
      <c r="B10" s="30"/>
      <c r="C10" s="30"/>
      <c r="D10" s="24"/>
      <c r="E10" s="24"/>
      <c r="F10" s="24"/>
      <c r="G10" s="24"/>
      <c r="I10" s="65">
        <v>30</v>
      </c>
    </row>
    <row r="11" spans="1:9" ht="13.5" thickBot="1" x14ac:dyDescent="0.25">
      <c r="A11" s="24" t="s">
        <v>6</v>
      </c>
      <c r="B11" s="28">
        <v>300</v>
      </c>
      <c r="C11" s="52"/>
      <c r="D11" s="29">
        <v>16.149999999999999</v>
      </c>
      <c r="E11" s="29"/>
      <c r="F11" s="29">
        <f>B11*D11</f>
        <v>4845</v>
      </c>
      <c r="G11" s="29">
        <f>C11*E11</f>
        <v>0</v>
      </c>
      <c r="H11" s="8"/>
      <c r="I11" s="9"/>
    </row>
    <row r="12" spans="1:9" ht="13.5" thickBot="1" x14ac:dyDescent="0.25">
      <c r="A12" s="31" t="s">
        <v>7</v>
      </c>
      <c r="B12" s="32">
        <v>2500</v>
      </c>
      <c r="C12" s="28">
        <v>0</v>
      </c>
      <c r="D12" s="33">
        <v>2.4500000000000002</v>
      </c>
      <c r="E12" s="33">
        <v>2.4500000000000002</v>
      </c>
      <c r="F12" s="33">
        <f>B12*D12</f>
        <v>6125</v>
      </c>
      <c r="G12" s="33">
        <f>C12*E12</f>
        <v>0</v>
      </c>
      <c r="H12" s="8"/>
      <c r="I12" s="9" t="s">
        <v>63</v>
      </c>
    </row>
    <row r="13" spans="1:9" x14ac:dyDescent="0.2">
      <c r="A13" s="22" t="s">
        <v>41</v>
      </c>
      <c r="B13" s="34"/>
      <c r="C13" s="34"/>
      <c r="D13" s="29"/>
      <c r="E13" s="29"/>
      <c r="F13" s="35">
        <f>SUM(F8:F12)</f>
        <v>11165</v>
      </c>
      <c r="G13" s="35">
        <f>SUM(G8:G12)</f>
        <v>0</v>
      </c>
      <c r="H13" s="12"/>
      <c r="I13" s="64">
        <f>I7*I10/60</f>
        <v>900</v>
      </c>
    </row>
    <row r="14" spans="1:9" x14ac:dyDescent="0.2">
      <c r="A14" s="22"/>
      <c r="B14" s="34"/>
      <c r="C14" s="34"/>
      <c r="D14" s="29"/>
      <c r="E14" s="29"/>
      <c r="F14" s="35"/>
      <c r="G14" s="35"/>
      <c r="H14" s="12"/>
      <c r="I14" s="9"/>
    </row>
    <row r="15" spans="1:9" x14ac:dyDescent="0.2">
      <c r="A15" s="24"/>
      <c r="B15" s="34"/>
      <c r="C15" s="34"/>
      <c r="D15" s="29"/>
      <c r="E15" s="29"/>
      <c r="F15" s="35"/>
      <c r="G15" s="35"/>
      <c r="H15" s="12"/>
      <c r="I15" s="9" t="s">
        <v>64</v>
      </c>
    </row>
    <row r="16" spans="1:9" x14ac:dyDescent="0.2">
      <c r="A16" s="22" t="s">
        <v>46</v>
      </c>
      <c r="B16" s="59" t="s">
        <v>47</v>
      </c>
      <c r="C16" s="59" t="s">
        <v>47</v>
      </c>
      <c r="D16" s="23" t="s">
        <v>51</v>
      </c>
      <c r="E16" s="23" t="s">
        <v>51</v>
      </c>
      <c r="F16" s="25"/>
      <c r="G16" s="24"/>
      <c r="I16" s="64">
        <v>10</v>
      </c>
    </row>
    <row r="17" spans="1:12" ht="13.5" thickBot="1" x14ac:dyDescent="0.25">
      <c r="A17" s="24"/>
      <c r="B17" s="30"/>
      <c r="C17" s="53"/>
      <c r="D17" s="24"/>
      <c r="E17" s="24"/>
      <c r="F17" s="36"/>
      <c r="G17" s="24"/>
      <c r="I17" s="9"/>
    </row>
    <row r="18" spans="1:12" ht="13.5" thickBot="1" x14ac:dyDescent="0.25">
      <c r="A18" s="24" t="s">
        <v>6</v>
      </c>
      <c r="B18" s="28">
        <v>1216</v>
      </c>
      <c r="C18" s="52">
        <v>1216</v>
      </c>
      <c r="D18" s="37">
        <v>7.3969999999999994E-2</v>
      </c>
      <c r="E18" s="37"/>
      <c r="F18" s="29">
        <f t="shared" ref="F18:G20" si="0">B18*D18</f>
        <v>89.947519999999997</v>
      </c>
      <c r="G18" s="29">
        <f t="shared" si="0"/>
        <v>0</v>
      </c>
      <c r="H18" s="8"/>
      <c r="I18" s="9" t="s">
        <v>65</v>
      </c>
      <c r="J18" s="29">
        <v>1331.46</v>
      </c>
      <c r="K18">
        <v>1331.46</v>
      </c>
      <c r="L18" s="14">
        <f>-J18+K18</f>
        <v>0</v>
      </c>
    </row>
    <row r="19" spans="1:12" ht="13.5" thickBot="1" x14ac:dyDescent="0.25">
      <c r="A19" s="24" t="s">
        <v>7</v>
      </c>
      <c r="B19" s="27">
        <v>1216</v>
      </c>
      <c r="C19" s="28">
        <v>1216</v>
      </c>
      <c r="D19" s="37">
        <v>5.0529999999999999E-2</v>
      </c>
      <c r="E19" s="37">
        <v>6.0929999999999998E-2</v>
      </c>
      <c r="F19" s="29">
        <f t="shared" si="0"/>
        <v>61.444479999999999</v>
      </c>
      <c r="G19" s="29">
        <f t="shared" si="0"/>
        <v>74.090879999999999</v>
      </c>
      <c r="H19" s="8"/>
      <c r="I19" s="63">
        <f>I13*I16</f>
        <v>9000</v>
      </c>
      <c r="J19" s="29">
        <v>1819.08</v>
      </c>
      <c r="K19">
        <v>1880.52448</v>
      </c>
      <c r="L19" s="14">
        <f t="shared" ref="L19:L41" si="1">-J19+K19</f>
        <v>61.444480000000112</v>
      </c>
    </row>
    <row r="20" spans="1:12" ht="13.5" thickBot="1" x14ac:dyDescent="0.25">
      <c r="A20" s="31" t="s">
        <v>8</v>
      </c>
      <c r="B20" s="38">
        <v>1216</v>
      </c>
      <c r="C20" s="39">
        <v>1216</v>
      </c>
      <c r="D20" s="40">
        <v>3.755E-2</v>
      </c>
      <c r="E20" s="40">
        <v>3.8719999999999997E-2</v>
      </c>
      <c r="F20" s="33">
        <f t="shared" si="0"/>
        <v>45.660800000000002</v>
      </c>
      <c r="G20" s="33">
        <f t="shared" si="0"/>
        <v>47.08352</v>
      </c>
      <c r="H20" s="19"/>
      <c r="J20" s="33">
        <v>675.9</v>
      </c>
      <c r="K20">
        <v>675.9</v>
      </c>
      <c r="L20" s="14">
        <f t="shared" si="1"/>
        <v>0</v>
      </c>
    </row>
    <row r="21" spans="1:12" x14ac:dyDescent="0.2">
      <c r="A21" s="22" t="s">
        <v>44</v>
      </c>
      <c r="B21" s="30">
        <f>SUM(B18:B20)</f>
        <v>3648</v>
      </c>
      <c r="C21" s="30">
        <f>SUM(C18:C20)</f>
        <v>3648</v>
      </c>
      <c r="D21" s="29"/>
      <c r="E21" s="29"/>
      <c r="F21" s="41">
        <f>SUM(F18:F20)</f>
        <v>197.05279999999999</v>
      </c>
      <c r="G21" s="41">
        <f>SUM(G18:G20)</f>
        <v>121.17439999999999</v>
      </c>
      <c r="H21" s="15"/>
      <c r="J21" s="41">
        <v>3826.44</v>
      </c>
      <c r="K21">
        <v>3887.8844800000002</v>
      </c>
      <c r="L21" s="14">
        <f t="shared" si="1"/>
        <v>61.444480000000112</v>
      </c>
    </row>
    <row r="22" spans="1:12" x14ac:dyDescent="0.2">
      <c r="A22" s="22"/>
      <c r="B22" s="30"/>
      <c r="C22" s="30"/>
      <c r="D22" s="29"/>
      <c r="E22" s="29"/>
      <c r="F22" s="41"/>
      <c r="G22" s="41"/>
      <c r="H22" s="15"/>
      <c r="J22" s="41"/>
      <c r="L22" s="14">
        <f t="shared" si="1"/>
        <v>0</v>
      </c>
    </row>
    <row r="23" spans="1:12" x14ac:dyDescent="0.2">
      <c r="A23" s="22"/>
      <c r="B23" s="30"/>
      <c r="C23" s="30"/>
      <c r="D23" s="29"/>
      <c r="E23" s="29"/>
      <c r="F23" s="41"/>
      <c r="G23" s="41"/>
      <c r="H23" s="15"/>
      <c r="J23" s="41"/>
      <c r="L23" s="14">
        <f t="shared" si="1"/>
        <v>0</v>
      </c>
    </row>
    <row r="24" spans="1:12" x14ac:dyDescent="0.2">
      <c r="A24" s="22" t="s">
        <v>48</v>
      </c>
      <c r="B24" s="58" t="s">
        <v>53</v>
      </c>
      <c r="C24" s="58" t="s">
        <v>53</v>
      </c>
      <c r="D24" s="58" t="s">
        <v>54</v>
      </c>
      <c r="E24" s="58" t="s">
        <v>54</v>
      </c>
      <c r="F24" s="41"/>
      <c r="G24" s="41"/>
      <c r="H24" s="15"/>
      <c r="J24" s="41"/>
      <c r="L24" s="14">
        <f t="shared" si="1"/>
        <v>0</v>
      </c>
    </row>
    <row r="25" spans="1:12" ht="13.5" thickBot="1" x14ac:dyDescent="0.25">
      <c r="A25" s="22"/>
      <c r="B25" s="24"/>
      <c r="C25" s="42"/>
      <c r="D25" s="29"/>
      <c r="E25" s="29"/>
      <c r="F25" s="41"/>
      <c r="G25" s="41"/>
      <c r="H25" s="15"/>
      <c r="J25" s="41"/>
      <c r="L25" s="14">
        <f t="shared" si="1"/>
        <v>0</v>
      </c>
    </row>
    <row r="26" spans="1:12" ht="13.5" thickBot="1" x14ac:dyDescent="0.25">
      <c r="A26" s="43" t="s">
        <v>52</v>
      </c>
      <c r="B26" s="27">
        <v>2000</v>
      </c>
      <c r="C26" s="28">
        <v>0</v>
      </c>
      <c r="D26" s="33">
        <v>0.18</v>
      </c>
      <c r="E26" s="33">
        <v>0.18</v>
      </c>
      <c r="F26" s="33">
        <f>B26*D26</f>
        <v>360</v>
      </c>
      <c r="G26" s="33">
        <f>C26*E26</f>
        <v>0</v>
      </c>
      <c r="H26" s="15"/>
      <c r="J26" s="33">
        <v>360</v>
      </c>
      <c r="K26">
        <v>360</v>
      </c>
      <c r="L26" s="14">
        <f t="shared" si="1"/>
        <v>0</v>
      </c>
    </row>
    <row r="27" spans="1:12" x14ac:dyDescent="0.2">
      <c r="A27" s="44" t="s">
        <v>49</v>
      </c>
      <c r="B27" s="34"/>
      <c r="C27" s="34"/>
      <c r="D27" s="29"/>
      <c r="E27" s="29"/>
      <c r="F27" s="41">
        <f>F26</f>
        <v>360</v>
      </c>
      <c r="G27" s="41">
        <f>G26</f>
        <v>0</v>
      </c>
      <c r="H27" s="15"/>
      <c r="J27" s="41">
        <v>360</v>
      </c>
      <c r="K27">
        <v>360</v>
      </c>
      <c r="L27" s="14">
        <f t="shared" si="1"/>
        <v>0</v>
      </c>
    </row>
    <row r="28" spans="1:12" x14ac:dyDescent="0.2">
      <c r="A28" s="44"/>
      <c r="B28" s="34"/>
      <c r="C28" s="34"/>
      <c r="D28" s="29"/>
      <c r="E28" s="29"/>
      <c r="F28" s="29"/>
      <c r="G28" s="29"/>
      <c r="H28" s="15"/>
      <c r="J28" s="29"/>
      <c r="L28" s="14">
        <f t="shared" si="1"/>
        <v>0</v>
      </c>
    </row>
    <row r="29" spans="1:12" x14ac:dyDescent="0.2">
      <c r="A29" s="45"/>
      <c r="B29" s="34"/>
      <c r="C29" s="34"/>
      <c r="D29" s="29"/>
      <c r="E29" s="29"/>
      <c r="F29" s="29"/>
      <c r="G29" s="29"/>
      <c r="H29" s="15"/>
      <c r="J29" s="29"/>
      <c r="L29" s="14">
        <f t="shared" si="1"/>
        <v>0</v>
      </c>
    </row>
    <row r="30" spans="1:12" x14ac:dyDescent="0.2">
      <c r="A30" s="44" t="s">
        <v>55</v>
      </c>
      <c r="B30" s="58" t="s">
        <v>56</v>
      </c>
      <c r="C30" s="34"/>
      <c r="D30" s="29"/>
      <c r="E30" s="29"/>
      <c r="F30" s="29"/>
      <c r="G30" s="29"/>
      <c r="H30" s="15"/>
      <c r="J30" s="29"/>
      <c r="L30" s="14">
        <f t="shared" si="1"/>
        <v>0</v>
      </c>
    </row>
    <row r="31" spans="1:12" x14ac:dyDescent="0.2">
      <c r="A31" s="24" t="s">
        <v>5</v>
      </c>
      <c r="B31" s="29">
        <v>349.45</v>
      </c>
      <c r="C31" s="24"/>
      <c r="D31" s="24"/>
      <c r="E31" s="24"/>
      <c r="F31" s="62">
        <f>B31</f>
        <v>349.45</v>
      </c>
      <c r="G31" s="29">
        <f>B31</f>
        <v>349.45</v>
      </c>
      <c r="H31" s="8"/>
      <c r="J31" s="62">
        <v>349.45</v>
      </c>
      <c r="K31">
        <v>349.45</v>
      </c>
      <c r="L31" s="14">
        <f t="shared" si="1"/>
        <v>0</v>
      </c>
    </row>
    <row r="32" spans="1:12" x14ac:dyDescent="0.2">
      <c r="A32" s="45" t="s">
        <v>39</v>
      </c>
      <c r="B32" s="37">
        <v>0.92249999999999999</v>
      </c>
      <c r="C32" s="24"/>
      <c r="D32" s="24"/>
      <c r="E32" s="46"/>
      <c r="F32" s="29">
        <f>IF((F11+F18)/B18&lt;B32,0,-(F11+F18-B18*B32))</f>
        <v>-3813.1875199999995</v>
      </c>
      <c r="G32" s="29"/>
      <c r="H32" s="8"/>
      <c r="J32" s="29">
        <v>0</v>
      </c>
      <c r="K32">
        <v>0</v>
      </c>
      <c r="L32" s="14">
        <f t="shared" si="1"/>
        <v>0</v>
      </c>
    </row>
    <row r="33" spans="1:28" x14ac:dyDescent="0.2">
      <c r="A33" s="43" t="s">
        <v>40</v>
      </c>
      <c r="B33" s="54">
        <v>0.124</v>
      </c>
      <c r="C33" s="31"/>
      <c r="D33" s="31"/>
      <c r="E33" s="31"/>
      <c r="F33" s="33">
        <f>-SUM(F13+F21+B31+F32+F26)*$B$33</f>
        <v>-1024.0310947200001</v>
      </c>
      <c r="G33" s="33">
        <f>-SUM(G13+G21+G31+G32+G26)*$B$33</f>
        <v>-58.357425599999999</v>
      </c>
      <c r="H33" s="19"/>
      <c r="J33" s="33">
        <v>-1946.9103600000001</v>
      </c>
      <c r="K33">
        <v>-1954.5294755200002</v>
      </c>
      <c r="L33" s="14">
        <f t="shared" si="1"/>
        <v>-7.6191155200001504</v>
      </c>
    </row>
    <row r="34" spans="1:28" x14ac:dyDescent="0.2">
      <c r="A34" s="22" t="s">
        <v>42</v>
      </c>
      <c r="B34" s="55"/>
      <c r="C34" s="24"/>
      <c r="D34" s="24"/>
      <c r="E34" s="24"/>
      <c r="F34" s="41">
        <f>F13+F21+F27+SUM(F31:F33)</f>
        <v>7234.2841852799993</v>
      </c>
      <c r="G34" s="41">
        <f>G13+G21+G27+SUM(G31:G33)</f>
        <v>412.26697439999998</v>
      </c>
      <c r="H34" s="15"/>
      <c r="J34" s="41">
        <v>13753.979640000001</v>
      </c>
      <c r="K34">
        <v>13807.80500448</v>
      </c>
      <c r="L34" s="14">
        <f t="shared" si="1"/>
        <v>53.825364479998825</v>
      </c>
    </row>
    <row r="35" spans="1:28" x14ac:dyDescent="0.2">
      <c r="A35" s="24"/>
      <c r="B35" s="55"/>
      <c r="C35" s="24"/>
      <c r="D35" s="24"/>
      <c r="E35" s="24"/>
      <c r="F35" s="29"/>
      <c r="G35" s="29"/>
      <c r="H35" s="8"/>
      <c r="J35" s="29"/>
      <c r="L35" s="14">
        <f t="shared" si="1"/>
        <v>0</v>
      </c>
    </row>
    <row r="36" spans="1:28" x14ac:dyDescent="0.2">
      <c r="A36" s="22" t="s">
        <v>58</v>
      </c>
      <c r="B36" s="56">
        <v>0.1</v>
      </c>
      <c r="C36" s="24"/>
      <c r="D36" s="24"/>
      <c r="E36" s="24"/>
      <c r="F36" s="29">
        <f>F34*$B$36</f>
        <v>723.42841852799995</v>
      </c>
      <c r="G36" s="29">
        <f>G34*$B$36</f>
        <v>41.226697440000002</v>
      </c>
      <c r="H36" s="8"/>
      <c r="J36" s="29">
        <v>1375.3979640000002</v>
      </c>
      <c r="K36">
        <v>1380.7805004480001</v>
      </c>
      <c r="L36" s="14">
        <f t="shared" si="1"/>
        <v>5.3825364479998825</v>
      </c>
    </row>
    <row r="37" spans="1:28" ht="13.5" thickBot="1" x14ac:dyDescent="0.25">
      <c r="A37" s="48" t="s">
        <v>43</v>
      </c>
      <c r="B37" s="57">
        <v>2.0000000000000001E-4</v>
      </c>
      <c r="C37" s="49"/>
      <c r="D37" s="50"/>
      <c r="E37" s="49"/>
      <c r="F37" s="51">
        <f>B21*$B$37</f>
        <v>0.72960000000000003</v>
      </c>
      <c r="G37" s="51">
        <f>C21*$B$37</f>
        <v>0.72960000000000003</v>
      </c>
      <c r="H37" s="19"/>
      <c r="J37" s="51">
        <v>14.4</v>
      </c>
      <c r="K37">
        <v>14.6432</v>
      </c>
      <c r="L37" s="14">
        <f t="shared" si="1"/>
        <v>0.24319999999999986</v>
      </c>
    </row>
    <row r="38" spans="1:28" ht="13.5" thickTop="1" x14ac:dyDescent="0.2">
      <c r="A38" s="24"/>
      <c r="B38" s="47"/>
      <c r="C38" s="24"/>
      <c r="D38" s="24"/>
      <c r="E38" s="24"/>
      <c r="F38" s="29"/>
      <c r="G38" s="29"/>
      <c r="H38" s="8"/>
      <c r="J38" s="29"/>
      <c r="L38" s="14">
        <f t="shared" si="1"/>
        <v>0</v>
      </c>
    </row>
    <row r="39" spans="1:28" x14ac:dyDescent="0.2">
      <c r="A39" s="22" t="s">
        <v>36</v>
      </c>
      <c r="B39" s="24"/>
      <c r="C39" s="24"/>
      <c r="D39" s="24"/>
      <c r="E39" s="24"/>
      <c r="F39" s="35">
        <f>SUM(F34:F37)</f>
        <v>7958.4422038079992</v>
      </c>
      <c r="G39" s="35">
        <f>SUM(G34:G37)</f>
        <v>454.22327184</v>
      </c>
      <c r="H39" s="12"/>
      <c r="J39" s="35">
        <v>15143.777604000001</v>
      </c>
      <c r="K39">
        <v>15203.228704928</v>
      </c>
      <c r="L39" s="14">
        <f t="shared" si="1"/>
        <v>59.451100927999505</v>
      </c>
    </row>
    <row r="40" spans="1:28" x14ac:dyDescent="0.2">
      <c r="F40" s="14">
        <v>91.25</v>
      </c>
      <c r="G40" s="14">
        <v>33328.74</v>
      </c>
      <c r="H40" s="14"/>
      <c r="J40" s="14">
        <v>91.25</v>
      </c>
      <c r="K40" s="61">
        <v>91.25</v>
      </c>
      <c r="L40" s="14">
        <f t="shared" si="1"/>
        <v>0</v>
      </c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spans="1:28" x14ac:dyDescent="0.2">
      <c r="F41" s="14">
        <f>SUM(F39:F40)</f>
        <v>8049.6922038079992</v>
      </c>
      <c r="G41" s="14">
        <f>SUM(G39:G40)</f>
        <v>33782.963271839995</v>
      </c>
      <c r="H41" s="14"/>
      <c r="J41" s="14">
        <v>15235.027604000001</v>
      </c>
      <c r="K41" s="61">
        <v>15294.478704928</v>
      </c>
      <c r="L41" s="14">
        <f t="shared" si="1"/>
        <v>59.451100927999505</v>
      </c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1"/>
      <c r="AA41" s="61"/>
      <c r="AB41" s="61"/>
    </row>
    <row r="42" spans="1:28" x14ac:dyDescent="0.2">
      <c r="F42" s="14"/>
      <c r="G42" s="14"/>
      <c r="H42" s="14"/>
      <c r="I42" s="14"/>
      <c r="J42" s="61"/>
      <c r="K42" s="61"/>
      <c r="L42" s="89">
        <f>L41/1216</f>
        <v>4.8890707999999596E-2</v>
      </c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</row>
    <row r="43" spans="1:28" x14ac:dyDescent="0.2">
      <c r="D43" s="20"/>
      <c r="G43" s="14"/>
      <c r="H43" s="14"/>
      <c r="I43" s="14"/>
      <c r="J43" s="67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</row>
    <row r="44" spans="1:28" x14ac:dyDescent="0.2">
      <c r="G44" s="14"/>
      <c r="H44" s="14"/>
      <c r="I44" s="14"/>
      <c r="J44" s="67"/>
      <c r="K44" s="61"/>
      <c r="L44" s="61"/>
      <c r="M44" s="61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1"/>
      <c r="AB44" s="61"/>
    </row>
    <row r="45" spans="1:28" x14ac:dyDescent="0.2">
      <c r="A45" s="9"/>
      <c r="G45" s="12"/>
      <c r="H45" s="12"/>
      <c r="I45" s="12"/>
      <c r="J45" s="69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</row>
    <row r="46" spans="1:28" x14ac:dyDescent="0.2">
      <c r="J46" s="61"/>
      <c r="K46" s="61"/>
      <c r="L46" s="61"/>
      <c r="M46" s="61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61"/>
      <c r="AB46" s="61"/>
    </row>
    <row r="47" spans="1:28" x14ac:dyDescent="0.2">
      <c r="G47" s="14"/>
      <c r="H47" s="14"/>
      <c r="I47" s="14"/>
      <c r="J47" s="67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spans="1:28" x14ac:dyDescent="0.2">
      <c r="J48" s="61"/>
      <c r="K48" s="61"/>
      <c r="L48" s="61"/>
      <c r="M48" s="70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spans="1:28" x14ac:dyDescent="0.2">
      <c r="A49" s="9"/>
      <c r="G49" s="14"/>
      <c r="H49" s="14"/>
      <c r="I49" s="14"/>
      <c r="J49" s="67"/>
      <c r="K49" s="61"/>
      <c r="L49" s="61"/>
      <c r="M49" s="61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61"/>
      <c r="AB49" s="61"/>
    </row>
    <row r="50" spans="1:28" x14ac:dyDescent="0.2">
      <c r="J50" s="61"/>
      <c r="K50" s="61"/>
      <c r="L50" s="61"/>
      <c r="M50" s="61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61"/>
      <c r="AB50" s="61"/>
    </row>
    <row r="51" spans="1:28" x14ac:dyDescent="0.2">
      <c r="J51" s="61"/>
      <c r="K51" s="61"/>
      <c r="L51" s="61"/>
      <c r="M51" s="61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61"/>
      <c r="AB51" s="61"/>
    </row>
    <row r="52" spans="1:28" x14ac:dyDescent="0.2">
      <c r="J52" s="61"/>
      <c r="K52" s="61"/>
      <c r="L52" s="61"/>
      <c r="M52" s="71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1"/>
      <c r="AB52" s="61"/>
    </row>
    <row r="53" spans="1:28" x14ac:dyDescent="0.2">
      <c r="J53" s="61"/>
      <c r="K53" s="61"/>
      <c r="L53" s="61"/>
      <c r="M53" s="61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1"/>
      <c r="AB53" s="61"/>
    </row>
    <row r="54" spans="1:28" x14ac:dyDescent="0.2"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</row>
    <row r="55" spans="1:28" x14ac:dyDescent="0.2"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</row>
    <row r="56" spans="1:28" x14ac:dyDescent="0.2">
      <c r="J56" s="61"/>
      <c r="K56" s="61"/>
      <c r="L56" s="61"/>
      <c r="M56" s="61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61"/>
      <c r="AB56" s="61"/>
    </row>
    <row r="57" spans="1:28" x14ac:dyDescent="0.2">
      <c r="J57" s="61"/>
      <c r="K57" s="61"/>
      <c r="L57" s="61"/>
      <c r="M57" s="61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61"/>
      <c r="AB57" s="61"/>
    </row>
    <row r="58" spans="1:28" x14ac:dyDescent="0.2">
      <c r="J58" s="61"/>
      <c r="K58" s="61"/>
      <c r="L58" s="61"/>
      <c r="M58" s="61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61"/>
      <c r="AB58" s="61"/>
    </row>
    <row r="59" spans="1:28" x14ac:dyDescent="0.2">
      <c r="J59" s="61"/>
      <c r="K59" s="61"/>
      <c r="L59" s="61"/>
      <c r="M59" s="71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61"/>
      <c r="AB59" s="61"/>
    </row>
    <row r="60" spans="1:28" x14ac:dyDescent="0.2">
      <c r="J60" s="61"/>
      <c r="K60" s="61"/>
      <c r="L60" s="61"/>
      <c r="M60" s="71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61"/>
      <c r="AB60" s="61"/>
    </row>
    <row r="61" spans="1:28" x14ac:dyDescent="0.2">
      <c r="J61" s="61"/>
      <c r="K61" s="61"/>
      <c r="L61" s="61"/>
      <c r="M61" s="61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61"/>
      <c r="AB61" s="61"/>
    </row>
    <row r="62" spans="1:28" x14ac:dyDescent="0.2">
      <c r="B62" t="s">
        <v>10</v>
      </c>
      <c r="J62" s="61"/>
      <c r="K62" s="61"/>
      <c r="L62" s="61"/>
      <c r="M62" s="61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61"/>
      <c r="AB62" s="61"/>
    </row>
    <row r="63" spans="1:28" x14ac:dyDescent="0.2">
      <c r="J63" s="61"/>
      <c r="K63" s="61"/>
      <c r="L63" s="61"/>
      <c r="M63" s="73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61"/>
      <c r="AB63" s="61"/>
    </row>
    <row r="64" spans="1:28" x14ac:dyDescent="0.2">
      <c r="C64" t="s">
        <v>16</v>
      </c>
      <c r="D64" t="s">
        <v>17</v>
      </c>
      <c r="E64" t="s">
        <v>6</v>
      </c>
      <c r="F64" t="s">
        <v>7</v>
      </c>
      <c r="G64" t="s">
        <v>8</v>
      </c>
      <c r="H64" t="s">
        <v>33</v>
      </c>
      <c r="J64" s="61"/>
      <c r="K64" s="61"/>
      <c r="L64" s="61"/>
      <c r="M64" s="61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61"/>
      <c r="AB64" s="61"/>
    </row>
    <row r="65" spans="2:28" x14ac:dyDescent="0.2">
      <c r="B65" t="s">
        <v>34</v>
      </c>
      <c r="C65">
        <v>22</v>
      </c>
      <c r="D65">
        <v>8</v>
      </c>
      <c r="E65">
        <f>C65*6</f>
        <v>132</v>
      </c>
      <c r="F65">
        <f>C65*9</f>
        <v>198</v>
      </c>
      <c r="G65">
        <f>C65*9+24*D65</f>
        <v>390</v>
      </c>
      <c r="H65">
        <f>SUM(C65:D65)*24</f>
        <v>720</v>
      </c>
      <c r="J65" s="61"/>
      <c r="K65" s="61"/>
      <c r="L65" s="61"/>
      <c r="M65" s="73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61"/>
      <c r="AB65" s="61"/>
    </row>
    <row r="66" spans="2:28" x14ac:dyDescent="0.2">
      <c r="B66" t="s">
        <v>12</v>
      </c>
      <c r="C66">
        <v>21</v>
      </c>
      <c r="D66">
        <v>10</v>
      </c>
      <c r="E66">
        <f>C66*6</f>
        <v>126</v>
      </c>
      <c r="F66">
        <f>C66*9</f>
        <v>189</v>
      </c>
      <c r="G66">
        <f>C66*9+24*D66</f>
        <v>429</v>
      </c>
      <c r="H66">
        <f>SUM(C66:D66)*24</f>
        <v>744</v>
      </c>
      <c r="J66" s="61"/>
      <c r="K66" s="61"/>
      <c r="L66" s="61"/>
      <c r="M66" s="71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61"/>
      <c r="AB66" s="61"/>
    </row>
    <row r="67" spans="2:28" x14ac:dyDescent="0.2">
      <c r="B67" t="s">
        <v>13</v>
      </c>
      <c r="C67">
        <v>23</v>
      </c>
      <c r="D67">
        <v>8</v>
      </c>
      <c r="E67">
        <f>C67*6</f>
        <v>138</v>
      </c>
      <c r="F67">
        <f>C67*9</f>
        <v>207</v>
      </c>
      <c r="G67">
        <f>C67*9+24*D67</f>
        <v>399</v>
      </c>
      <c r="H67">
        <f>SUM(C67:D67)*24</f>
        <v>744</v>
      </c>
      <c r="J67" s="61"/>
      <c r="K67" s="61"/>
      <c r="L67" s="61"/>
      <c r="M67" s="61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61"/>
      <c r="AB67" s="61"/>
    </row>
    <row r="68" spans="2:28" x14ac:dyDescent="0.2">
      <c r="B68" t="s">
        <v>14</v>
      </c>
      <c r="C68">
        <v>21</v>
      </c>
      <c r="D68">
        <v>9</v>
      </c>
      <c r="E68">
        <f>C68*6</f>
        <v>126</v>
      </c>
      <c r="F68">
        <f>C68*9</f>
        <v>189</v>
      </c>
      <c r="G68">
        <f>C68*9+24*D68</f>
        <v>405</v>
      </c>
      <c r="H68">
        <f>SUM(C68:D68)*24</f>
        <v>720</v>
      </c>
      <c r="J68" s="61"/>
      <c r="K68" s="61"/>
      <c r="L68" s="61"/>
      <c r="M68" s="71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61"/>
      <c r="AB68" s="61"/>
    </row>
    <row r="69" spans="2:28" x14ac:dyDescent="0.2">
      <c r="B69" t="s">
        <v>15</v>
      </c>
      <c r="C69" s="10">
        <f t="shared" ref="C69:H69" si="2">AVERAGE(C65:C68)</f>
        <v>21.75</v>
      </c>
      <c r="D69" s="10">
        <f t="shared" si="2"/>
        <v>8.75</v>
      </c>
      <c r="E69" s="10">
        <f t="shared" si="2"/>
        <v>130.5</v>
      </c>
      <c r="F69" s="10">
        <f t="shared" si="2"/>
        <v>195.75</v>
      </c>
      <c r="G69" s="10">
        <f t="shared" si="2"/>
        <v>405.75</v>
      </c>
      <c r="H69" s="11">
        <f t="shared" si="2"/>
        <v>732</v>
      </c>
      <c r="I69" s="11"/>
      <c r="J69" s="74"/>
      <c r="K69" s="61"/>
      <c r="L69" s="61"/>
      <c r="M69" s="71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61"/>
      <c r="AB69" s="61"/>
    </row>
    <row r="70" spans="2:28" x14ac:dyDescent="0.2">
      <c r="J70" s="61"/>
      <c r="K70" s="61"/>
      <c r="L70" s="61"/>
      <c r="M70" s="61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61"/>
      <c r="AB70" s="61"/>
    </row>
    <row r="71" spans="2:28" x14ac:dyDescent="0.2">
      <c r="J71" s="61"/>
      <c r="K71" s="61"/>
      <c r="L71" s="61"/>
      <c r="M71" s="71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1"/>
      <c r="AB71" s="61"/>
    </row>
    <row r="72" spans="2:28" x14ac:dyDescent="0.2">
      <c r="B72" t="s">
        <v>11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</row>
    <row r="73" spans="2:28" x14ac:dyDescent="0.2"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</row>
    <row r="74" spans="2:28" x14ac:dyDescent="0.2">
      <c r="C74" t="s">
        <v>16</v>
      </c>
      <c r="D74" t="s">
        <v>17</v>
      </c>
      <c r="E74" t="s">
        <v>6</v>
      </c>
      <c r="F74" t="s">
        <v>7</v>
      </c>
      <c r="G74" t="s">
        <v>8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</row>
    <row r="75" spans="2:28" x14ac:dyDescent="0.2">
      <c r="B75" t="s">
        <v>25</v>
      </c>
      <c r="C75">
        <v>23</v>
      </c>
      <c r="D75">
        <v>8</v>
      </c>
      <c r="F75">
        <f t="shared" ref="F75:F82" si="3">C75*13</f>
        <v>299</v>
      </c>
      <c r="G75">
        <f t="shared" ref="G75:G82" si="4">C75*11+D75*24</f>
        <v>445</v>
      </c>
      <c r="H75">
        <f t="shared" ref="H75:H82" si="5">SUM(C75:D75)*24</f>
        <v>744</v>
      </c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</row>
    <row r="76" spans="2:28" x14ac:dyDescent="0.2">
      <c r="B76" t="s">
        <v>26</v>
      </c>
      <c r="C76">
        <v>20</v>
      </c>
      <c r="D76">
        <v>8</v>
      </c>
      <c r="F76">
        <f t="shared" si="3"/>
        <v>260</v>
      </c>
      <c r="G76">
        <f t="shared" si="4"/>
        <v>412</v>
      </c>
      <c r="H76">
        <f t="shared" si="5"/>
        <v>672</v>
      </c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</row>
    <row r="77" spans="2:28" x14ac:dyDescent="0.2">
      <c r="B77" t="s">
        <v>27</v>
      </c>
      <c r="C77">
        <v>22</v>
      </c>
      <c r="D77">
        <v>9</v>
      </c>
      <c r="F77">
        <f t="shared" si="3"/>
        <v>286</v>
      </c>
      <c r="G77">
        <f t="shared" si="4"/>
        <v>458</v>
      </c>
      <c r="H77">
        <f t="shared" si="5"/>
        <v>744</v>
      </c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</row>
    <row r="78" spans="2:28" x14ac:dyDescent="0.2">
      <c r="B78" t="s">
        <v>28</v>
      </c>
      <c r="C78">
        <v>21</v>
      </c>
      <c r="D78">
        <v>9</v>
      </c>
      <c r="F78">
        <f t="shared" si="3"/>
        <v>273</v>
      </c>
      <c r="G78">
        <f t="shared" si="4"/>
        <v>447</v>
      </c>
      <c r="H78">
        <f t="shared" si="5"/>
        <v>720</v>
      </c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</row>
    <row r="79" spans="2:28" x14ac:dyDescent="0.2">
      <c r="B79" t="s">
        <v>29</v>
      </c>
      <c r="C79">
        <v>23</v>
      </c>
      <c r="D79">
        <v>8</v>
      </c>
      <c r="F79">
        <f t="shared" si="3"/>
        <v>299</v>
      </c>
      <c r="G79">
        <f t="shared" si="4"/>
        <v>445</v>
      </c>
      <c r="H79">
        <f t="shared" si="5"/>
        <v>744</v>
      </c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</row>
    <row r="80" spans="2:28" x14ac:dyDescent="0.2">
      <c r="B80" t="s">
        <v>30</v>
      </c>
      <c r="C80">
        <v>22</v>
      </c>
      <c r="D80">
        <v>9</v>
      </c>
      <c r="F80">
        <f t="shared" si="3"/>
        <v>286</v>
      </c>
      <c r="G80">
        <f t="shared" si="4"/>
        <v>458</v>
      </c>
      <c r="H80">
        <f t="shared" si="5"/>
        <v>744</v>
      </c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</row>
    <row r="81" spans="2:28" x14ac:dyDescent="0.2">
      <c r="B81" t="s">
        <v>31</v>
      </c>
      <c r="C81">
        <v>22</v>
      </c>
      <c r="D81">
        <v>8</v>
      </c>
      <c r="F81">
        <f t="shared" si="3"/>
        <v>286</v>
      </c>
      <c r="G81">
        <f t="shared" si="4"/>
        <v>434</v>
      </c>
      <c r="H81">
        <f t="shared" si="5"/>
        <v>720</v>
      </c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</row>
    <row r="82" spans="2:28" x14ac:dyDescent="0.2">
      <c r="B82" t="s">
        <v>32</v>
      </c>
      <c r="C82">
        <v>21</v>
      </c>
      <c r="D82">
        <v>10</v>
      </c>
      <c r="F82">
        <f t="shared" si="3"/>
        <v>273</v>
      </c>
      <c r="G82">
        <f t="shared" si="4"/>
        <v>471</v>
      </c>
      <c r="H82">
        <f t="shared" si="5"/>
        <v>744</v>
      </c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spans="2:28" x14ac:dyDescent="0.2"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84" spans="2:28" x14ac:dyDescent="0.2">
      <c r="B84" t="s">
        <v>15</v>
      </c>
      <c r="C84" s="10">
        <f t="shared" ref="C84:H84" si="6">AVERAGE(C75:C82)</f>
        <v>21.75</v>
      </c>
      <c r="D84" s="10">
        <f t="shared" si="6"/>
        <v>8.625</v>
      </c>
      <c r="E84" t="e">
        <f t="shared" si="6"/>
        <v>#DIV/0!</v>
      </c>
      <c r="F84" s="10">
        <f t="shared" si="6"/>
        <v>282.75</v>
      </c>
      <c r="G84" s="10">
        <f t="shared" si="6"/>
        <v>446.25</v>
      </c>
      <c r="H84">
        <f t="shared" si="6"/>
        <v>729</v>
      </c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</sheetData>
  <mergeCells count="1">
    <mergeCell ref="A1:G1"/>
  </mergeCells>
  <printOptions headings="1" gridLines="1"/>
  <pageMargins left="0.75" right="0.75" top="1" bottom="1" header="0.5" footer="0.5"/>
  <pageSetup scale="82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Chris 1</vt:lpstr>
      <vt:lpstr>Chris 2</vt:lpstr>
      <vt:lpstr>Sheet1</vt:lpstr>
      <vt:lpstr>Start Gas</vt:lpstr>
      <vt:lpstr>Sheet2</vt:lpstr>
      <vt:lpstr>Electricity</vt:lpstr>
      <vt:lpstr>Chart1</vt:lpstr>
      <vt:lpstr>Chart2</vt:lpstr>
      <vt:lpstr>'Chris 2'!Print_Area</vt:lpstr>
      <vt:lpstr>Electricity!Print_Area</vt:lpstr>
      <vt:lpstr>Sheet1!Print_Area</vt:lpstr>
      <vt:lpstr>'Start Gas'!Print_Area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buerkle</dc:creator>
  <cp:lastModifiedBy>Jan Havlíček</cp:lastModifiedBy>
  <cp:lastPrinted>2000-11-08T23:47:40Z</cp:lastPrinted>
  <dcterms:created xsi:type="dcterms:W3CDTF">2000-05-05T20:48:15Z</dcterms:created>
  <dcterms:modified xsi:type="dcterms:W3CDTF">2023-09-17T13:45:49Z</dcterms:modified>
</cp:coreProperties>
</file>