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309B8D7-A119-4FC7-872E-A2D5CAD34BEF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17" r:id="rId1"/>
    <sheet name="Pricing &amp; Purchase Strategy" sheetId="1" r:id="rId2"/>
    <sheet name="El Paso Capacity" sheetId="2" r:id="rId3"/>
    <sheet name="Kern River Capacity" sheetId="3" r:id="rId4"/>
    <sheet name="Mojave Pipeline Capacity" sheetId="4" r:id="rId5"/>
    <sheet name="Gas Fired Generation Facilities" sheetId="5" r:id="rId6"/>
    <sheet name="Sheet6" sheetId="6" r:id="rId7"/>
    <sheet name="Sheet7" sheetId="7" r:id="rId8"/>
    <sheet name="Sheet8" sheetId="8" r:id="rId9"/>
    <sheet name="Sheet9" sheetId="9" r:id="rId10"/>
    <sheet name="Sheet10" sheetId="10" r:id="rId11"/>
    <sheet name="Sheet11" sheetId="11" r:id="rId12"/>
    <sheet name="Sheet12" sheetId="12" r:id="rId13"/>
    <sheet name="Sheet13" sheetId="13" r:id="rId14"/>
    <sheet name="Sheet14" sheetId="14" r:id="rId15"/>
    <sheet name="Sheet15" sheetId="15" r:id="rId16"/>
    <sheet name="Sheet16" sheetId="16" r:id="rId17"/>
  </sheets>
  <calcPr calcId="0"/>
</workbook>
</file>

<file path=xl/calcChain.xml><?xml version="1.0" encoding="utf-8"?>
<calcChain xmlns="http://schemas.openxmlformats.org/spreadsheetml/2006/main">
  <c r="D15" i="2" l="1"/>
  <c r="G15" i="2"/>
  <c r="D25" i="5"/>
  <c r="D15" i="3"/>
  <c r="F15" i="3"/>
  <c r="G15" i="3"/>
  <c r="G15" i="4"/>
  <c r="D26" i="1"/>
  <c r="E26" i="1"/>
  <c r="F26" i="1"/>
  <c r="G26" i="1"/>
  <c r="H26" i="1"/>
  <c r="I26" i="1"/>
  <c r="J26" i="1"/>
  <c r="K26" i="1"/>
  <c r="L26" i="1"/>
  <c r="M26" i="1"/>
  <c r="D27" i="1"/>
  <c r="E27" i="1"/>
  <c r="F27" i="1"/>
  <c r="G27" i="1"/>
  <c r="H27" i="1"/>
  <c r="I27" i="1"/>
  <c r="J27" i="1"/>
  <c r="K27" i="1"/>
  <c r="L27" i="1"/>
  <c r="M27" i="1"/>
  <c r="D28" i="1"/>
  <c r="E28" i="1"/>
  <c r="F28" i="1"/>
  <c r="G28" i="1"/>
  <c r="H28" i="1"/>
  <c r="I28" i="1"/>
  <c r="J28" i="1"/>
  <c r="K28" i="1"/>
  <c r="L28" i="1"/>
  <c r="M28" i="1"/>
  <c r="D29" i="1"/>
  <c r="E29" i="1"/>
  <c r="F29" i="1"/>
  <c r="G29" i="1"/>
  <c r="H29" i="1"/>
  <c r="I29" i="1"/>
  <c r="J29" i="1"/>
  <c r="K29" i="1"/>
  <c r="L29" i="1"/>
  <c r="M29" i="1"/>
  <c r="D30" i="1"/>
  <c r="E30" i="1"/>
  <c r="F30" i="1"/>
  <c r="G30" i="1"/>
  <c r="H30" i="1"/>
  <c r="I30" i="1"/>
  <c r="J30" i="1"/>
  <c r="K30" i="1"/>
  <c r="L30" i="1"/>
  <c r="M30" i="1"/>
  <c r="D31" i="1"/>
  <c r="E31" i="1"/>
  <c r="F31" i="1"/>
  <c r="G31" i="1"/>
  <c r="H31" i="1"/>
  <c r="I31" i="1"/>
  <c r="J31" i="1"/>
  <c r="K31" i="1"/>
  <c r="L31" i="1"/>
  <c r="M31" i="1"/>
  <c r="D32" i="1"/>
  <c r="E32" i="1"/>
  <c r="F32" i="1"/>
  <c r="G32" i="1"/>
  <c r="H32" i="1"/>
  <c r="I32" i="1"/>
  <c r="J32" i="1"/>
  <c r="K32" i="1"/>
  <c r="L32" i="1"/>
  <c r="M32" i="1"/>
  <c r="D33" i="1"/>
  <c r="E33" i="1"/>
  <c r="F33" i="1"/>
  <c r="G33" i="1"/>
  <c r="H33" i="1"/>
  <c r="I33" i="1"/>
  <c r="J33" i="1"/>
  <c r="K33" i="1"/>
  <c r="L33" i="1"/>
  <c r="M33" i="1"/>
  <c r="D34" i="1"/>
  <c r="E34" i="1"/>
  <c r="F34" i="1"/>
  <c r="G34" i="1"/>
  <c r="H34" i="1"/>
  <c r="I34" i="1"/>
  <c r="J34" i="1"/>
  <c r="K34" i="1"/>
  <c r="L34" i="1"/>
  <c r="M34" i="1"/>
  <c r="D35" i="1"/>
  <c r="E35" i="1"/>
  <c r="F35" i="1"/>
  <c r="G35" i="1"/>
  <c r="H35" i="1"/>
  <c r="I35" i="1"/>
  <c r="J35" i="1"/>
  <c r="K35" i="1"/>
  <c r="L35" i="1"/>
  <c r="M35" i="1"/>
  <c r="D36" i="1"/>
  <c r="E36" i="1"/>
  <c r="F36" i="1"/>
  <c r="G36" i="1"/>
  <c r="H36" i="1"/>
  <c r="I36" i="1"/>
  <c r="J36" i="1"/>
  <c r="K36" i="1"/>
  <c r="L36" i="1"/>
  <c r="M36" i="1"/>
  <c r="D37" i="1"/>
  <c r="E37" i="1"/>
  <c r="F37" i="1"/>
  <c r="G37" i="1"/>
  <c r="H37" i="1"/>
  <c r="I37" i="1"/>
  <c r="J37" i="1"/>
  <c r="K37" i="1"/>
  <c r="L37" i="1"/>
  <c r="M37" i="1"/>
  <c r="J38" i="1"/>
  <c r="K38" i="1"/>
  <c r="L38" i="1"/>
  <c r="M38" i="1"/>
  <c r="N38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C56" i="1"/>
  <c r="D56" i="1"/>
  <c r="B21" i="17"/>
  <c r="C21" i="17"/>
  <c r="B22" i="17"/>
  <c r="C22" i="17"/>
  <c r="B23" i="17"/>
  <c r="C23" i="17"/>
  <c r="B24" i="17"/>
  <c r="C24" i="17"/>
  <c r="B25" i="17"/>
  <c r="C25" i="17"/>
  <c r="B26" i="17"/>
  <c r="C26" i="17"/>
  <c r="B27" i="17"/>
  <c r="C27" i="17"/>
  <c r="B28" i="17"/>
  <c r="C28" i="17"/>
  <c r="B29" i="17"/>
  <c r="C29" i="17"/>
  <c r="B30" i="17"/>
  <c r="C30" i="17"/>
  <c r="B31" i="17"/>
  <c r="C31" i="17"/>
  <c r="B32" i="17"/>
  <c r="C32" i="17"/>
  <c r="C33" i="17"/>
  <c r="K33" i="17"/>
  <c r="B42" i="17"/>
  <c r="C42" i="17"/>
  <c r="D42" i="17"/>
  <c r="E42" i="17"/>
  <c r="B43" i="17"/>
  <c r="C43" i="17"/>
  <c r="D43" i="17"/>
  <c r="E43" i="17"/>
  <c r="B44" i="17"/>
  <c r="C44" i="17"/>
  <c r="D44" i="17"/>
  <c r="E44" i="17"/>
  <c r="B45" i="17"/>
  <c r="C45" i="17"/>
  <c r="D45" i="17"/>
  <c r="E45" i="17"/>
  <c r="B46" i="17"/>
  <c r="C46" i="17"/>
  <c r="D46" i="17"/>
  <c r="E46" i="17"/>
  <c r="B47" i="17"/>
  <c r="C47" i="17"/>
  <c r="D47" i="17"/>
  <c r="E47" i="17"/>
  <c r="B48" i="17"/>
  <c r="C48" i="17"/>
  <c r="D48" i="17"/>
  <c r="E48" i="17"/>
  <c r="B49" i="17"/>
  <c r="C49" i="17"/>
  <c r="D49" i="17"/>
  <c r="E49" i="17"/>
  <c r="B50" i="17"/>
  <c r="C50" i="17"/>
  <c r="D50" i="17"/>
  <c r="E50" i="17"/>
</calcChain>
</file>

<file path=xl/sharedStrings.xml><?xml version="1.0" encoding="utf-8"?>
<sst xmlns="http://schemas.openxmlformats.org/spreadsheetml/2006/main" count="308" uniqueCount="133">
  <si>
    <t>City of Los Angeles</t>
  </si>
  <si>
    <t>Department of Water &amp; Power</t>
  </si>
  <si>
    <t>Union Pacific Fuels Gas Supply Contract</t>
  </si>
  <si>
    <t>Price Determination; Purchase Strategy</t>
  </si>
  <si>
    <t>Effective Date:</t>
  </si>
  <si>
    <t>Term:</t>
  </si>
  <si>
    <t>15 Years</t>
  </si>
  <si>
    <t>Contract Price = A * B / C, where</t>
  </si>
  <si>
    <t>A = Monthly Base Price</t>
  </si>
  <si>
    <t>B = Current Month Gas Price Index</t>
  </si>
  <si>
    <t>C = Monthly Base Gas Price Index</t>
  </si>
  <si>
    <t>Maximum Daily Quantity (MDQ):</t>
  </si>
  <si>
    <t>MMBtu/d</t>
  </si>
  <si>
    <t>Minimum Monthly Purchase Obligation:</t>
  </si>
  <si>
    <t>Greater of 70% of MDQ or Nominated Quantity</t>
  </si>
  <si>
    <t>Demand Charge:</t>
  </si>
  <si>
    <t>Price Discount (purchases &gt; 70% of MDQ):</t>
  </si>
  <si>
    <t>Twice/Mth Buyer, with 3 days notice, may reduce Nominations, subject to Minimum Purchase</t>
  </si>
  <si>
    <t>Increasing Nomination is subject to Approval of Seller</t>
  </si>
  <si>
    <t>Purchase Strategy:  Buy MDQ or Minimum Daily Quantity</t>
  </si>
  <si>
    <t>A</t>
  </si>
  <si>
    <t>C</t>
  </si>
  <si>
    <t>A / C</t>
  </si>
  <si>
    <t>Month</t>
  </si>
  <si>
    <t>Monthly</t>
  </si>
  <si>
    <t>Demand</t>
  </si>
  <si>
    <t>Discount</t>
  </si>
  <si>
    <t>Price</t>
  </si>
  <si>
    <t>UPF</t>
  </si>
  <si>
    <t>Valuation @</t>
  </si>
  <si>
    <t>per MMBtu</t>
  </si>
  <si>
    <t>Base</t>
  </si>
  <si>
    <t>Index</t>
  </si>
  <si>
    <t>Charge</t>
  </si>
  <si>
    <t>Applied</t>
  </si>
  <si>
    <t>Relative</t>
  </si>
  <si>
    <t>Purchase</t>
  </si>
  <si>
    <t>100% UPF;</t>
  </si>
  <si>
    <t>70% UPF:</t>
  </si>
  <si>
    <t>Benefit</t>
  </si>
  <si>
    <t>Gas Price</t>
  </si>
  <si>
    <t>Adder</t>
  </si>
  <si>
    <t>to Takes &gt;</t>
  </si>
  <si>
    <t>to Index</t>
  </si>
  <si>
    <t>Strategy</t>
  </si>
  <si>
    <t>0% Market</t>
  </si>
  <si>
    <t>30% Market</t>
  </si>
  <si>
    <t>of</t>
  </si>
  <si>
    <t>$/MMBtu</t>
  </si>
  <si>
    <t>(A / C)</t>
  </si>
  <si>
    <t>to MDQ</t>
  </si>
  <si>
    <t>70% MDQ</t>
  </si>
  <si>
    <t>@ 100% LF</t>
  </si>
  <si>
    <t>@ 70% LF</t>
  </si>
  <si>
    <t>(% of MDQ)</t>
  </si>
  <si>
    <t>@ Index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</si>
  <si>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</si>
  <si>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</si>
  <si>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</si>
  <si>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</si>
  <si>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</si>
  <si>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</si>
  <si>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</si>
  <si>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</si>
  <si>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</si>
  <si>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</si>
  <si>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</si>
  <si>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</si>
  <si>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TOTAL:</t>
  </si>
  <si>
    <t>El Paso Natural Gas (EPNG) Transport</t>
  </si>
  <si>
    <t>15 years</t>
  </si>
  <si>
    <t>Capacity:</t>
  </si>
  <si>
    <t>MMBtu/d @ Topock</t>
  </si>
  <si>
    <t>B</t>
  </si>
  <si>
    <t>C=(A+B)*12/365</t>
  </si>
  <si>
    <t>D</t>
  </si>
  <si>
    <t>E</t>
  </si>
  <si>
    <t>F=C+D+E</t>
  </si>
  <si>
    <t>G</t>
  </si>
  <si>
    <t>Rate</t>
  </si>
  <si>
    <t>Add-On</t>
  </si>
  <si>
    <t>Commodity</t>
  </si>
  <si>
    <t>AGA +</t>
  </si>
  <si>
    <t>Total</t>
  </si>
  <si>
    <t>Fuel</t>
  </si>
  <si>
    <t>$/Dth/Mth</t>
  </si>
  <si>
    <t>GRI</t>
  </si>
  <si>
    <t>Cost</t>
  </si>
  <si>
    <t>to CA</t>
  </si>
  <si>
    <t>Commoditized</t>
  </si>
  <si>
    <t>@ 100%</t>
  </si>
  <si>
    <t>Border</t>
  </si>
  <si>
    <t>LF</t>
  </si>
  <si>
    <t>FT-1</t>
  </si>
  <si>
    <t>Kern River Pipeline (KRPL) Transport</t>
  </si>
  <si>
    <t>Surcharge</t>
  </si>
  <si>
    <t>KRF-1</t>
  </si>
  <si>
    <t>Mojave Pipeline Co. Transport</t>
  </si>
  <si>
    <t>LADWP's Natural Gas Fired Generation Facilities</t>
  </si>
  <si>
    <t>Facility</t>
  </si>
  <si>
    <t>Unit</t>
  </si>
  <si>
    <t>Capacity</t>
  </si>
  <si>
    <t>Year of</t>
  </si>
  <si>
    <t>Name</t>
  </si>
  <si>
    <t>Number</t>
  </si>
  <si>
    <t>MW</t>
  </si>
  <si>
    <t>Initial</t>
  </si>
  <si>
    <t>Operation</t>
  </si>
  <si>
    <t>Harbor Glen Stn</t>
  </si>
  <si>
    <t>GT6</t>
  </si>
  <si>
    <t>Natural Gas</t>
  </si>
  <si>
    <t>GT7</t>
  </si>
  <si>
    <t>GT8</t>
  </si>
  <si>
    <t>GT9</t>
  </si>
  <si>
    <t>Natural Gas (Out of Service)</t>
  </si>
  <si>
    <t>Haynes Gen Stn</t>
  </si>
  <si>
    <t>Scattergood Gen Stn</t>
  </si>
  <si>
    <t>Valley Gen Station</t>
  </si>
  <si>
    <t>Natural Gas-Deactivated</t>
  </si>
  <si>
    <t>Cost @</t>
  </si>
  <si>
    <t>Year</t>
  </si>
  <si>
    <t>Factor</t>
  </si>
  <si>
    <t>Cash</t>
  </si>
  <si>
    <t>Flow</t>
  </si>
  <si>
    <t>Discounted</t>
  </si>
  <si>
    <t>Cumulative</t>
  </si>
  <si>
    <t>to 70% of</t>
  </si>
  <si>
    <t>MDQ</t>
  </si>
  <si>
    <t>Premium to</t>
  </si>
  <si>
    <t>Market or</t>
  </si>
  <si>
    <t>Index Price</t>
  </si>
  <si>
    <t>of Gas</t>
  </si>
  <si>
    <t>Index Price: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</si>
</sst>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$&quot;#,##0_);\(&quot;$&quot;#,##0\)"/>
    <numFmt numFmtId="7" formatCode="&quot;$&quot;#,##0.00_);\(&quot;$&quot;#,##0.00\)"/>
    <numFmt numFmtId="164" formatCode="0.0%"/>
    <numFmt numFmtId="165" formatCode="&quot;$&quot;#,##0.0_);\(&quot;$&quot;#,##0.0\)"/>
    <numFmt numFmtId="167" formatCode="&quot;$&quot;#,##0.0000_);\(&quot;$&quot;#,##0.0000\)"/>
    <numFmt numFmtId="170" formatCode="&quot;$&quot;#,##0.00000_);\(&quot;$&quot;#,##0.00000\)"/>
    <numFmt numFmtId="171" formatCode="0.0"/>
  </numFmts>
  <fonts count="10" x14ac:knownFonts="1">
    <font>
      <sz val="10"/>
      <name val="Arial"/>
    </font>
    <font>
      <b/>
      <sz val="10"/>
      <name val="Arial"/>
    </font>
    <font>
      <b/>
      <sz val="22"/>
      <name val="Arial"/>
      <family val="2"/>
    </font>
    <font>
      <sz val="2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7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1" fillId="0" borderId="1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1" fillId="0" borderId="6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7" fontId="0" fillId="0" borderId="0" xfId="0" applyNumberFormat="1" applyAlignment="1">
      <alignment horizontal="center"/>
    </xf>
    <xf numFmtId="0" fontId="1" fillId="0" borderId="7" xfId="0" applyFont="1" applyBorder="1" applyAlignment="1">
      <alignment horizontal="centerContinuous"/>
    </xf>
    <xf numFmtId="9" fontId="0" fillId="0" borderId="4" xfId="0" applyNumberFormat="1" applyBorder="1" applyAlignment="1">
      <alignment horizontal="centerContinuous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Continuous"/>
    </xf>
    <xf numFmtId="0" fontId="5" fillId="0" borderId="5" xfId="0" applyFont="1" applyBorder="1" applyAlignment="1">
      <alignment horizontal="centerContinuous"/>
    </xf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1" fillId="0" borderId="9" xfId="0" applyFont="1" applyBorder="1" applyAlignment="1">
      <alignment horizontal="center"/>
    </xf>
    <xf numFmtId="10" fontId="1" fillId="0" borderId="8" xfId="0" applyNumberFormat="1" applyFont="1" applyBorder="1" applyAlignment="1">
      <alignment horizontal="center"/>
    </xf>
    <xf numFmtId="5" fontId="0" fillId="0" borderId="0" xfId="0" applyNumberFormat="1" applyAlignment="1">
      <alignment horizontal="center"/>
    </xf>
    <xf numFmtId="10" fontId="1" fillId="0" borderId="7" xfId="0" quotePrefix="1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0" fontId="1" fillId="0" borderId="1" xfId="0" quotePrefix="1" applyNumberFormat="1" applyFont="1" applyBorder="1" applyAlignment="1">
      <alignment horizontal="center"/>
    </xf>
    <xf numFmtId="9" fontId="1" fillId="0" borderId="10" xfId="0" quotePrefix="1" applyNumberFormat="1" applyFont="1" applyBorder="1" applyAlignment="1">
      <alignment horizontal="center"/>
    </xf>
    <xf numFmtId="10" fontId="1" fillId="0" borderId="11" xfId="0" applyNumberFormat="1" applyFont="1" applyBorder="1" applyAlignment="1">
      <alignment horizontal="center"/>
    </xf>
    <xf numFmtId="9" fontId="1" fillId="0" borderId="12" xfId="0" quotePrefix="1" applyNumberFormat="1" applyFont="1" applyBorder="1" applyAlignment="1">
      <alignment horizontal="center"/>
    </xf>
    <xf numFmtId="7" fontId="1" fillId="0" borderId="4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5" fontId="5" fillId="0" borderId="0" xfId="0" applyNumberFormat="1" applyFont="1" applyAlignment="1">
      <alignment horizontal="center"/>
    </xf>
    <xf numFmtId="5" fontId="1" fillId="0" borderId="5" xfId="0" applyNumberFormat="1" applyFont="1" applyBorder="1" applyAlignment="1">
      <alignment horizontal="center"/>
    </xf>
    <xf numFmtId="5" fontId="1" fillId="0" borderId="11" xfId="0" applyNumberFormat="1" applyFont="1" applyBorder="1" applyAlignment="1">
      <alignment horizontal="center"/>
    </xf>
    <xf numFmtId="5" fontId="1" fillId="0" borderId="12" xfId="0" applyNumberFormat="1" applyFont="1" applyBorder="1" applyAlignment="1">
      <alignment horizontal="center"/>
    </xf>
    <xf numFmtId="5" fontId="1" fillId="0" borderId="13" xfId="0" applyNumberFormat="1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5" fontId="0" fillId="0" borderId="10" xfId="0" applyNumberFormat="1" applyBorder="1" applyAlignment="1">
      <alignment horizontal="center"/>
    </xf>
    <xf numFmtId="5" fontId="0" fillId="0" borderId="7" xfId="0" applyNumberFormat="1" applyBorder="1" applyAlignment="1">
      <alignment horizontal="center"/>
    </xf>
    <xf numFmtId="5" fontId="0" fillId="0" borderId="12" xfId="0" applyNumberFormat="1" applyBorder="1" applyAlignment="1">
      <alignment horizontal="center"/>
    </xf>
    <xf numFmtId="5" fontId="0" fillId="0" borderId="13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5" fontId="0" fillId="0" borderId="4" xfId="0" applyNumberFormat="1" applyBorder="1" applyAlignment="1">
      <alignment horizontal="center"/>
    </xf>
    <xf numFmtId="5" fontId="0" fillId="0" borderId="6" xfId="0" applyNumberFormat="1" applyBorder="1" applyAlignment="1">
      <alignment horizontal="center"/>
    </xf>
    <xf numFmtId="0" fontId="1" fillId="0" borderId="3" xfId="0" applyFont="1" applyBorder="1" applyAlignment="1">
      <alignment horizontal="center"/>
    </xf>
    <xf numFmtId="5" fontId="0" fillId="0" borderId="1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0" xfId="0" quotePrefix="1" applyFont="1" applyBorder="1" applyAlignment="1">
      <alignment horizontal="center"/>
    </xf>
    <xf numFmtId="0" fontId="1" fillId="0" borderId="15" xfId="0" quotePrefix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7" fontId="0" fillId="0" borderId="12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2" xfId="0" quotePrefix="1" applyFon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0" fontId="3" fillId="0" borderId="0" xfId="0" applyNumberFormat="1" applyFont="1" applyAlignment="1">
      <alignment horizontal="centerContinuous"/>
    </xf>
    <xf numFmtId="5" fontId="3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"/>
    </xf>
    <xf numFmtId="10" fontId="1" fillId="0" borderId="10" xfId="0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1" fillId="0" borderId="8" xfId="0" applyFont="1" applyBorder="1" applyAlignment="1"/>
    <xf numFmtId="0" fontId="4" fillId="0" borderId="8" xfId="0" applyFont="1" applyBorder="1" applyAlignment="1"/>
    <xf numFmtId="0" fontId="5" fillId="0" borderId="0" xfId="0" applyFont="1" applyBorder="1" applyAlignment="1">
      <alignment horizontal="centerContinuous"/>
    </xf>
    <xf numFmtId="9" fontId="0" fillId="0" borderId="5" xfId="0" applyNumberFormat="1" applyBorder="1" applyAlignment="1">
      <alignment horizontal="centerContinuous"/>
    </xf>
    <xf numFmtId="0" fontId="1" fillId="0" borderId="10" xfId="0" applyFont="1" applyBorder="1" applyAlignment="1">
      <alignment horizontal="centerContinuous"/>
    </xf>
    <xf numFmtId="0" fontId="0" fillId="0" borderId="4" xfId="0" applyBorder="1" applyAlignment="1"/>
    <xf numFmtId="15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left"/>
    </xf>
    <xf numFmtId="15" fontId="0" fillId="0" borderId="5" xfId="0" applyNumberFormat="1" applyBorder="1" applyAlignment="1">
      <alignment horizontal="center"/>
    </xf>
    <xf numFmtId="0" fontId="1" fillId="0" borderId="8" xfId="0" applyFont="1" applyBorder="1" applyAlignment="1">
      <alignment horizontal="center"/>
    </xf>
    <xf numFmtId="170" fontId="0" fillId="0" borderId="8" xfId="0" applyNumberFormat="1" applyBorder="1" applyAlignment="1">
      <alignment horizontal="center"/>
    </xf>
    <xf numFmtId="170" fontId="0" fillId="0" borderId="6" xfId="0" applyNumberFormat="1" applyBorder="1" applyAlignment="1">
      <alignment horizontal="center"/>
    </xf>
    <xf numFmtId="0" fontId="1" fillId="0" borderId="6" xfId="0" quotePrefix="1" applyFont="1" applyBorder="1" applyAlignment="1">
      <alignment horizontal="center"/>
    </xf>
    <xf numFmtId="167" fontId="0" fillId="0" borderId="8" xfId="0" applyNumberFormat="1" applyBorder="1" applyAlignment="1">
      <alignment horizontal="center"/>
    </xf>
    <xf numFmtId="170" fontId="0" fillId="0" borderId="4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0" fontId="6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171" fontId="0" fillId="0" borderId="0" xfId="0" applyNumberFormat="1" applyAlignment="1">
      <alignment horizontal="centerContinuous"/>
    </xf>
    <xf numFmtId="171" fontId="0" fillId="0" borderId="0" xfId="0" applyNumberFormat="1" applyAlignment="1">
      <alignment horizontal="center"/>
    </xf>
    <xf numFmtId="3" fontId="1" fillId="0" borderId="11" xfId="0" applyNumberFormat="1" applyFont="1" applyBorder="1" applyAlignment="1">
      <alignment horizontal="center"/>
    </xf>
    <xf numFmtId="165" fontId="1" fillId="0" borderId="11" xfId="0" applyNumberFormat="1" applyFont="1" applyBorder="1" applyAlignment="1">
      <alignment horizontal="center"/>
    </xf>
    <xf numFmtId="171" fontId="1" fillId="0" borderId="11" xfId="0" applyNumberFormat="1" applyFont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65" fontId="1" fillId="0" borderId="12" xfId="0" applyNumberFormat="1" applyFont="1" applyBorder="1" applyAlignment="1">
      <alignment horizontal="center"/>
    </xf>
    <xf numFmtId="171" fontId="1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165" fontId="1" fillId="0" borderId="13" xfId="0" applyNumberFormat="1" applyFont="1" applyBorder="1" applyAlignment="1">
      <alignment horizontal="center"/>
    </xf>
    <xf numFmtId="171" fontId="1" fillId="0" borderId="13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0" fillId="0" borderId="6" xfId="0" applyBorder="1"/>
    <xf numFmtId="3" fontId="0" fillId="0" borderId="6" xfId="0" applyNumberFormat="1" applyBorder="1" applyAlignment="1">
      <alignment horizontal="center"/>
    </xf>
    <xf numFmtId="7" fontId="0" fillId="0" borderId="8" xfId="0" applyNumberFormat="1" applyBorder="1" applyAlignment="1">
      <alignment horizontal="center"/>
    </xf>
    <xf numFmtId="167" fontId="0" fillId="0" borderId="4" xfId="0" applyNumberFormat="1" applyBorder="1" applyAlignment="1">
      <alignment horizontal="center"/>
    </xf>
    <xf numFmtId="0" fontId="0" fillId="0" borderId="4" xfId="0" applyBorder="1"/>
    <xf numFmtId="0" fontId="1" fillId="0" borderId="10" xfId="0" applyFont="1" applyBorder="1" applyAlignment="1"/>
    <xf numFmtId="164" fontId="0" fillId="0" borderId="15" xfId="0" applyNumberFormat="1" applyBorder="1" applyAlignment="1">
      <alignment horizontal="center"/>
    </xf>
    <xf numFmtId="5" fontId="9" fillId="0" borderId="11" xfId="0" applyNumberFormat="1" applyFont="1" applyBorder="1" applyAlignment="1">
      <alignment horizontal="center"/>
    </xf>
    <xf numFmtId="5" fontId="9" fillId="0" borderId="12" xfId="0" applyNumberFormat="1" applyFont="1" applyBorder="1" applyAlignment="1">
      <alignment horizontal="center"/>
    </xf>
    <xf numFmtId="10" fontId="0" fillId="0" borderId="14" xfId="0" applyNumberFormat="1" applyBorder="1" applyAlignment="1">
      <alignment horizontal="centerContinuous"/>
    </xf>
    <xf numFmtId="10" fontId="0" fillId="0" borderId="0" xfId="0" applyNumberFormat="1" applyBorder="1" applyAlignment="1"/>
    <xf numFmtId="10" fontId="0" fillId="0" borderId="15" xfId="0" applyNumberFormat="1" applyBorder="1" applyAlignment="1">
      <alignment horizontal="centerContinuous"/>
    </xf>
    <xf numFmtId="10" fontId="0" fillId="0" borderId="9" xfId="0" applyNumberFormat="1" applyBorder="1" applyAlignment="1">
      <alignment horizontal="centerContinuous"/>
    </xf>
    <xf numFmtId="10" fontId="0" fillId="0" borderId="4" xfId="0" applyNumberFormat="1" applyBorder="1" applyAlignment="1"/>
    <xf numFmtId="10" fontId="0" fillId="0" borderId="4" xfId="0" applyNumberFormat="1" applyBorder="1"/>
    <xf numFmtId="10" fontId="0" fillId="0" borderId="0" xfId="0" applyNumberFormat="1"/>
    <xf numFmtId="10" fontId="1" fillId="0" borderId="6" xfId="0" applyNumberFormat="1" applyFont="1" applyBorder="1" applyAlignment="1">
      <alignment horizontal="center"/>
    </xf>
    <xf numFmtId="10" fontId="1" fillId="0" borderId="2" xfId="0" applyNumberFormat="1" applyFont="1" applyBorder="1" applyAlignment="1">
      <alignment horizontal="center"/>
    </xf>
    <xf numFmtId="10" fontId="1" fillId="0" borderId="12" xfId="0" applyNumberFormat="1" applyFont="1" applyBorder="1" applyAlignment="1">
      <alignment horizontal="center"/>
    </xf>
    <xf numFmtId="10" fontId="1" fillId="0" borderId="0" xfId="0" applyNumberFormat="1" applyFont="1" applyBorder="1" applyAlignment="1">
      <alignment horizontal="center"/>
    </xf>
    <xf numFmtId="10" fontId="1" fillId="0" borderId="12" xfId="0" quotePrefix="1" applyNumberFormat="1" applyFont="1" applyBorder="1" applyAlignment="1">
      <alignment horizontal="center"/>
    </xf>
    <xf numFmtId="10" fontId="1" fillId="0" borderId="13" xfId="0" applyNumberFormat="1" applyFont="1" applyBorder="1" applyAlignment="1">
      <alignment horizontal="center"/>
    </xf>
    <xf numFmtId="10" fontId="1" fillId="0" borderId="3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10" fontId="8" fillId="0" borderId="14" xfId="0" applyNumberFormat="1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0" fontId="8" fillId="0" borderId="15" xfId="0" applyNumberFormat="1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0" fontId="8" fillId="0" borderId="9" xfId="0" applyNumberFormat="1" applyFont="1" applyBorder="1" applyAlignment="1">
      <alignment horizontal="center"/>
    </xf>
    <xf numFmtId="5" fontId="0" fillId="0" borderId="2" xfId="0" applyNumberFormat="1" applyBorder="1" applyAlignment="1">
      <alignment horizontal="center"/>
    </xf>
    <xf numFmtId="5" fontId="0" fillId="0" borderId="14" xfId="0" applyNumberFormat="1" applyBorder="1" applyAlignment="1">
      <alignment horizontal="center"/>
    </xf>
    <xf numFmtId="5" fontId="0" fillId="0" borderId="0" xfId="0" applyNumberFormat="1" applyBorder="1" applyAlignment="1">
      <alignment horizontal="center"/>
    </xf>
    <xf numFmtId="5" fontId="0" fillId="0" borderId="15" xfId="0" applyNumberFormat="1" applyBorder="1" applyAlignment="1">
      <alignment horizontal="center"/>
    </xf>
    <xf numFmtId="5" fontId="0" fillId="0" borderId="3" xfId="0" applyNumberFormat="1" applyBorder="1" applyAlignment="1">
      <alignment horizontal="center"/>
    </xf>
    <xf numFmtId="5" fontId="0" fillId="0" borderId="9" xfId="0" applyNumberForma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164" fontId="8" fillId="0" borderId="12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8" fillId="0" borderId="11" xfId="0" applyNumberFormat="1" applyFont="1" applyBorder="1" applyAlignment="1">
      <alignment horizontal="center"/>
    </xf>
    <xf numFmtId="10" fontId="8" fillId="0" borderId="12" xfId="0" applyNumberFormat="1" applyFont="1" applyBorder="1" applyAlignment="1">
      <alignment horizontal="center"/>
    </xf>
    <xf numFmtId="10" fontId="8" fillId="0" borderId="13" xfId="0" applyNumberFormat="1" applyFont="1" applyBorder="1" applyAlignment="1">
      <alignment horizontal="center"/>
    </xf>
    <xf numFmtId="5" fontId="8" fillId="0" borderId="6" xfId="0" applyNumberFormat="1" applyFont="1" applyBorder="1" applyAlignment="1">
      <alignment horizontal="center"/>
    </xf>
    <xf numFmtId="37" fontId="0" fillId="0" borderId="4" xfId="0" applyNumberFormat="1" applyBorder="1" applyAlignment="1">
      <alignment horizontal="center"/>
    </xf>
    <xf numFmtId="7" fontId="1" fillId="0" borderId="0" xfId="0" applyNumberFormat="1" applyFont="1" applyBorder="1" applyAlignment="1">
      <alignment horizontal="center"/>
    </xf>
    <xf numFmtId="9" fontId="1" fillId="0" borderId="0" xfId="0" quotePrefix="1" applyNumberFormat="1" applyFont="1" applyBorder="1" applyAlignment="1">
      <alignment horizontal="center"/>
    </xf>
    <xf numFmtId="10" fontId="1" fillId="0" borderId="0" xfId="0" quotePrefix="1" applyNumberFormat="1" applyFont="1" applyBorder="1" applyAlignment="1">
      <alignment horizontal="center"/>
    </xf>
    <xf numFmtId="5" fontId="9" fillId="0" borderId="0" xfId="0" applyNumberFormat="1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10" fontId="1" fillId="0" borderId="7" xfId="0" applyNumberFormat="1" applyFon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0" fontId="1" fillId="0" borderId="1" xfId="0" applyFont="1" applyBorder="1" applyAlignment="1"/>
    <xf numFmtId="0" fontId="0" fillId="0" borderId="2" xfId="0" applyBorder="1"/>
    <xf numFmtId="10" fontId="0" fillId="0" borderId="2" xfId="0" applyNumberFormat="1" applyBorder="1"/>
    <xf numFmtId="164" fontId="0" fillId="0" borderId="14" xfId="0" applyNumberFormat="1" applyBorder="1" applyAlignment="1">
      <alignment horizontal="center"/>
    </xf>
    <xf numFmtId="7" fontId="0" fillId="0" borderId="4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5" fontId="0" fillId="0" borderId="8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opLeftCell="A25" workbookViewId="0">
      <selection activeCell="B41" sqref="B41"/>
    </sheetView>
  </sheetViews>
  <sheetFormatPr defaultRowHeight="12.75" x14ac:dyDescent="0.2"/>
  <cols>
    <col min="2" max="2" width="10.42578125" customWidth="1"/>
    <col min="3" max="3" width="14.85546875" customWidth="1"/>
    <col min="4" max="4" width="12.28515625" customWidth="1"/>
    <col min="5" max="5" width="12.85546875" customWidth="1"/>
    <col min="6" max="6" width="11" customWidth="1"/>
    <col min="7" max="7" width="11.7109375" customWidth="1"/>
    <col min="9" max="9" width="12.85546875" customWidth="1"/>
    <col min="10" max="10" width="11.85546875" customWidth="1"/>
  </cols>
  <sheetData>
    <row r="1" spans="1:11" ht="27.75" x14ac:dyDescent="0.4">
      <c r="A1" s="17" t="s">
        <v>0</v>
      </c>
      <c r="B1" s="18"/>
      <c r="C1" s="18"/>
      <c r="D1" s="72"/>
      <c r="E1" s="72"/>
      <c r="F1" s="18"/>
      <c r="G1" s="18"/>
      <c r="H1" s="18"/>
      <c r="I1" s="18"/>
      <c r="J1" s="74"/>
      <c r="K1" s="74"/>
    </row>
    <row r="2" spans="1:11" ht="27.75" x14ac:dyDescent="0.4">
      <c r="A2" s="17" t="s">
        <v>1</v>
      </c>
      <c r="B2" s="18"/>
      <c r="C2" s="18"/>
      <c r="D2" s="72"/>
      <c r="E2" s="72"/>
      <c r="F2" s="18"/>
      <c r="G2" s="18"/>
      <c r="H2" s="18"/>
      <c r="I2" s="18"/>
      <c r="J2" s="74"/>
      <c r="K2" s="74"/>
    </row>
    <row r="3" spans="1:11" ht="27.75" x14ac:dyDescent="0.4">
      <c r="A3" s="17" t="s">
        <v>2</v>
      </c>
      <c r="B3" s="18"/>
      <c r="C3" s="18"/>
      <c r="D3" s="72"/>
      <c r="E3" s="72"/>
      <c r="F3" s="18"/>
      <c r="G3" s="18"/>
      <c r="H3" s="18"/>
      <c r="I3" s="18"/>
      <c r="J3" s="74"/>
      <c r="K3" s="74"/>
    </row>
    <row r="4" spans="1:11" ht="27.75" x14ac:dyDescent="0.4">
      <c r="A4" s="17" t="s">
        <v>3</v>
      </c>
      <c r="B4" s="18"/>
      <c r="C4" s="18"/>
      <c r="D4" s="72"/>
      <c r="E4" s="72"/>
      <c r="F4" s="18"/>
      <c r="G4" s="18"/>
      <c r="H4" s="18"/>
      <c r="I4" s="18"/>
      <c r="J4" s="74"/>
      <c r="K4" s="74"/>
    </row>
    <row r="5" spans="1:11" ht="13.5" thickBot="1" x14ac:dyDescent="0.25">
      <c r="A5" s="1"/>
      <c r="B5" s="1"/>
      <c r="C5" s="1"/>
      <c r="D5" s="6"/>
      <c r="E5" s="6"/>
      <c r="F5" s="1"/>
      <c r="G5" s="1"/>
      <c r="H5" s="1"/>
      <c r="I5" s="1"/>
      <c r="J5" s="1"/>
      <c r="K5" s="1"/>
    </row>
    <row r="6" spans="1:11" ht="13.5" thickBot="1" x14ac:dyDescent="0.25">
      <c r="A6" s="25" t="s">
        <v>4</v>
      </c>
      <c r="B6" s="84"/>
      <c r="C6" s="85">
        <v>34151</v>
      </c>
      <c r="D6" s="6"/>
      <c r="E6" s="6"/>
      <c r="F6" s="1"/>
      <c r="G6" s="1"/>
      <c r="H6" s="1"/>
      <c r="I6" s="1"/>
      <c r="J6" s="1"/>
      <c r="K6" s="1"/>
    </row>
    <row r="7" spans="1:11" ht="13.5" thickBot="1" x14ac:dyDescent="0.25">
      <c r="A7" s="86" t="s">
        <v>5</v>
      </c>
      <c r="B7" s="21" t="s">
        <v>6</v>
      </c>
      <c r="C7" s="1"/>
      <c r="D7" s="6"/>
      <c r="E7" s="6"/>
      <c r="F7" s="1"/>
      <c r="G7" s="1"/>
      <c r="H7" s="1"/>
      <c r="I7" s="1"/>
      <c r="J7" s="1"/>
      <c r="K7" s="1"/>
    </row>
    <row r="8" spans="1:11" x14ac:dyDescent="0.2">
      <c r="A8" s="9" t="s">
        <v>7</v>
      </c>
      <c r="B8" s="10"/>
      <c r="C8" s="11"/>
      <c r="D8" s="119"/>
      <c r="E8" s="120"/>
      <c r="F8" s="16"/>
      <c r="G8" s="16"/>
      <c r="H8" s="16"/>
      <c r="I8" s="1"/>
      <c r="J8" s="1"/>
      <c r="K8" s="1"/>
    </row>
    <row r="9" spans="1:11" x14ac:dyDescent="0.2">
      <c r="A9" s="81" t="s">
        <v>8</v>
      </c>
      <c r="B9" s="12"/>
      <c r="C9" s="12"/>
      <c r="D9" s="121"/>
      <c r="E9" s="120"/>
      <c r="F9" s="16"/>
      <c r="G9" s="16"/>
      <c r="H9" s="16"/>
      <c r="I9" s="1"/>
      <c r="J9" s="1"/>
      <c r="K9" s="1"/>
    </row>
    <row r="10" spans="1:11" x14ac:dyDescent="0.2">
      <c r="A10" s="81" t="s">
        <v>9</v>
      </c>
      <c r="B10" s="12"/>
      <c r="C10" s="12"/>
      <c r="D10" s="121"/>
      <c r="E10" s="120"/>
      <c r="F10" s="16"/>
      <c r="G10" s="16"/>
      <c r="H10" s="16"/>
      <c r="I10" s="1"/>
      <c r="J10" s="1"/>
      <c r="K10" s="1"/>
    </row>
    <row r="11" spans="1:11" ht="13.5" thickBot="1" x14ac:dyDescent="0.25">
      <c r="A11" s="23" t="s">
        <v>10</v>
      </c>
      <c r="B11" s="13"/>
      <c r="C11" s="13"/>
      <c r="D11" s="122"/>
      <c r="E11" s="120"/>
      <c r="F11" s="16"/>
      <c r="G11" s="16"/>
      <c r="H11" s="16"/>
      <c r="I11" s="1"/>
      <c r="J11" s="1"/>
      <c r="K11" s="1"/>
    </row>
    <row r="12" spans="1:11" ht="13.5" thickBot="1" x14ac:dyDescent="0.25">
      <c r="A12" s="77" t="s">
        <v>11</v>
      </c>
      <c r="B12" s="82"/>
      <c r="C12" s="82"/>
      <c r="D12" s="123"/>
      <c r="E12" s="160">
        <v>50900</v>
      </c>
      <c r="F12" s="21" t="s">
        <v>12</v>
      </c>
      <c r="G12" s="16"/>
      <c r="H12" s="16"/>
      <c r="I12" s="1"/>
      <c r="J12" s="1"/>
      <c r="K12" s="1"/>
    </row>
    <row r="13" spans="1:11" ht="13.5" thickBot="1" x14ac:dyDescent="0.25">
      <c r="A13" s="169" t="s">
        <v>15</v>
      </c>
      <c r="B13" s="10"/>
      <c r="C13" s="170"/>
      <c r="D13" s="171"/>
      <c r="E13" s="172">
        <v>0.04</v>
      </c>
      <c r="G13" s="16"/>
      <c r="H13" s="16"/>
      <c r="I13" s="1"/>
      <c r="J13" s="1"/>
      <c r="K13" s="1"/>
    </row>
    <row r="14" spans="1:11" ht="13.5" thickBot="1" x14ac:dyDescent="0.25">
      <c r="A14" s="77" t="s">
        <v>132</v>
      </c>
      <c r="B14" s="14"/>
      <c r="C14" s="114"/>
      <c r="D14" s="124"/>
      <c r="E14" s="173">
        <v>2</v>
      </c>
      <c r="F14" s="76" t="s">
        <v>30</v>
      </c>
      <c r="G14" s="16"/>
      <c r="H14" s="16"/>
      <c r="I14" s="1"/>
      <c r="J14" s="1"/>
      <c r="K14" s="1"/>
    </row>
    <row r="15" spans="1:11" ht="13.5" thickBot="1" x14ac:dyDescent="0.25">
      <c r="A15" s="1"/>
      <c r="B15" s="1"/>
      <c r="C15" s="1"/>
      <c r="D15" s="6"/>
      <c r="E15" s="6"/>
      <c r="F15" s="1"/>
      <c r="G15" s="1"/>
      <c r="H15" s="1"/>
      <c r="I15" s="1"/>
      <c r="J15" s="1"/>
      <c r="K15" s="1"/>
    </row>
    <row r="16" spans="1:11" x14ac:dyDescent="0.2">
      <c r="A16" s="40" t="s">
        <v>23</v>
      </c>
      <c r="B16" s="165" t="s">
        <v>25</v>
      </c>
      <c r="C16" s="40" t="s">
        <v>128</v>
      </c>
      <c r="D16" s="161"/>
      <c r="E16" s="34"/>
      <c r="K16" s="5"/>
    </row>
    <row r="17" spans="1:11" x14ac:dyDescent="0.2">
      <c r="A17" s="41"/>
      <c r="B17" s="75" t="s">
        <v>33</v>
      </c>
      <c r="C17" s="41" t="s">
        <v>129</v>
      </c>
      <c r="D17" s="129"/>
      <c r="E17" s="34"/>
      <c r="K17" s="5"/>
    </row>
    <row r="18" spans="1:11" x14ac:dyDescent="0.2">
      <c r="A18" s="41"/>
      <c r="B18" s="75" t="s">
        <v>34</v>
      </c>
      <c r="C18" s="41" t="s">
        <v>130</v>
      </c>
      <c r="D18" s="162"/>
      <c r="E18" s="34"/>
      <c r="K18" s="5"/>
    </row>
    <row r="19" spans="1:11" x14ac:dyDescent="0.2">
      <c r="A19" s="41"/>
      <c r="B19" s="75" t="s">
        <v>126</v>
      </c>
      <c r="C19" s="41" t="s">
        <v>131</v>
      </c>
      <c r="D19" s="129"/>
      <c r="E19" s="34"/>
      <c r="K19" s="5"/>
    </row>
    <row r="20" spans="1:11" ht="13.5" thickBot="1" x14ac:dyDescent="0.25">
      <c r="A20" s="42"/>
      <c r="B20" s="166" t="s">
        <v>127</v>
      </c>
      <c r="C20" s="42"/>
      <c r="D20" s="163"/>
      <c r="E20" s="34"/>
      <c r="K20" s="5"/>
    </row>
    <row r="21" spans="1:11" x14ac:dyDescent="0.2">
      <c r="A21" s="41" t="s">
        <v>56</v>
      </c>
      <c r="B21" s="167">
        <f t="shared" ref="B21:B32" si="0">+$E$13</f>
        <v>0.04</v>
      </c>
      <c r="C21" s="51">
        <f>+$E$14*B21*$E$12*0.7*31</f>
        <v>88362.4</v>
      </c>
      <c r="D21" s="147"/>
      <c r="E21" s="164"/>
      <c r="K21" s="1"/>
    </row>
    <row r="22" spans="1:11" x14ac:dyDescent="0.2">
      <c r="A22" s="41" t="s">
        <v>57</v>
      </c>
      <c r="B22" s="167">
        <f t="shared" si="0"/>
        <v>0.04</v>
      </c>
      <c r="C22" s="51">
        <f>+$E$14*B22*$E$12*0.7*29</f>
        <v>82661.599999999991</v>
      </c>
      <c r="D22" s="147"/>
      <c r="E22" s="164"/>
      <c r="K22" s="1"/>
    </row>
    <row r="23" spans="1:11" x14ac:dyDescent="0.2">
      <c r="A23" s="41" t="s">
        <v>58</v>
      </c>
      <c r="B23" s="167">
        <f t="shared" si="0"/>
        <v>0.04</v>
      </c>
      <c r="C23" s="51">
        <f>+$E$14*B23*$E$12*0.7*31</f>
        <v>88362.4</v>
      </c>
      <c r="D23" s="147"/>
      <c r="E23" s="164"/>
      <c r="K23" s="1"/>
    </row>
    <row r="24" spans="1:11" x14ac:dyDescent="0.2">
      <c r="A24" s="41" t="s">
        <v>59</v>
      </c>
      <c r="B24" s="167">
        <f t="shared" si="0"/>
        <v>0.04</v>
      </c>
      <c r="C24" s="51">
        <f>+$E$14*B24*$E$12*0.7*30</f>
        <v>85511.999999999985</v>
      </c>
      <c r="D24" s="147"/>
      <c r="E24" s="164"/>
      <c r="K24" s="1"/>
    </row>
    <row r="25" spans="1:11" x14ac:dyDescent="0.2">
      <c r="A25" s="41" t="s">
        <v>60</v>
      </c>
      <c r="B25" s="167">
        <f t="shared" si="0"/>
        <v>0.04</v>
      </c>
      <c r="C25" s="51">
        <f>+$E$14*B25*$E$12*0.7*31</f>
        <v>88362.4</v>
      </c>
      <c r="D25" s="147"/>
      <c r="E25" s="164"/>
      <c r="K25" s="1"/>
    </row>
    <row r="26" spans="1:11" x14ac:dyDescent="0.2">
      <c r="A26" s="41" t="s">
        <v>61</v>
      </c>
      <c r="B26" s="167">
        <f t="shared" si="0"/>
        <v>0.04</v>
      </c>
      <c r="C26" s="51">
        <f>+$E$14*B26*$E$12*0.7*30</f>
        <v>85511.999999999985</v>
      </c>
      <c r="D26" s="147"/>
      <c r="E26" s="164"/>
      <c r="K26" s="1"/>
    </row>
    <row r="27" spans="1:11" x14ac:dyDescent="0.2">
      <c r="A27" s="41" t="s">
        <v>62</v>
      </c>
      <c r="B27" s="167">
        <f t="shared" si="0"/>
        <v>0.04</v>
      </c>
      <c r="C27" s="51">
        <f>+$E$14*B27*$E$12*0.7*31</f>
        <v>88362.4</v>
      </c>
      <c r="D27" s="147"/>
      <c r="E27" s="164"/>
      <c r="K27" s="1"/>
    </row>
    <row r="28" spans="1:11" x14ac:dyDescent="0.2">
      <c r="A28" s="41" t="s">
        <v>63</v>
      </c>
      <c r="B28" s="167">
        <f t="shared" si="0"/>
        <v>0.04</v>
      </c>
      <c r="C28" s="51">
        <f>+$E$14*B28*$E$12*0.7*31</f>
        <v>88362.4</v>
      </c>
      <c r="D28" s="147"/>
      <c r="E28" s="164"/>
      <c r="K28" s="1"/>
    </row>
    <row r="29" spans="1:11" x14ac:dyDescent="0.2">
      <c r="A29" s="41" t="s">
        <v>64</v>
      </c>
      <c r="B29" s="167">
        <f t="shared" si="0"/>
        <v>0.04</v>
      </c>
      <c r="C29" s="51">
        <f>+$E$14*B29*$E$12*0.7*30</f>
        <v>85511.999999999985</v>
      </c>
      <c r="D29" s="147"/>
      <c r="E29" s="164"/>
      <c r="K29" s="1"/>
    </row>
    <row r="30" spans="1:11" x14ac:dyDescent="0.2">
      <c r="A30" s="41" t="s">
        <v>65</v>
      </c>
      <c r="B30" s="167">
        <f t="shared" si="0"/>
        <v>0.04</v>
      </c>
      <c r="C30" s="51">
        <f>+$E$14*B30*$E$12*0.7*31</f>
        <v>88362.4</v>
      </c>
      <c r="D30" s="147"/>
      <c r="E30" s="164"/>
      <c r="K30" s="1"/>
    </row>
    <row r="31" spans="1:11" x14ac:dyDescent="0.2">
      <c r="A31" s="41" t="s">
        <v>66</v>
      </c>
      <c r="B31" s="167">
        <f t="shared" si="0"/>
        <v>0.04</v>
      </c>
      <c r="C31" s="51">
        <f>+$E$14*B31*$E$12*0.7*30</f>
        <v>85511.999999999985</v>
      </c>
      <c r="D31" s="147"/>
      <c r="E31" s="164"/>
      <c r="K31" s="1"/>
    </row>
    <row r="32" spans="1:11" ht="13.5" thickBot="1" x14ac:dyDescent="0.25">
      <c r="A32" s="41" t="s">
        <v>67</v>
      </c>
      <c r="B32" s="167">
        <f t="shared" si="0"/>
        <v>0.04</v>
      </c>
      <c r="C32" s="51">
        <f>+$E$14*B32*$E$12*0.7*31</f>
        <v>88362.4</v>
      </c>
      <c r="D32" s="147"/>
      <c r="E32" s="164"/>
      <c r="K32" s="1"/>
    </row>
    <row r="33" spans="1:11" ht="13.5" thickBot="1" x14ac:dyDescent="0.25">
      <c r="A33" s="19" t="s">
        <v>68</v>
      </c>
      <c r="B33" s="168"/>
      <c r="C33" s="55">
        <f>SUM(C21:C32)</f>
        <v>1043246.4</v>
      </c>
      <c r="D33" s="147"/>
      <c r="E33" s="147"/>
      <c r="K33" s="32" t="e">
        <f>+D21+D22+SUM(#REF!)+D31+#REF!</f>
        <v>#REF!</v>
      </c>
    </row>
    <row r="34" spans="1:11" x14ac:dyDescent="0.2">
      <c r="A34" s="1"/>
      <c r="B34" s="1"/>
      <c r="C34" s="1"/>
      <c r="D34" s="6"/>
      <c r="E34" s="6"/>
      <c r="F34" s="1"/>
      <c r="G34" s="1"/>
      <c r="H34" s="1"/>
      <c r="I34" s="1"/>
      <c r="J34" s="1"/>
      <c r="K34" s="1"/>
    </row>
    <row r="35" spans="1:11" x14ac:dyDescent="0.2">
      <c r="A35" s="1"/>
      <c r="B35" s="1"/>
      <c r="C35" s="1"/>
      <c r="D35" s="6"/>
      <c r="E35" s="6"/>
      <c r="F35" s="1"/>
      <c r="G35" s="1"/>
      <c r="H35" s="1"/>
      <c r="I35" s="1"/>
      <c r="J35" s="1"/>
      <c r="K35" s="1"/>
    </row>
    <row r="36" spans="1:11" x14ac:dyDescent="0.2">
      <c r="A36" s="1"/>
      <c r="B36" s="1"/>
      <c r="C36" s="1"/>
      <c r="D36" s="6"/>
      <c r="E36" s="6"/>
      <c r="F36" s="1"/>
      <c r="G36" s="1"/>
      <c r="H36" s="1"/>
      <c r="I36" s="1"/>
      <c r="J36" s="1"/>
      <c r="K36" s="1"/>
    </row>
    <row r="37" spans="1:11" ht="13.5" thickBot="1" x14ac:dyDescent="0.25">
      <c r="A37" s="1"/>
      <c r="B37" s="1"/>
      <c r="C37" s="1"/>
      <c r="D37" s="6"/>
      <c r="E37" s="6"/>
      <c r="F37" s="1"/>
      <c r="G37" s="1"/>
      <c r="H37" s="1"/>
      <c r="I37" s="1"/>
      <c r="J37" s="1"/>
      <c r="K37" s="1"/>
    </row>
    <row r="38" spans="1:11" x14ac:dyDescent="0.2">
      <c r="A38" s="136" t="s">
        <v>120</v>
      </c>
      <c r="B38" s="151" t="s">
        <v>26</v>
      </c>
      <c r="C38" s="137" t="s">
        <v>122</v>
      </c>
      <c r="D38" s="156" t="s">
        <v>124</v>
      </c>
      <c r="E38" s="138" t="s">
        <v>125</v>
      </c>
      <c r="F38" s="1"/>
      <c r="G38" s="1"/>
      <c r="H38" s="1"/>
      <c r="I38" s="1"/>
      <c r="J38" s="1"/>
      <c r="K38" s="1"/>
    </row>
    <row r="39" spans="1:11" x14ac:dyDescent="0.2">
      <c r="A39" s="139"/>
      <c r="B39" s="152" t="s">
        <v>121</v>
      </c>
      <c r="C39" s="140" t="s">
        <v>123</v>
      </c>
      <c r="D39" s="157" t="s">
        <v>122</v>
      </c>
      <c r="E39" s="141" t="s">
        <v>124</v>
      </c>
      <c r="F39" s="1"/>
      <c r="G39" s="1"/>
      <c r="H39" s="1"/>
      <c r="I39" s="1"/>
      <c r="J39" s="1"/>
      <c r="K39" s="1"/>
    </row>
    <row r="40" spans="1:11" x14ac:dyDescent="0.2">
      <c r="A40" s="139"/>
      <c r="B40" s="153">
        <v>0.05</v>
      </c>
      <c r="C40" s="140"/>
      <c r="D40" s="157" t="s">
        <v>123</v>
      </c>
      <c r="E40" s="141" t="s">
        <v>122</v>
      </c>
      <c r="F40" s="1"/>
      <c r="G40" s="1"/>
      <c r="H40" s="1"/>
      <c r="I40" s="1"/>
      <c r="J40" s="1"/>
      <c r="K40" s="1"/>
    </row>
    <row r="41" spans="1:11" ht="13.5" thickBot="1" x14ac:dyDescent="0.25">
      <c r="A41" s="142"/>
      <c r="B41" s="154"/>
      <c r="C41" s="140"/>
      <c r="D41" s="158"/>
      <c r="E41" s="144" t="s">
        <v>123</v>
      </c>
      <c r="F41" s="1"/>
      <c r="G41" s="1"/>
      <c r="H41" s="1"/>
      <c r="I41" s="1"/>
      <c r="J41" s="1"/>
      <c r="K41" s="1"/>
    </row>
    <row r="42" spans="1:11" x14ac:dyDescent="0.2">
      <c r="A42" s="133">
        <v>2000</v>
      </c>
      <c r="B42" s="174">
        <f>EXP(-$B$40*3/2)</f>
        <v>0.92774348632855286</v>
      </c>
      <c r="C42" s="57">
        <f>+$C$33</f>
        <v>1043246.4</v>
      </c>
      <c r="D42" s="146">
        <f>+C42*B42</f>
        <v>967865.05223571206</v>
      </c>
      <c r="E42" s="146">
        <f>+D42</f>
        <v>967865.05223571206</v>
      </c>
      <c r="F42" s="1"/>
      <c r="G42" s="1"/>
      <c r="H42" s="1"/>
      <c r="I42" s="1"/>
      <c r="J42" s="1"/>
      <c r="K42" s="1"/>
    </row>
    <row r="43" spans="1:11" x14ac:dyDescent="0.2">
      <c r="A43" s="134">
        <v>2001</v>
      </c>
      <c r="B43" s="167">
        <f>EXP(-$B$40)*B42</f>
        <v>0.88249690258459534</v>
      </c>
      <c r="C43" s="51">
        <f t="shared" ref="C43:C50" si="1">+$C$33</f>
        <v>1043246.4</v>
      </c>
      <c r="D43" s="148">
        <f t="shared" ref="D43:D50" si="2">+C43*B43</f>
        <v>920661.71663252986</v>
      </c>
      <c r="E43" s="148">
        <f>+E42+D43</f>
        <v>1888526.7688682419</v>
      </c>
      <c r="F43" s="1"/>
      <c r="G43" s="1"/>
      <c r="H43" s="1"/>
      <c r="I43" s="1"/>
      <c r="J43" s="1"/>
      <c r="K43" s="1"/>
    </row>
    <row r="44" spans="1:11" x14ac:dyDescent="0.2">
      <c r="A44" s="134">
        <v>2002</v>
      </c>
      <c r="B44" s="167">
        <f t="shared" ref="B44:B50" si="3">EXP(-$B$40)*B43</f>
        <v>0.83945702076920736</v>
      </c>
      <c r="C44" s="51">
        <f t="shared" si="1"/>
        <v>1043246.4</v>
      </c>
      <c r="D44" s="148">
        <f t="shared" si="2"/>
        <v>875760.51487220079</v>
      </c>
      <c r="E44" s="148">
        <f t="shared" ref="E44:E50" si="4">+E43+D44</f>
        <v>2764287.2837404427</v>
      </c>
      <c r="F44" s="1"/>
      <c r="G44" s="1"/>
      <c r="H44" s="1"/>
      <c r="I44" s="1"/>
      <c r="J44" s="1"/>
      <c r="K44" s="1"/>
    </row>
    <row r="45" spans="1:11" x14ac:dyDescent="0.2">
      <c r="A45" s="134">
        <v>2003</v>
      </c>
      <c r="B45" s="167">
        <f t="shared" si="3"/>
        <v>0.79851621875937706</v>
      </c>
      <c r="C45" s="51">
        <f t="shared" si="1"/>
        <v>1043246.4</v>
      </c>
      <c r="D45" s="148">
        <f t="shared" si="2"/>
        <v>833049.17056233261</v>
      </c>
      <c r="E45" s="148">
        <f t="shared" si="4"/>
        <v>3597336.4543027752</v>
      </c>
      <c r="F45" s="1"/>
      <c r="G45" s="1"/>
      <c r="H45" s="1"/>
      <c r="I45" s="1"/>
      <c r="J45" s="1"/>
      <c r="K45" s="1"/>
    </row>
    <row r="46" spans="1:11" x14ac:dyDescent="0.2">
      <c r="A46" s="134">
        <v>2004</v>
      </c>
      <c r="B46" s="167">
        <f t="shared" si="3"/>
        <v>0.75957212322496848</v>
      </c>
      <c r="C46" s="51">
        <f t="shared" si="1"/>
        <v>1043246.4</v>
      </c>
      <c r="D46" s="148">
        <f t="shared" si="2"/>
        <v>792420.88309480483</v>
      </c>
      <c r="E46" s="148">
        <f t="shared" si="4"/>
        <v>4389757.33739758</v>
      </c>
      <c r="F46" s="1"/>
      <c r="G46" s="1"/>
      <c r="H46" s="1"/>
      <c r="I46" s="1"/>
      <c r="J46" s="1"/>
      <c r="K46" s="1"/>
    </row>
    <row r="47" spans="1:11" x14ac:dyDescent="0.2">
      <c r="A47" s="134">
        <v>2005</v>
      </c>
      <c r="B47" s="167">
        <f t="shared" si="3"/>
        <v>0.72252735364207221</v>
      </c>
      <c r="C47" s="51">
        <f t="shared" si="1"/>
        <v>1043246.4</v>
      </c>
      <c r="D47" s="148">
        <f t="shared" si="2"/>
        <v>753774.06058861874</v>
      </c>
      <c r="E47" s="148">
        <f t="shared" si="4"/>
        <v>5143531.3979861988</v>
      </c>
      <c r="F47" s="1"/>
      <c r="G47" s="1"/>
      <c r="H47" s="1"/>
      <c r="I47" s="1"/>
      <c r="J47" s="1"/>
      <c r="K47" s="1"/>
    </row>
    <row r="48" spans="1:11" x14ac:dyDescent="0.2">
      <c r="A48" s="134">
        <v>2006</v>
      </c>
      <c r="B48" s="167">
        <f t="shared" si="3"/>
        <v>0.68728927879097224</v>
      </c>
      <c r="C48" s="51">
        <f t="shared" si="1"/>
        <v>1043246.4</v>
      </c>
      <c r="D48" s="148">
        <f t="shared" si="2"/>
        <v>717012.06585727818</v>
      </c>
      <c r="E48" s="148">
        <f t="shared" si="4"/>
        <v>5860543.463843477</v>
      </c>
      <c r="F48" s="1"/>
      <c r="G48" s="1"/>
      <c r="H48" s="1"/>
      <c r="I48" s="1"/>
      <c r="J48" s="1"/>
      <c r="K48" s="1"/>
    </row>
    <row r="49" spans="1:11" ht="13.5" thickBot="1" x14ac:dyDescent="0.25">
      <c r="A49" s="134">
        <v>2007</v>
      </c>
      <c r="B49" s="167">
        <f t="shared" si="3"/>
        <v>0.65376978512984729</v>
      </c>
      <c r="C49" s="51">
        <f t="shared" si="1"/>
        <v>1043246.4</v>
      </c>
      <c r="D49" s="148">
        <f t="shared" si="2"/>
        <v>682042.97476548678</v>
      </c>
      <c r="E49" s="148">
        <f t="shared" si="4"/>
        <v>6542586.438608964</v>
      </c>
      <c r="F49" s="1"/>
      <c r="G49" s="1"/>
      <c r="H49" s="1"/>
      <c r="I49" s="1"/>
      <c r="J49" s="1"/>
      <c r="K49" s="1"/>
    </row>
    <row r="50" spans="1:11" ht="13.5" thickBot="1" x14ac:dyDescent="0.25">
      <c r="A50" s="135">
        <v>2008</v>
      </c>
      <c r="B50" s="175">
        <f t="shared" si="3"/>
        <v>0.62188505646502013</v>
      </c>
      <c r="C50" s="52">
        <f t="shared" si="1"/>
        <v>1043246.4</v>
      </c>
      <c r="D50" s="150">
        <f t="shared" si="2"/>
        <v>648779.34637092904</v>
      </c>
      <c r="E50" s="159">
        <f t="shared" si="4"/>
        <v>7191365.7849798929</v>
      </c>
      <c r="F50" s="1"/>
      <c r="G50" s="1"/>
      <c r="H50" s="1"/>
      <c r="I50" s="1"/>
      <c r="J50" s="1"/>
      <c r="K50" s="1"/>
    </row>
    <row r="51" spans="1:11" x14ac:dyDescent="0.2">
      <c r="A51" s="1"/>
      <c r="B51" s="1"/>
      <c r="C51" s="1"/>
      <c r="D51" s="6"/>
      <c r="E51" s="6"/>
      <c r="F51" s="1"/>
      <c r="G51" s="1"/>
      <c r="H51" s="1"/>
      <c r="I51" s="1"/>
      <c r="J51" s="1"/>
      <c r="K51" s="1"/>
    </row>
    <row r="52" spans="1:11" x14ac:dyDescent="0.2">
      <c r="A52" s="1"/>
      <c r="B52" s="1"/>
      <c r="C52" s="1"/>
      <c r="D52" s="6"/>
      <c r="E52" s="6"/>
      <c r="F52" s="1"/>
      <c r="G52" s="1"/>
      <c r="H52" s="1"/>
      <c r="I52" s="1"/>
      <c r="J52" s="1"/>
      <c r="K52" s="1"/>
    </row>
    <row r="53" spans="1:11" x14ac:dyDescent="0.2">
      <c r="A53" s="1"/>
      <c r="B53" s="1"/>
      <c r="C53" s="1"/>
      <c r="D53" s="6"/>
      <c r="E53" s="6"/>
      <c r="F53" s="1"/>
      <c r="G53" s="1"/>
      <c r="H53" s="1"/>
      <c r="I53" s="1"/>
      <c r="J53" s="1"/>
      <c r="K53" s="1"/>
    </row>
    <row r="54" spans="1:11" x14ac:dyDescent="0.2">
      <c r="A54" s="1"/>
      <c r="B54" s="1"/>
      <c r="C54" s="1"/>
      <c r="D54" s="6"/>
      <c r="E54" s="6"/>
      <c r="F54" s="1"/>
      <c r="G54" s="1"/>
      <c r="H54" s="1"/>
      <c r="I54" s="1"/>
      <c r="J54" s="1"/>
      <c r="K54" s="1"/>
    </row>
    <row r="55" spans="1:11" x14ac:dyDescent="0.2">
      <c r="A55" s="1"/>
      <c r="B55" s="1"/>
      <c r="C55" s="1"/>
      <c r="D55" s="6"/>
      <c r="E55" s="6"/>
      <c r="F55" s="1"/>
      <c r="G55" s="1"/>
      <c r="H55" s="1"/>
      <c r="I55" s="1"/>
      <c r="J55" s="1"/>
      <c r="K55" s="1"/>
    </row>
    <row r="56" spans="1:11" x14ac:dyDescent="0.2">
      <c r="A56" s="1"/>
      <c r="B56" s="1"/>
      <c r="C56" s="1"/>
      <c r="D56" s="6"/>
      <c r="E56" s="6"/>
      <c r="F56" s="1"/>
      <c r="G56" s="1"/>
      <c r="H56" s="1"/>
      <c r="I56" s="1"/>
      <c r="J56" s="1"/>
      <c r="K56" s="1"/>
    </row>
    <row r="57" spans="1:11" x14ac:dyDescent="0.2">
      <c r="A57" s="1"/>
      <c r="B57" s="1"/>
      <c r="C57" s="1"/>
      <c r="D57" s="6"/>
      <c r="E57" s="6"/>
      <c r="F57" s="1"/>
      <c r="G57" s="1"/>
      <c r="H57" s="1"/>
      <c r="I57" s="1"/>
      <c r="J57" s="1"/>
      <c r="K57" s="1"/>
    </row>
    <row r="58" spans="1:11" x14ac:dyDescent="0.2">
      <c r="A58" s="1"/>
      <c r="B58" s="1"/>
      <c r="C58" s="1"/>
      <c r="D58" s="6"/>
      <c r="E58" s="6"/>
      <c r="F58" s="1"/>
      <c r="G58" s="1"/>
      <c r="H58" s="1"/>
      <c r="I58" s="1"/>
      <c r="J58" s="1"/>
      <c r="K58" s="1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6"/>
  <sheetViews>
    <sheetView tabSelected="1" topLeftCell="E32" workbookViewId="0">
      <selection activeCell="K21" sqref="K21"/>
    </sheetView>
  </sheetViews>
  <sheetFormatPr defaultRowHeight="12.75" x14ac:dyDescent="0.2"/>
  <cols>
    <col min="1" max="1" width="8.42578125" style="1" customWidth="1"/>
    <col min="2" max="2" width="9.140625" style="1"/>
    <col min="3" max="3" width="11.7109375" style="1" bestFit="1" customWidth="1"/>
    <col min="4" max="5" width="13.42578125" style="6" customWidth="1"/>
    <col min="6" max="6" width="10.28515625" style="1" customWidth="1"/>
    <col min="7" max="7" width="11.28515625" style="1" customWidth="1"/>
    <col min="8" max="8" width="10.7109375" style="1" customWidth="1"/>
    <col min="9" max="9" width="11" style="1" customWidth="1"/>
    <col min="10" max="10" width="12.42578125" style="6" customWidth="1"/>
    <col min="11" max="11" width="11.85546875" style="1" customWidth="1"/>
    <col min="12" max="12" width="11.5703125" style="32" customWidth="1"/>
    <col min="13" max="14" width="11.7109375" style="1" bestFit="1" customWidth="1"/>
    <col min="15" max="16384" width="9.140625" style="1"/>
  </cols>
  <sheetData>
    <row r="1" spans="1:12" s="74" customFormat="1" ht="27.75" x14ac:dyDescent="0.4">
      <c r="A1" s="17" t="s">
        <v>0</v>
      </c>
      <c r="B1" s="18"/>
      <c r="C1" s="18"/>
      <c r="D1" s="72"/>
      <c r="E1" s="72"/>
      <c r="F1" s="18"/>
      <c r="G1" s="18"/>
      <c r="H1" s="18"/>
      <c r="I1" s="18"/>
      <c r="J1" s="72"/>
      <c r="K1" s="18"/>
      <c r="L1" s="73"/>
    </row>
    <row r="2" spans="1:12" s="74" customFormat="1" ht="27.75" x14ac:dyDescent="0.4">
      <c r="A2" s="17" t="s">
        <v>1</v>
      </c>
      <c r="B2" s="18"/>
      <c r="C2" s="18"/>
      <c r="D2" s="72"/>
      <c r="E2" s="72"/>
      <c r="F2" s="18"/>
      <c r="G2" s="18"/>
      <c r="H2" s="18"/>
      <c r="I2" s="18"/>
      <c r="J2" s="72"/>
      <c r="K2" s="18"/>
      <c r="L2" s="73"/>
    </row>
    <row r="3" spans="1:12" s="74" customFormat="1" ht="27.75" x14ac:dyDescent="0.4">
      <c r="A3" s="17" t="s">
        <v>2</v>
      </c>
      <c r="B3" s="18"/>
      <c r="C3" s="18"/>
      <c r="D3" s="72"/>
      <c r="E3" s="72"/>
      <c r="F3" s="18"/>
      <c r="G3" s="18"/>
      <c r="H3" s="18"/>
      <c r="I3" s="18"/>
      <c r="J3" s="72"/>
      <c r="K3" s="18"/>
      <c r="L3" s="73"/>
    </row>
    <row r="4" spans="1:12" s="74" customFormat="1" ht="27.75" x14ac:dyDescent="0.4">
      <c r="A4" s="17" t="s">
        <v>3</v>
      </c>
      <c r="B4" s="18"/>
      <c r="C4" s="18"/>
      <c r="D4" s="72"/>
      <c r="E4" s="72"/>
      <c r="F4" s="18"/>
      <c r="G4" s="18"/>
      <c r="H4" s="18"/>
      <c r="I4" s="18"/>
      <c r="J4" s="72"/>
      <c r="K4" s="18"/>
      <c r="L4" s="73"/>
    </row>
    <row r="5" spans="1:12" ht="13.5" thickBot="1" x14ac:dyDescent="0.25"/>
    <row r="6" spans="1:12" ht="13.5" thickBot="1" x14ac:dyDescent="0.25">
      <c r="A6" s="25" t="s">
        <v>4</v>
      </c>
      <c r="B6" s="84"/>
      <c r="C6" s="85">
        <v>34151</v>
      </c>
    </row>
    <row r="7" spans="1:12" ht="13.5" thickBot="1" x14ac:dyDescent="0.25">
      <c r="A7" s="86" t="s">
        <v>5</v>
      </c>
      <c r="B7" s="21" t="s">
        <v>6</v>
      </c>
    </row>
    <row r="8" spans="1:12" x14ac:dyDescent="0.2">
      <c r="A8" s="9" t="s">
        <v>7</v>
      </c>
      <c r="B8" s="10"/>
      <c r="C8" s="11"/>
      <c r="D8" s="119"/>
      <c r="E8" s="120"/>
      <c r="F8" s="16"/>
      <c r="G8" s="16"/>
      <c r="H8" s="16"/>
      <c r="I8" s="16"/>
    </row>
    <row r="9" spans="1:12" x14ac:dyDescent="0.2">
      <c r="A9" s="81" t="s">
        <v>8</v>
      </c>
      <c r="B9" s="12"/>
      <c r="C9" s="12"/>
      <c r="D9" s="121"/>
      <c r="E9" s="120"/>
      <c r="F9" s="16"/>
      <c r="G9" s="16"/>
      <c r="H9" s="16"/>
      <c r="I9" s="16"/>
    </row>
    <row r="10" spans="1:12" x14ac:dyDescent="0.2">
      <c r="A10" s="81" t="s">
        <v>9</v>
      </c>
      <c r="B10" s="12"/>
      <c r="C10" s="12"/>
      <c r="D10" s="121"/>
      <c r="E10" s="120"/>
      <c r="F10" s="16"/>
      <c r="G10" s="16"/>
      <c r="H10" s="16"/>
      <c r="I10" s="16"/>
    </row>
    <row r="11" spans="1:12" ht="13.5" thickBot="1" x14ac:dyDescent="0.25">
      <c r="A11" s="23" t="s">
        <v>10</v>
      </c>
      <c r="B11" s="13"/>
      <c r="C11" s="13"/>
      <c r="D11" s="122"/>
      <c r="E11" s="120"/>
      <c r="F11" s="16"/>
      <c r="G11" s="16"/>
      <c r="H11" s="16"/>
      <c r="I11" s="16"/>
    </row>
    <row r="12" spans="1:12" ht="13.5" thickBot="1" x14ac:dyDescent="0.25">
      <c r="A12" s="77" t="s">
        <v>11</v>
      </c>
      <c r="B12" s="82"/>
      <c r="C12" s="82"/>
      <c r="D12" s="123"/>
      <c r="E12" s="160">
        <v>50900</v>
      </c>
      <c r="F12" s="21" t="s">
        <v>12</v>
      </c>
      <c r="G12"/>
      <c r="H12" s="16"/>
      <c r="I12" s="16"/>
    </row>
    <row r="13" spans="1:12" ht="13.5" thickBot="1" x14ac:dyDescent="0.25">
      <c r="A13" s="77" t="s">
        <v>13</v>
      </c>
      <c r="B13" s="14"/>
      <c r="C13" s="114"/>
      <c r="D13" s="124"/>
      <c r="E13" s="124"/>
      <c r="F13" s="24" t="s">
        <v>14</v>
      </c>
      <c r="G13" s="14"/>
      <c r="H13" s="14"/>
      <c r="I13" s="15"/>
    </row>
    <row r="14" spans="1:12" ht="13.5" thickBot="1" x14ac:dyDescent="0.25">
      <c r="A14" s="77" t="s">
        <v>15</v>
      </c>
      <c r="B14" s="14"/>
      <c r="C14" s="114"/>
      <c r="D14" s="124"/>
      <c r="E14" s="124"/>
      <c r="F14" s="76">
        <v>0.03</v>
      </c>
      <c r="G14" s="16"/>
      <c r="H14" s="16"/>
      <c r="I14" s="16"/>
    </row>
    <row r="15" spans="1:12" ht="13.5" thickBot="1" x14ac:dyDescent="0.25">
      <c r="A15" s="115" t="s">
        <v>16</v>
      </c>
      <c r="B15" s="12"/>
      <c r="C15"/>
      <c r="D15" s="125"/>
      <c r="E15" s="125"/>
      <c r="F15" s="116">
        <v>1.4999999999999999E-2</v>
      </c>
      <c r="G15" s="16"/>
      <c r="H15" s="16"/>
      <c r="I15" s="16"/>
    </row>
    <row r="16" spans="1:12" ht="13.5" thickBot="1" x14ac:dyDescent="0.25">
      <c r="A16" s="77" t="s">
        <v>17</v>
      </c>
      <c r="B16" s="14"/>
      <c r="C16" s="114"/>
      <c r="D16" s="124"/>
      <c r="E16" s="124"/>
      <c r="F16" s="24"/>
      <c r="G16" s="14"/>
      <c r="H16" s="14"/>
      <c r="I16" s="15"/>
    </row>
    <row r="17" spans="1:13" ht="13.5" thickBot="1" x14ac:dyDescent="0.25">
      <c r="A17" s="77" t="s">
        <v>18</v>
      </c>
      <c r="B17" s="14"/>
      <c r="C17" s="114"/>
      <c r="D17" s="124"/>
      <c r="E17" s="124"/>
      <c r="F17" s="80"/>
      <c r="G17" s="12"/>
      <c r="H17" s="12"/>
      <c r="I17" s="12"/>
    </row>
    <row r="18" spans="1:13" s="28" customFormat="1" ht="16.5" thickBot="1" x14ac:dyDescent="0.3">
      <c r="A18" s="78" t="s">
        <v>19</v>
      </c>
      <c r="B18" s="26"/>
      <c r="C18" s="114"/>
      <c r="D18" s="124"/>
      <c r="E18" s="124"/>
      <c r="F18" s="26"/>
      <c r="G18" s="27"/>
      <c r="H18" s="79"/>
      <c r="I18" s="79"/>
      <c r="J18" s="29"/>
      <c r="L18" s="43"/>
    </row>
    <row r="19" spans="1:13" ht="13.5" thickBot="1" x14ac:dyDescent="0.25"/>
    <row r="20" spans="1:13" ht="13.5" thickBot="1" x14ac:dyDescent="0.25">
      <c r="B20" s="19" t="s">
        <v>20</v>
      </c>
      <c r="C20" s="19" t="s">
        <v>21</v>
      </c>
      <c r="D20" s="126" t="s">
        <v>22</v>
      </c>
    </row>
    <row r="21" spans="1:13" s="5" customFormat="1" ht="13.5" thickBot="1" x14ac:dyDescent="0.25">
      <c r="A21" s="40" t="s">
        <v>23</v>
      </c>
      <c r="B21" s="40" t="s">
        <v>24</v>
      </c>
      <c r="C21" s="59" t="s">
        <v>24</v>
      </c>
      <c r="D21" s="37" t="s">
        <v>24</v>
      </c>
      <c r="E21" s="127" t="s">
        <v>25</v>
      </c>
      <c r="F21" s="40" t="s">
        <v>26</v>
      </c>
      <c r="G21" s="59" t="s">
        <v>27</v>
      </c>
      <c r="H21" s="40" t="s">
        <v>27</v>
      </c>
      <c r="I21" s="48" t="s">
        <v>28</v>
      </c>
      <c r="J21" s="31" t="s">
        <v>29</v>
      </c>
      <c r="K21" s="39">
        <v>3</v>
      </c>
      <c r="L21" s="44" t="s">
        <v>30</v>
      </c>
    </row>
    <row r="22" spans="1:13" s="5" customFormat="1" x14ac:dyDescent="0.2">
      <c r="A22" s="41"/>
      <c r="B22" s="41" t="s">
        <v>31</v>
      </c>
      <c r="C22" s="34" t="s">
        <v>31</v>
      </c>
      <c r="D22" s="128" t="s">
        <v>32</v>
      </c>
      <c r="E22" s="129" t="s">
        <v>33</v>
      </c>
      <c r="F22" s="41" t="s">
        <v>34</v>
      </c>
      <c r="G22" s="34" t="s">
        <v>35</v>
      </c>
      <c r="H22" s="41" t="s">
        <v>35</v>
      </c>
      <c r="I22" s="61" t="s">
        <v>36</v>
      </c>
      <c r="J22" s="35" t="s">
        <v>37</v>
      </c>
      <c r="K22" s="37" t="s">
        <v>38</v>
      </c>
      <c r="L22" s="45" t="s">
        <v>39</v>
      </c>
      <c r="M22" s="40" t="s">
        <v>36</v>
      </c>
    </row>
    <row r="23" spans="1:13" s="5" customFormat="1" x14ac:dyDescent="0.2">
      <c r="A23" s="41"/>
      <c r="B23" s="41" t="s">
        <v>27</v>
      </c>
      <c r="C23" s="34" t="s">
        <v>40</v>
      </c>
      <c r="D23" s="128" t="s">
        <v>41</v>
      </c>
      <c r="E23" s="129" t="s">
        <v>34</v>
      </c>
      <c r="F23" s="41" t="s">
        <v>42</v>
      </c>
      <c r="G23" s="34" t="s">
        <v>43</v>
      </c>
      <c r="H23" s="41" t="s">
        <v>43</v>
      </c>
      <c r="I23" s="61" t="s">
        <v>44</v>
      </c>
      <c r="J23" s="36" t="s">
        <v>45</v>
      </c>
      <c r="K23" s="38" t="s">
        <v>46</v>
      </c>
      <c r="L23" s="46" t="s">
        <v>47</v>
      </c>
      <c r="M23" s="41" t="s">
        <v>119</v>
      </c>
    </row>
    <row r="24" spans="1:13" s="5" customFormat="1" x14ac:dyDescent="0.2">
      <c r="A24" s="41"/>
      <c r="B24" s="41" t="s">
        <v>48</v>
      </c>
      <c r="C24" s="34" t="s">
        <v>32</v>
      </c>
      <c r="D24" s="130" t="s">
        <v>49</v>
      </c>
      <c r="E24" s="129" t="s">
        <v>50</v>
      </c>
      <c r="F24" s="41" t="s">
        <v>51</v>
      </c>
      <c r="G24" s="62" t="s">
        <v>52</v>
      </c>
      <c r="H24" s="67" t="s">
        <v>53</v>
      </c>
      <c r="I24" s="63" t="s">
        <v>54</v>
      </c>
      <c r="J24" s="75" t="s">
        <v>36</v>
      </c>
      <c r="K24" s="75" t="s">
        <v>36</v>
      </c>
      <c r="L24" s="46" t="s">
        <v>44</v>
      </c>
      <c r="M24" s="41" t="s">
        <v>32</v>
      </c>
    </row>
    <row r="25" spans="1:13" s="5" customFormat="1" ht="13.5" thickBot="1" x14ac:dyDescent="0.25">
      <c r="A25" s="42"/>
      <c r="B25" s="42"/>
      <c r="C25" s="56" t="s">
        <v>48</v>
      </c>
      <c r="D25" s="131"/>
      <c r="E25" s="132"/>
      <c r="F25" s="42"/>
      <c r="G25" s="56"/>
      <c r="H25" s="42"/>
      <c r="I25" s="30"/>
      <c r="J25" s="33" t="s">
        <v>55</v>
      </c>
      <c r="K25" s="33" t="s">
        <v>55</v>
      </c>
      <c r="L25" s="47"/>
      <c r="M25" s="42"/>
    </row>
    <row r="26" spans="1:13" x14ac:dyDescent="0.2">
      <c r="A26" s="41" t="s">
        <v>56</v>
      </c>
      <c r="B26" s="65">
        <v>2.08</v>
      </c>
      <c r="C26" s="22">
        <v>2.06</v>
      </c>
      <c r="D26" s="68">
        <f>(B26/C26)-1</f>
        <v>9.7087378640776656E-3</v>
      </c>
      <c r="E26" s="6">
        <f t="shared" ref="E26:E37" si="0">+$F$14</f>
        <v>0.03</v>
      </c>
      <c r="F26" s="70">
        <f>+$F$15</f>
        <v>1.4999999999999999E-2</v>
      </c>
      <c r="G26" s="6">
        <f>+D26+E26-0.3*F26</f>
        <v>3.5208737864077667E-2</v>
      </c>
      <c r="H26" s="68">
        <f>+D26+E26/0.7</f>
        <v>5.2565880721220523E-2</v>
      </c>
      <c r="I26" s="4">
        <f>IF(F26&gt;D26,100%,70%)</f>
        <v>1</v>
      </c>
      <c r="J26" s="49">
        <f t="shared" ref="J26:J37" si="1">+E$12*$K$21*(1+G26)*31</f>
        <v>4900367.6024271846</v>
      </c>
      <c r="K26" s="57">
        <f t="shared" ref="K26:K37" si="2">+$E$12*(0.7*$K$21*(H26+1)+0.3*$K$21)*31</f>
        <v>4907881.7766990289</v>
      </c>
      <c r="L26" s="51">
        <f>ABS(J26-K26)</f>
        <v>7514.1742718443274</v>
      </c>
      <c r="M26" s="117">
        <f>+$K$21*31*$E$12</f>
        <v>4733700</v>
      </c>
    </row>
    <row r="27" spans="1:13" x14ac:dyDescent="0.2">
      <c r="A27" s="41" t="s">
        <v>57</v>
      </c>
      <c r="B27" s="65">
        <v>1.53</v>
      </c>
      <c r="C27" s="22">
        <v>1.51</v>
      </c>
      <c r="D27" s="68">
        <f t="shared" ref="D27:D37" si="3">(B27/C27)-1</f>
        <v>1.3245033112582849E-2</v>
      </c>
      <c r="E27" s="6">
        <f t="shared" si="0"/>
        <v>0.03</v>
      </c>
      <c r="F27" s="70">
        <f t="shared" ref="F27:F37" si="4">+$F$15</f>
        <v>1.4999999999999999E-2</v>
      </c>
      <c r="G27" s="6">
        <f t="shared" ref="G27:G37" si="5">+D27+E27-0.3*F27</f>
        <v>3.8745033112582851E-2</v>
      </c>
      <c r="H27" s="68">
        <f t="shared" ref="H27:H37" si="6">+D27+E27/0.7</f>
        <v>5.6102175969725707E-2</v>
      </c>
      <c r="I27" s="4">
        <f t="shared" ref="I27:I37" si="7">IF(F27&gt;D27,100%,70%)</f>
        <v>1</v>
      </c>
      <c r="J27" s="49">
        <f>+E$12*$K$21*(1+G27)*29</f>
        <v>4599874.6301324507</v>
      </c>
      <c r="K27" s="51">
        <f>+$E$12*(0.7*$K$21*(H27+1)+0.3*$K$21)*29</f>
        <v>4602206.0860927152</v>
      </c>
      <c r="L27" s="51">
        <f t="shared" ref="L27:L37" si="8">ABS(J27-K27)</f>
        <v>2331.4559602644295</v>
      </c>
      <c r="M27" s="118">
        <f>+$K$21*29*$E$12</f>
        <v>4428300</v>
      </c>
    </row>
    <row r="28" spans="1:13" x14ac:dyDescent="0.2">
      <c r="A28" s="41" t="s">
        <v>58</v>
      </c>
      <c r="B28" s="65">
        <v>1.2</v>
      </c>
      <c r="C28" s="22">
        <v>1.18</v>
      </c>
      <c r="D28" s="68">
        <f t="shared" si="3"/>
        <v>1.6949152542372836E-2</v>
      </c>
      <c r="E28" s="6">
        <f t="shared" si="0"/>
        <v>0.03</v>
      </c>
      <c r="F28" s="70">
        <f t="shared" si="4"/>
        <v>1.4999999999999999E-2</v>
      </c>
      <c r="G28" s="6">
        <f t="shared" si="5"/>
        <v>4.2449152542372838E-2</v>
      </c>
      <c r="H28" s="68">
        <f t="shared" si="6"/>
        <v>5.9806295399515694E-2</v>
      </c>
      <c r="I28" s="4">
        <f t="shared" si="7"/>
        <v>0.7</v>
      </c>
      <c r="J28" s="49">
        <f>+E$12*$K$21*(1+G28)*31</f>
        <v>4934641.5533898305</v>
      </c>
      <c r="K28" s="51">
        <f t="shared" si="2"/>
        <v>4931873.5423728796</v>
      </c>
      <c r="L28" s="51">
        <f t="shared" si="8"/>
        <v>2768.0110169509426</v>
      </c>
      <c r="M28" s="118">
        <f>+$K$21*31*$E$12</f>
        <v>4733700</v>
      </c>
    </row>
    <row r="29" spans="1:13" x14ac:dyDescent="0.2">
      <c r="A29" s="41" t="s">
        <v>59</v>
      </c>
      <c r="B29" s="65">
        <v>1.1499999999999999</v>
      </c>
      <c r="C29" s="22">
        <v>1.1200000000000001</v>
      </c>
      <c r="D29" s="68">
        <f t="shared" si="3"/>
        <v>2.6785714285714191E-2</v>
      </c>
      <c r="E29" s="6">
        <f t="shared" si="0"/>
        <v>0.03</v>
      </c>
      <c r="F29" s="70">
        <f t="shared" si="4"/>
        <v>1.4999999999999999E-2</v>
      </c>
      <c r="G29" s="6">
        <f t="shared" si="5"/>
        <v>5.2285714285714192E-2</v>
      </c>
      <c r="H29" s="68">
        <f t="shared" si="6"/>
        <v>6.9642857142857048E-2</v>
      </c>
      <c r="I29" s="4">
        <f t="shared" si="7"/>
        <v>0.7</v>
      </c>
      <c r="J29" s="49">
        <f>+E$12*$K$21*(1+G29)*30</f>
        <v>4820520.8571428563</v>
      </c>
      <c r="K29" s="51">
        <f>+$E$12*(0.7*$K$21*(H29+1)+0.3*$K$21)*30</f>
        <v>4804323.7499999991</v>
      </c>
      <c r="L29" s="51">
        <f t="shared" si="8"/>
        <v>16197.107142857276</v>
      </c>
      <c r="M29" s="118">
        <f>+$K$21*30*$E$12</f>
        <v>4581000</v>
      </c>
    </row>
    <row r="30" spans="1:13" x14ac:dyDescent="0.2">
      <c r="A30" s="41" t="s">
        <v>60</v>
      </c>
      <c r="B30" s="65">
        <v>1.1200000000000001</v>
      </c>
      <c r="C30" s="22">
        <v>1.1000000000000001</v>
      </c>
      <c r="D30" s="68">
        <f t="shared" si="3"/>
        <v>1.8181818181818299E-2</v>
      </c>
      <c r="E30" s="6">
        <f t="shared" si="0"/>
        <v>0.03</v>
      </c>
      <c r="F30" s="70">
        <f t="shared" si="4"/>
        <v>1.4999999999999999E-2</v>
      </c>
      <c r="G30" s="6">
        <f t="shared" si="5"/>
        <v>4.3681818181818301E-2</v>
      </c>
      <c r="H30" s="68">
        <f t="shared" si="6"/>
        <v>6.1038961038961156E-2</v>
      </c>
      <c r="I30" s="4">
        <f t="shared" si="7"/>
        <v>0.7</v>
      </c>
      <c r="J30" s="49">
        <f t="shared" si="1"/>
        <v>4940476.622727273</v>
      </c>
      <c r="K30" s="51">
        <f t="shared" si="2"/>
        <v>4935958.0909090908</v>
      </c>
      <c r="L30" s="51">
        <f t="shared" si="8"/>
        <v>4518.5318181822076</v>
      </c>
      <c r="M30" s="118">
        <f>+$K$21*31*$E$12</f>
        <v>4733700</v>
      </c>
    </row>
    <row r="31" spans="1:13" x14ac:dyDescent="0.2">
      <c r="A31" s="41" t="s">
        <v>61</v>
      </c>
      <c r="B31" s="65">
        <v>1.1299999999999999</v>
      </c>
      <c r="C31" s="22">
        <v>1.1100000000000001</v>
      </c>
      <c r="D31" s="68">
        <f t="shared" si="3"/>
        <v>1.8018018018017834E-2</v>
      </c>
      <c r="E31" s="6">
        <f t="shared" si="0"/>
        <v>0.03</v>
      </c>
      <c r="F31" s="70">
        <f t="shared" si="4"/>
        <v>1.4999999999999999E-2</v>
      </c>
      <c r="G31" s="6">
        <f t="shared" si="5"/>
        <v>4.3518018018017836E-2</v>
      </c>
      <c r="H31" s="68">
        <f t="shared" si="6"/>
        <v>6.0875160875160692E-2</v>
      </c>
      <c r="I31" s="4">
        <f t="shared" si="7"/>
        <v>0.7</v>
      </c>
      <c r="J31" s="49">
        <f>+E$12*$K$21*(1+G31)*30</f>
        <v>4780356.0405405406</v>
      </c>
      <c r="K31" s="51">
        <f>+$E$12*(0.7*$K$21*(H31+1)+0.3*$K$21)*30</f>
        <v>4776208.3783783773</v>
      </c>
      <c r="L31" s="51">
        <f t="shared" si="8"/>
        <v>4147.6621621632949</v>
      </c>
      <c r="M31" s="118">
        <f>+$K$21*30*$E$12</f>
        <v>4581000</v>
      </c>
    </row>
    <row r="32" spans="1:13" x14ac:dyDescent="0.2">
      <c r="A32" s="41" t="s">
        <v>62</v>
      </c>
      <c r="B32" s="65">
        <v>1.19</v>
      </c>
      <c r="C32" s="22">
        <v>1.17</v>
      </c>
      <c r="D32" s="68">
        <f t="shared" si="3"/>
        <v>1.7094017094017033E-2</v>
      </c>
      <c r="E32" s="6">
        <f t="shared" si="0"/>
        <v>0.03</v>
      </c>
      <c r="F32" s="70">
        <f t="shared" si="4"/>
        <v>1.4999999999999999E-2</v>
      </c>
      <c r="G32" s="6">
        <f t="shared" si="5"/>
        <v>4.2594017094017035E-2</v>
      </c>
      <c r="H32" s="68">
        <f t="shared" si="6"/>
        <v>5.9951159951159891E-2</v>
      </c>
      <c r="I32" s="4">
        <f t="shared" si="7"/>
        <v>0.7</v>
      </c>
      <c r="J32" s="49">
        <f t="shared" si="1"/>
        <v>4935327.2987179486</v>
      </c>
      <c r="K32" s="51">
        <f t="shared" si="2"/>
        <v>4932353.564102564</v>
      </c>
      <c r="L32" s="51">
        <f t="shared" si="8"/>
        <v>2973.7346153846011</v>
      </c>
      <c r="M32" s="118">
        <f>+$K$21*31*$E$12</f>
        <v>4733700</v>
      </c>
    </row>
    <row r="33" spans="1:14" x14ac:dyDescent="0.2">
      <c r="A33" s="41" t="s">
        <v>63</v>
      </c>
      <c r="B33" s="65">
        <v>1.1399999999999999</v>
      </c>
      <c r="C33" s="22">
        <v>1.1100000000000001</v>
      </c>
      <c r="D33" s="68">
        <f t="shared" si="3"/>
        <v>2.7027027027026751E-2</v>
      </c>
      <c r="E33" s="6">
        <f t="shared" si="0"/>
        <v>0.03</v>
      </c>
      <c r="F33" s="70">
        <f t="shared" si="4"/>
        <v>1.4999999999999999E-2</v>
      </c>
      <c r="G33" s="6">
        <f t="shared" si="5"/>
        <v>5.2527027027026753E-2</v>
      </c>
      <c r="H33" s="68">
        <f t="shared" si="6"/>
        <v>6.9884169884169609E-2</v>
      </c>
      <c r="I33" s="4">
        <f t="shared" si="7"/>
        <v>0.7</v>
      </c>
      <c r="J33" s="49">
        <f t="shared" si="1"/>
        <v>4982347.1878378363</v>
      </c>
      <c r="K33" s="51">
        <f t="shared" si="2"/>
        <v>4965267.4864864852</v>
      </c>
      <c r="L33" s="51">
        <f t="shared" si="8"/>
        <v>17079.701351351105</v>
      </c>
      <c r="M33" s="118">
        <f>+$K$21*31*$E$12</f>
        <v>4733700</v>
      </c>
    </row>
    <row r="34" spans="1:14" x14ac:dyDescent="0.2">
      <c r="A34" s="41" t="s">
        <v>64</v>
      </c>
      <c r="B34" s="65">
        <v>1.17</v>
      </c>
      <c r="C34" s="22">
        <v>1.1499999999999999</v>
      </c>
      <c r="D34" s="68">
        <f t="shared" si="3"/>
        <v>1.7391304347826209E-2</v>
      </c>
      <c r="E34" s="6">
        <f t="shared" si="0"/>
        <v>0.03</v>
      </c>
      <c r="F34" s="70">
        <f t="shared" si="4"/>
        <v>1.4999999999999999E-2</v>
      </c>
      <c r="G34" s="6">
        <f t="shared" si="5"/>
        <v>4.289130434782621E-2</v>
      </c>
      <c r="H34" s="68">
        <f t="shared" si="6"/>
        <v>6.0248447204969066E-2</v>
      </c>
      <c r="I34" s="4">
        <f t="shared" si="7"/>
        <v>0.7</v>
      </c>
      <c r="J34" s="49">
        <f>+E$12*$K$21*(1+G34)*30</f>
        <v>4777485.0652173916</v>
      </c>
      <c r="K34" s="51">
        <f>+$E$12*(0.7*$K$21*(H34+1)+0.3*$K$21)*30</f>
        <v>4774198.6956521729</v>
      </c>
      <c r="L34" s="51">
        <f t="shared" si="8"/>
        <v>3286.3695652186871</v>
      </c>
      <c r="M34" s="118">
        <f>+$K$21*30*$E$12</f>
        <v>4581000</v>
      </c>
    </row>
    <row r="35" spans="1:14" x14ac:dyDescent="0.2">
      <c r="A35" s="41" t="s">
        <v>65</v>
      </c>
      <c r="B35" s="65">
        <v>1.3</v>
      </c>
      <c r="C35" s="22">
        <v>1.28</v>
      </c>
      <c r="D35" s="68">
        <f t="shared" si="3"/>
        <v>1.5625E-2</v>
      </c>
      <c r="E35" s="6">
        <f t="shared" si="0"/>
        <v>0.03</v>
      </c>
      <c r="F35" s="70">
        <f t="shared" si="4"/>
        <v>1.4999999999999999E-2</v>
      </c>
      <c r="G35" s="6">
        <f t="shared" si="5"/>
        <v>4.1125000000000002E-2</v>
      </c>
      <c r="H35" s="68">
        <f t="shared" si="6"/>
        <v>5.8482142857142858E-2</v>
      </c>
      <c r="I35" s="4">
        <f t="shared" si="7"/>
        <v>0.7</v>
      </c>
      <c r="J35" s="49">
        <f t="shared" si="1"/>
        <v>4928373.4125000006</v>
      </c>
      <c r="K35" s="51">
        <f t="shared" si="2"/>
        <v>4927485.84375</v>
      </c>
      <c r="L35" s="51">
        <f t="shared" si="8"/>
        <v>887.56875000055879</v>
      </c>
      <c r="M35" s="118">
        <f>+$K$21*31*$E$12</f>
        <v>4733700</v>
      </c>
    </row>
    <row r="36" spans="1:14" x14ac:dyDescent="0.2">
      <c r="A36" s="41" t="s">
        <v>66</v>
      </c>
      <c r="B36" s="65">
        <v>1.63</v>
      </c>
      <c r="C36" s="22">
        <v>1.61</v>
      </c>
      <c r="D36" s="68">
        <f t="shared" si="3"/>
        <v>1.2422360248447006E-2</v>
      </c>
      <c r="E36" s="6">
        <f t="shared" si="0"/>
        <v>0.03</v>
      </c>
      <c r="F36" s="70">
        <f t="shared" si="4"/>
        <v>1.4999999999999999E-2</v>
      </c>
      <c r="G36" s="6">
        <f t="shared" si="5"/>
        <v>3.7922360248447008E-2</v>
      </c>
      <c r="H36" s="68">
        <f t="shared" si="6"/>
        <v>5.5279503105589864E-2</v>
      </c>
      <c r="I36" s="4">
        <f t="shared" si="7"/>
        <v>1</v>
      </c>
      <c r="J36" s="49">
        <f>+E$12*$K$21*(1+G36)*30</f>
        <v>4754722.3322981363</v>
      </c>
      <c r="K36" s="51">
        <f>+$E$12*(0.7*$K$21*(H36+1)+0.3*$K$21)*30</f>
        <v>4758264.7826086944</v>
      </c>
      <c r="L36" s="51">
        <f t="shared" si="8"/>
        <v>3542.4503105580807</v>
      </c>
      <c r="M36" s="118">
        <f>+$K$21*30*$E$12</f>
        <v>4581000</v>
      </c>
    </row>
    <row r="37" spans="1:14" ht="13.5" thickBot="1" x14ac:dyDescent="0.25">
      <c r="A37" s="41" t="s">
        <v>67</v>
      </c>
      <c r="B37" s="65">
        <v>1.68</v>
      </c>
      <c r="C37" s="22">
        <v>1.65</v>
      </c>
      <c r="D37" s="69">
        <f t="shared" si="3"/>
        <v>1.8181818181818299E-2</v>
      </c>
      <c r="E37" s="6">
        <f t="shared" si="0"/>
        <v>0.03</v>
      </c>
      <c r="F37" s="71">
        <f t="shared" si="4"/>
        <v>1.4999999999999999E-2</v>
      </c>
      <c r="G37" s="6">
        <f t="shared" si="5"/>
        <v>4.3681818181818301E-2</v>
      </c>
      <c r="H37" s="69">
        <f t="shared" si="6"/>
        <v>6.1038961038961156E-2</v>
      </c>
      <c r="I37" s="4">
        <f t="shared" si="7"/>
        <v>0.7</v>
      </c>
      <c r="J37" s="50">
        <f t="shared" si="1"/>
        <v>4940476.622727273</v>
      </c>
      <c r="K37" s="52">
        <f t="shared" si="2"/>
        <v>4935958.0909090908</v>
      </c>
      <c r="L37" s="52">
        <f t="shared" si="8"/>
        <v>4518.5318181822076</v>
      </c>
      <c r="M37" s="118">
        <f>+$K$21*31*$E$12</f>
        <v>4733700</v>
      </c>
    </row>
    <row r="38" spans="1:14" ht="13.5" thickBot="1" x14ac:dyDescent="0.25">
      <c r="A38" s="19" t="s">
        <v>68</v>
      </c>
      <c r="B38" s="53"/>
      <c r="C38" s="20"/>
      <c r="D38" s="94"/>
      <c r="E38" s="94"/>
      <c r="F38" s="20"/>
      <c r="G38" s="94"/>
      <c r="H38" s="94"/>
      <c r="I38" s="20"/>
      <c r="J38" s="55">
        <f>SUM(J26:J37)</f>
        <v>58294969.225658722</v>
      </c>
      <c r="K38" s="54">
        <f>SUM(K26:K37)</f>
        <v>58251980.0879611</v>
      </c>
      <c r="L38" s="55">
        <f>SUM(L26:L37)</f>
        <v>69765.298782957718</v>
      </c>
      <c r="M38" s="55">
        <f>SUM(M26:M37)</f>
        <v>55888200</v>
      </c>
      <c r="N38" s="32">
        <f>+K26+K27+SUM(J28:J35)+K36+J37</f>
        <v>58308357.306201391</v>
      </c>
    </row>
    <row r="39" spans="1:14" x14ac:dyDescent="0.2">
      <c r="J39" s="32"/>
    </row>
    <row r="40" spans="1:14" x14ac:dyDescent="0.2">
      <c r="J40" s="32"/>
    </row>
    <row r="42" spans="1:14" ht="13.5" thickBot="1" x14ac:dyDescent="0.25"/>
    <row r="43" spans="1:14" x14ac:dyDescent="0.2">
      <c r="A43" s="136" t="s">
        <v>120</v>
      </c>
      <c r="B43" s="151" t="s">
        <v>26</v>
      </c>
      <c r="C43" s="137" t="s">
        <v>122</v>
      </c>
      <c r="D43" s="156" t="s">
        <v>124</v>
      </c>
      <c r="E43" s="138" t="s">
        <v>125</v>
      </c>
    </row>
    <row r="44" spans="1:14" x14ac:dyDescent="0.2">
      <c r="A44" s="139"/>
      <c r="B44" s="152" t="s">
        <v>121</v>
      </c>
      <c r="C44" s="140" t="s">
        <v>123</v>
      </c>
      <c r="D44" s="157" t="s">
        <v>122</v>
      </c>
      <c r="E44" s="141" t="s">
        <v>124</v>
      </c>
    </row>
    <row r="45" spans="1:14" x14ac:dyDescent="0.2">
      <c r="A45" s="139"/>
      <c r="B45" s="153">
        <v>0.05</v>
      </c>
      <c r="C45" s="140"/>
      <c r="D45" s="157" t="s">
        <v>123</v>
      </c>
      <c r="E45" s="141" t="s">
        <v>122</v>
      </c>
    </row>
    <row r="46" spans="1:14" ht="13.5" thickBot="1" x14ac:dyDescent="0.25">
      <c r="A46" s="142"/>
      <c r="B46" s="154"/>
      <c r="C46" s="143"/>
      <c r="D46" s="158"/>
      <c r="E46" s="144" t="s">
        <v>123</v>
      </c>
    </row>
    <row r="47" spans="1:14" x14ac:dyDescent="0.2">
      <c r="A47" s="133">
        <v>2000</v>
      </c>
      <c r="B47" s="155">
        <f>EXP(-$B$45*3/2)</f>
        <v>0.92774348632855286</v>
      </c>
      <c r="C47" s="145">
        <f>+$N$38-$M$38</f>
        <v>2420157.3062013909</v>
      </c>
      <c r="D47" s="57">
        <f>+C47*B47</f>
        <v>2245285.1767187975</v>
      </c>
      <c r="E47" s="146">
        <f>+D47</f>
        <v>2245285.1767187975</v>
      </c>
    </row>
    <row r="48" spans="1:14" x14ac:dyDescent="0.2">
      <c r="A48" s="134">
        <v>2001</v>
      </c>
      <c r="B48" s="68">
        <f>EXP(-$B$45)*B47</f>
        <v>0.88249690258459534</v>
      </c>
      <c r="C48" s="147">
        <f t="shared" ref="C48:C55" si="9">+$N$38-$M$38</f>
        <v>2420157.3062013909</v>
      </c>
      <c r="D48" s="51">
        <f t="shared" ref="D48:D55" si="10">+C48*B48</f>
        <v>2135781.3264902057</v>
      </c>
      <c r="E48" s="148">
        <f>+E47+D48</f>
        <v>4381066.5032090032</v>
      </c>
    </row>
    <row r="49" spans="1:5" x14ac:dyDescent="0.2">
      <c r="A49" s="134">
        <v>2002</v>
      </c>
      <c r="B49" s="68">
        <f t="shared" ref="B49:B55" si="11">EXP(-$B$45)*B48</f>
        <v>0.83945702076920736</v>
      </c>
      <c r="C49" s="147">
        <f t="shared" si="9"/>
        <v>2420157.3062013909</v>
      </c>
      <c r="D49" s="51">
        <f t="shared" si="10"/>
        <v>2031618.0420566499</v>
      </c>
      <c r="E49" s="148">
        <f t="shared" ref="E49:E55" si="12">+E48+D49</f>
        <v>6412684.5452656532</v>
      </c>
    </row>
    <row r="50" spans="1:5" x14ac:dyDescent="0.2">
      <c r="A50" s="134">
        <v>2003</v>
      </c>
      <c r="B50" s="68">
        <f t="shared" si="11"/>
        <v>0.79851621875937706</v>
      </c>
      <c r="C50" s="147">
        <f t="shared" si="9"/>
        <v>2420157.3062013909</v>
      </c>
      <c r="D50" s="51">
        <f t="shared" si="10"/>
        <v>1932534.8609508146</v>
      </c>
      <c r="E50" s="148">
        <f t="shared" si="12"/>
        <v>8345219.4062164677</v>
      </c>
    </row>
    <row r="51" spans="1:5" x14ac:dyDescent="0.2">
      <c r="A51" s="134">
        <v>2004</v>
      </c>
      <c r="B51" s="68">
        <f t="shared" si="11"/>
        <v>0.75957212322496848</v>
      </c>
      <c r="C51" s="147">
        <f t="shared" si="9"/>
        <v>2420157.3062013909</v>
      </c>
      <c r="D51" s="51">
        <f t="shared" si="10"/>
        <v>1838284.0236098107</v>
      </c>
      <c r="E51" s="148">
        <f t="shared" si="12"/>
        <v>10183503.429826278</v>
      </c>
    </row>
    <row r="52" spans="1:5" x14ac:dyDescent="0.2">
      <c r="A52" s="134">
        <v>2005</v>
      </c>
      <c r="B52" s="68">
        <f t="shared" si="11"/>
        <v>0.72252735364207221</v>
      </c>
      <c r="C52" s="147">
        <f t="shared" si="9"/>
        <v>2420157.3062013909</v>
      </c>
      <c r="D52" s="51">
        <f t="shared" si="10"/>
        <v>1748629.8538472173</v>
      </c>
      <c r="E52" s="148">
        <f t="shared" si="12"/>
        <v>11932133.283673495</v>
      </c>
    </row>
    <row r="53" spans="1:5" x14ac:dyDescent="0.2">
      <c r="A53" s="134">
        <v>2006</v>
      </c>
      <c r="B53" s="68">
        <f t="shared" si="11"/>
        <v>0.68728927879097224</v>
      </c>
      <c r="C53" s="147">
        <f t="shared" si="9"/>
        <v>2420157.3062013909</v>
      </c>
      <c r="D53" s="51">
        <f t="shared" si="10"/>
        <v>1663348.169539856</v>
      </c>
      <c r="E53" s="148">
        <f t="shared" si="12"/>
        <v>13595481.453213351</v>
      </c>
    </row>
    <row r="54" spans="1:5" ht="13.5" thickBot="1" x14ac:dyDescent="0.25">
      <c r="A54" s="134">
        <v>2007</v>
      </c>
      <c r="B54" s="68">
        <f t="shared" si="11"/>
        <v>0.65376978512984729</v>
      </c>
      <c r="C54" s="147">
        <f t="shared" si="9"/>
        <v>2420157.3062013909</v>
      </c>
      <c r="D54" s="51">
        <f t="shared" si="10"/>
        <v>1582225.7220557134</v>
      </c>
      <c r="E54" s="148">
        <f t="shared" si="12"/>
        <v>15177707.175269064</v>
      </c>
    </row>
    <row r="55" spans="1:5" ht="13.5" thickBot="1" x14ac:dyDescent="0.25">
      <c r="A55" s="135">
        <v>2008</v>
      </c>
      <c r="B55" s="69">
        <f t="shared" si="11"/>
        <v>0.62188505646502013</v>
      </c>
      <c r="C55" s="149">
        <f t="shared" si="9"/>
        <v>2420157.3062013909</v>
      </c>
      <c r="D55" s="52">
        <f t="shared" si="10"/>
        <v>1505059.663021283</v>
      </c>
      <c r="E55" s="159">
        <f t="shared" si="12"/>
        <v>16682766.838290347</v>
      </c>
    </row>
    <row r="56" spans="1:5" ht="13.5" thickBot="1" x14ac:dyDescent="0.25">
      <c r="C56" s="176">
        <f>SUM(C47:C55)</f>
        <v>21781415.755812518</v>
      </c>
      <c r="D56" s="55">
        <f>SUM(D47:D55)</f>
        <v>16682766.838290347</v>
      </c>
    </row>
  </sheetData>
  <printOptions horizontalCentered="1" verticalCentered="1"/>
  <pageMargins left="0.5" right="0.5" top="0.5" bottom="0.5" header="0.5" footer="0.5"/>
  <pageSetup scale="99"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C19" sqref="C19"/>
    </sheetView>
  </sheetViews>
  <sheetFormatPr defaultRowHeight="12.75" x14ac:dyDescent="0.2"/>
  <cols>
    <col min="1" max="1" width="9.140625" style="1"/>
    <col min="2" max="2" width="10.28515625" style="1" customWidth="1"/>
    <col min="3" max="3" width="11.140625" style="1" customWidth="1"/>
    <col min="4" max="4" width="15" style="1" customWidth="1"/>
    <col min="5" max="5" width="11.85546875" style="1" customWidth="1"/>
    <col min="6" max="6" width="9.140625" style="1"/>
    <col min="7" max="7" width="9.85546875" style="1" customWidth="1"/>
    <col min="8" max="16384" width="9.140625" style="1"/>
  </cols>
  <sheetData>
    <row r="1" spans="1:8" ht="27.75" x14ac:dyDescent="0.4">
      <c r="A1" s="17" t="s">
        <v>0</v>
      </c>
      <c r="B1" s="8"/>
      <c r="C1" s="8"/>
      <c r="D1" s="8"/>
      <c r="E1" s="8"/>
      <c r="F1" s="8"/>
      <c r="G1" s="8"/>
      <c r="H1" s="8"/>
    </row>
    <row r="2" spans="1:8" ht="27.75" x14ac:dyDescent="0.4">
      <c r="A2" s="17" t="s">
        <v>1</v>
      </c>
      <c r="B2" s="8"/>
      <c r="C2" s="8"/>
      <c r="D2" s="8"/>
      <c r="E2" s="8"/>
      <c r="F2" s="8"/>
      <c r="G2" s="8"/>
      <c r="H2" s="8"/>
    </row>
    <row r="3" spans="1:8" ht="27.75" x14ac:dyDescent="0.4">
      <c r="A3" s="17" t="s">
        <v>69</v>
      </c>
      <c r="B3" s="8"/>
      <c r="C3" s="8"/>
      <c r="D3" s="8"/>
      <c r="E3" s="8"/>
      <c r="F3" s="8"/>
      <c r="G3" s="8"/>
      <c r="H3" s="8"/>
    </row>
    <row r="5" spans="1:8" x14ac:dyDescent="0.2">
      <c r="A5" s="7" t="s">
        <v>4</v>
      </c>
      <c r="B5" s="7"/>
      <c r="C5" s="83">
        <v>33386</v>
      </c>
    </row>
    <row r="6" spans="1:8" x14ac:dyDescent="0.2">
      <c r="A6" s="7" t="s">
        <v>5</v>
      </c>
      <c r="B6" s="8"/>
      <c r="C6" s="1" t="s">
        <v>70</v>
      </c>
    </row>
    <row r="7" spans="1:8" x14ac:dyDescent="0.2">
      <c r="A7" s="7" t="s">
        <v>71</v>
      </c>
      <c r="B7" s="8"/>
      <c r="C7" s="3">
        <v>36000</v>
      </c>
      <c r="D7" s="2" t="s">
        <v>72</v>
      </c>
    </row>
    <row r="8" spans="1:8" ht="13.5" thickBot="1" x14ac:dyDescent="0.25"/>
    <row r="9" spans="1:8" s="5" customFormat="1" ht="13.5" thickBot="1" x14ac:dyDescent="0.25">
      <c r="B9" s="19" t="s">
        <v>20</v>
      </c>
      <c r="C9" s="19" t="s">
        <v>73</v>
      </c>
      <c r="D9" s="89" t="s">
        <v>74</v>
      </c>
      <c r="E9" s="19" t="s">
        <v>75</v>
      </c>
      <c r="F9" s="19" t="s">
        <v>76</v>
      </c>
      <c r="G9" s="19" t="s">
        <v>77</v>
      </c>
      <c r="H9" s="19" t="s">
        <v>78</v>
      </c>
    </row>
    <row r="10" spans="1:8" s="5" customFormat="1" x14ac:dyDescent="0.2">
      <c r="A10" s="58" t="s">
        <v>79</v>
      </c>
      <c r="B10" s="58" t="s">
        <v>25</v>
      </c>
      <c r="C10" s="40" t="s">
        <v>80</v>
      </c>
      <c r="D10" s="40" t="s">
        <v>25</v>
      </c>
      <c r="E10" s="58" t="s">
        <v>81</v>
      </c>
      <c r="F10" s="40" t="s">
        <v>82</v>
      </c>
      <c r="G10" s="59" t="s">
        <v>83</v>
      </c>
      <c r="H10" s="40" t="s">
        <v>84</v>
      </c>
    </row>
    <row r="11" spans="1:8" s="5" customFormat="1" x14ac:dyDescent="0.2">
      <c r="A11" s="60"/>
      <c r="B11" s="60" t="s">
        <v>33</v>
      </c>
      <c r="C11" s="41" t="s">
        <v>85</v>
      </c>
      <c r="D11" s="41" t="s">
        <v>33</v>
      </c>
      <c r="E11" s="60" t="s">
        <v>33</v>
      </c>
      <c r="F11" s="41" t="s">
        <v>86</v>
      </c>
      <c r="G11" s="34" t="s">
        <v>87</v>
      </c>
      <c r="H11" s="41"/>
    </row>
    <row r="12" spans="1:8" s="5" customFormat="1" x14ac:dyDescent="0.2">
      <c r="A12" s="60"/>
      <c r="B12" s="60" t="s">
        <v>88</v>
      </c>
      <c r="C12" s="41"/>
      <c r="D12" s="41" t="s">
        <v>89</v>
      </c>
      <c r="E12" s="60" t="s">
        <v>48</v>
      </c>
      <c r="F12" s="41" t="s">
        <v>48</v>
      </c>
      <c r="G12" s="62" t="s">
        <v>90</v>
      </c>
      <c r="H12" s="41"/>
    </row>
    <row r="13" spans="1:8" s="5" customFormat="1" x14ac:dyDescent="0.2">
      <c r="A13" s="60"/>
      <c r="B13" s="60" t="s">
        <v>91</v>
      </c>
      <c r="C13" s="41"/>
      <c r="D13" s="67" t="s">
        <v>52</v>
      </c>
      <c r="E13" s="60"/>
      <c r="F13" s="41"/>
      <c r="G13" s="34" t="s">
        <v>92</v>
      </c>
      <c r="H13" s="41"/>
    </row>
    <row r="14" spans="1:8" s="5" customFormat="1" ht="13.5" thickBot="1" x14ac:dyDescent="0.25">
      <c r="A14" s="64"/>
      <c r="B14" s="64" t="s">
        <v>85</v>
      </c>
      <c r="C14" s="42"/>
      <c r="D14" s="42" t="s">
        <v>48</v>
      </c>
      <c r="E14" s="64"/>
      <c r="F14" s="42"/>
      <c r="G14" s="56" t="s">
        <v>48</v>
      </c>
      <c r="H14" s="42"/>
    </row>
    <row r="15" spans="1:8" ht="13.5" thickBot="1" x14ac:dyDescent="0.25">
      <c r="A15" s="66" t="s">
        <v>93</v>
      </c>
      <c r="B15" s="87">
        <v>8.8277300000000007</v>
      </c>
      <c r="C15" s="88">
        <v>1.7458499999999999</v>
      </c>
      <c r="D15" s="88">
        <f>SUM(B15:C15)*12/365</f>
        <v>0.34762454794520548</v>
      </c>
      <c r="E15" s="90">
        <v>1.6199999999999999E-2</v>
      </c>
      <c r="F15" s="92">
        <v>1.0999999999999999E-2</v>
      </c>
      <c r="G15" s="91">
        <f>SUM(D15:F15)</f>
        <v>0.37482454794520548</v>
      </c>
      <c r="H15" s="93">
        <v>4.9500000000000002E-2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D21" sqref="D21"/>
    </sheetView>
  </sheetViews>
  <sheetFormatPr defaultRowHeight="12.75" x14ac:dyDescent="0.2"/>
  <cols>
    <col min="2" max="2" width="10.42578125" customWidth="1"/>
    <col min="3" max="3" width="10.85546875" customWidth="1"/>
    <col min="4" max="4" width="17.140625" customWidth="1"/>
    <col min="5" max="5" width="12.42578125" customWidth="1"/>
  </cols>
  <sheetData>
    <row r="1" spans="1:8" ht="27.75" x14ac:dyDescent="0.4">
      <c r="A1" s="17" t="s">
        <v>0</v>
      </c>
      <c r="B1" s="8"/>
      <c r="C1" s="8"/>
      <c r="D1" s="8"/>
      <c r="E1" s="8"/>
      <c r="F1" s="8"/>
      <c r="G1" s="8"/>
      <c r="H1" s="8"/>
    </row>
    <row r="2" spans="1:8" ht="27.75" x14ac:dyDescent="0.4">
      <c r="A2" s="17" t="s">
        <v>1</v>
      </c>
      <c r="B2" s="8"/>
      <c r="C2" s="8"/>
      <c r="D2" s="8"/>
      <c r="E2" s="8"/>
      <c r="F2" s="8"/>
      <c r="G2" s="8"/>
      <c r="H2" s="8"/>
    </row>
    <row r="3" spans="1:8" ht="27.75" x14ac:dyDescent="0.4">
      <c r="A3" s="17" t="s">
        <v>94</v>
      </c>
      <c r="B3" s="8"/>
      <c r="C3" s="8"/>
      <c r="D3" s="8"/>
      <c r="E3" s="8"/>
      <c r="F3" s="8"/>
      <c r="G3" s="8"/>
      <c r="H3" s="8"/>
    </row>
    <row r="4" spans="1:8" x14ac:dyDescent="0.2">
      <c r="A4" s="1"/>
      <c r="B4" s="1"/>
      <c r="C4" s="1"/>
      <c r="D4" s="1"/>
      <c r="E4" s="1"/>
      <c r="F4" s="1"/>
      <c r="G4" s="1"/>
      <c r="H4" s="1"/>
    </row>
    <row r="5" spans="1:8" x14ac:dyDescent="0.2">
      <c r="A5" s="7" t="s">
        <v>4</v>
      </c>
      <c r="B5" s="7"/>
      <c r="C5" s="83">
        <v>34151</v>
      </c>
      <c r="D5" s="1"/>
      <c r="E5" s="1"/>
      <c r="F5" s="1"/>
      <c r="G5" s="1"/>
      <c r="H5" s="1"/>
    </row>
    <row r="6" spans="1:8" x14ac:dyDescent="0.2">
      <c r="A6" s="7" t="s">
        <v>5</v>
      </c>
      <c r="B6" s="8"/>
      <c r="C6" s="1" t="s">
        <v>6</v>
      </c>
      <c r="D6" s="1"/>
      <c r="E6" s="1"/>
      <c r="F6" s="1"/>
      <c r="G6" s="1"/>
      <c r="H6" s="1"/>
    </row>
    <row r="7" spans="1:8" x14ac:dyDescent="0.2">
      <c r="A7" s="7" t="s">
        <v>71</v>
      </c>
      <c r="B7" s="8"/>
      <c r="C7" s="3">
        <v>50900</v>
      </c>
      <c r="D7" s="2" t="s">
        <v>12</v>
      </c>
      <c r="E7" s="1"/>
      <c r="F7" s="1"/>
      <c r="G7" s="1"/>
      <c r="H7" s="1"/>
    </row>
    <row r="8" spans="1:8" ht="13.5" thickBot="1" x14ac:dyDescent="0.25">
      <c r="A8" s="1"/>
      <c r="B8" s="1"/>
      <c r="C8" s="1"/>
      <c r="D8" s="1"/>
      <c r="E8" s="1"/>
      <c r="F8" s="1"/>
      <c r="G8" s="1"/>
      <c r="H8" s="1"/>
    </row>
    <row r="9" spans="1:8" ht="13.5" thickBot="1" x14ac:dyDescent="0.25">
      <c r="A9" s="5"/>
      <c r="B9" s="19" t="s">
        <v>20</v>
      </c>
      <c r="C9" s="19" t="s">
        <v>73</v>
      </c>
      <c r="D9" s="89" t="s">
        <v>74</v>
      </c>
      <c r="E9" s="19" t="s">
        <v>75</v>
      </c>
      <c r="F9" s="19" t="s">
        <v>76</v>
      </c>
      <c r="G9" s="19" t="s">
        <v>77</v>
      </c>
      <c r="H9" s="19" t="s">
        <v>78</v>
      </c>
    </row>
    <row r="10" spans="1:8" x14ac:dyDescent="0.2">
      <c r="A10" s="58" t="s">
        <v>79</v>
      </c>
      <c r="B10" s="58" t="s">
        <v>25</v>
      </c>
      <c r="C10" s="40" t="s">
        <v>95</v>
      </c>
      <c r="D10" s="40" t="s">
        <v>25</v>
      </c>
      <c r="E10" s="58" t="s">
        <v>81</v>
      </c>
      <c r="F10" s="40" t="s">
        <v>82</v>
      </c>
      <c r="G10" s="59" t="s">
        <v>83</v>
      </c>
      <c r="H10" s="40" t="s">
        <v>84</v>
      </c>
    </row>
    <row r="11" spans="1:8" x14ac:dyDescent="0.2">
      <c r="A11" s="60"/>
      <c r="B11" s="60" t="s">
        <v>33</v>
      </c>
      <c r="C11" s="41" t="s">
        <v>85</v>
      </c>
      <c r="D11" s="41" t="s">
        <v>33</v>
      </c>
      <c r="E11" s="60" t="s">
        <v>33</v>
      </c>
      <c r="F11" s="41" t="s">
        <v>86</v>
      </c>
      <c r="G11" s="34" t="s">
        <v>87</v>
      </c>
      <c r="H11" s="41"/>
    </row>
    <row r="12" spans="1:8" x14ac:dyDescent="0.2">
      <c r="A12" s="60"/>
      <c r="B12" s="41" t="s">
        <v>85</v>
      </c>
      <c r="C12" s="41"/>
      <c r="D12" s="41" t="s">
        <v>89</v>
      </c>
      <c r="E12" s="60" t="s">
        <v>48</v>
      </c>
      <c r="F12" s="41" t="s">
        <v>48</v>
      </c>
      <c r="G12" s="62" t="s">
        <v>90</v>
      </c>
      <c r="H12" s="41"/>
    </row>
    <row r="13" spans="1:8" x14ac:dyDescent="0.2">
      <c r="A13" s="60"/>
      <c r="B13" s="60"/>
      <c r="C13" s="41"/>
      <c r="D13" s="67" t="s">
        <v>52</v>
      </c>
      <c r="E13" s="60"/>
      <c r="F13" s="41"/>
      <c r="G13" s="34" t="s">
        <v>92</v>
      </c>
      <c r="H13" s="41"/>
    </row>
    <row r="14" spans="1:8" ht="13.5" thickBot="1" x14ac:dyDescent="0.25">
      <c r="A14" s="64"/>
      <c r="B14" s="64"/>
      <c r="C14" s="42"/>
      <c r="D14" s="42" t="s">
        <v>48</v>
      </c>
      <c r="E14" s="64"/>
      <c r="F14" s="42"/>
      <c r="G14" s="56" t="s">
        <v>48</v>
      </c>
      <c r="H14" s="42"/>
    </row>
    <row r="15" spans="1:8" ht="13.5" thickBot="1" x14ac:dyDescent="0.25">
      <c r="A15" s="66" t="s">
        <v>96</v>
      </c>
      <c r="B15" s="112">
        <v>19.98</v>
      </c>
      <c r="C15" s="92">
        <v>0.1623</v>
      </c>
      <c r="D15" s="92">
        <f>+(B15+C15)*0.0328767123287671</f>
        <v>0.66221260273972593</v>
      </c>
      <c r="E15" s="90">
        <v>2.0999999999999999E-3</v>
      </c>
      <c r="F15" s="92">
        <f>0.0022+0.0089</f>
        <v>1.11E-2</v>
      </c>
      <c r="G15" s="113">
        <f>+D15+E15+F15</f>
        <v>0.67541260273972592</v>
      </c>
      <c r="H15" s="93"/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D20" sqref="D20"/>
    </sheetView>
  </sheetViews>
  <sheetFormatPr defaultRowHeight="12.75" x14ac:dyDescent="0.2"/>
  <cols>
    <col min="2" max="2" width="10.28515625" customWidth="1"/>
    <col min="4" max="4" width="15.7109375" customWidth="1"/>
    <col min="5" max="5" width="12" customWidth="1"/>
    <col min="7" max="7" width="11" customWidth="1"/>
  </cols>
  <sheetData>
    <row r="1" spans="1:8" ht="27.75" x14ac:dyDescent="0.4">
      <c r="A1" s="17" t="s">
        <v>0</v>
      </c>
      <c r="B1" s="8"/>
      <c r="C1" s="8"/>
      <c r="D1" s="8"/>
      <c r="E1" s="8"/>
      <c r="F1" s="8"/>
      <c r="G1" s="8"/>
      <c r="H1" s="8"/>
    </row>
    <row r="2" spans="1:8" ht="27.75" x14ac:dyDescent="0.4">
      <c r="A2" s="17" t="s">
        <v>1</v>
      </c>
      <c r="B2" s="8"/>
      <c r="C2" s="8"/>
      <c r="D2" s="8"/>
      <c r="E2" s="8"/>
      <c r="F2" s="8"/>
      <c r="G2" s="8"/>
      <c r="H2" s="8"/>
    </row>
    <row r="3" spans="1:8" ht="27.75" x14ac:dyDescent="0.4">
      <c r="A3" s="17" t="s">
        <v>97</v>
      </c>
      <c r="B3" s="8"/>
      <c r="C3" s="8"/>
      <c r="D3" s="8"/>
      <c r="E3" s="8"/>
      <c r="F3" s="8"/>
      <c r="G3" s="8"/>
      <c r="H3" s="8"/>
    </row>
    <row r="4" spans="1:8" x14ac:dyDescent="0.2">
      <c r="A4" s="1"/>
      <c r="B4" s="1"/>
      <c r="C4" s="1"/>
      <c r="D4" s="1"/>
      <c r="E4" s="1"/>
      <c r="F4" s="1"/>
      <c r="G4" s="1"/>
      <c r="H4" s="1"/>
    </row>
    <row r="5" spans="1:8" x14ac:dyDescent="0.2">
      <c r="A5" s="7" t="s">
        <v>4</v>
      </c>
      <c r="B5" s="7"/>
      <c r="C5" s="83"/>
      <c r="D5" s="1"/>
      <c r="E5" s="1"/>
      <c r="F5" s="1"/>
      <c r="G5" s="1"/>
      <c r="H5" s="1"/>
    </row>
    <row r="6" spans="1:8" x14ac:dyDescent="0.2">
      <c r="A6" s="7" t="s">
        <v>5</v>
      </c>
      <c r="B6" s="8"/>
      <c r="C6" s="1"/>
      <c r="D6" s="1"/>
      <c r="E6" s="1"/>
      <c r="F6" s="1"/>
      <c r="G6" s="1"/>
      <c r="H6" s="1"/>
    </row>
    <row r="7" spans="1:8" x14ac:dyDescent="0.2">
      <c r="A7" s="7" t="s">
        <v>71</v>
      </c>
      <c r="B7" s="8"/>
      <c r="C7" s="3"/>
      <c r="D7" s="2" t="s">
        <v>12</v>
      </c>
      <c r="E7" s="1"/>
      <c r="F7" s="1"/>
      <c r="G7" s="1"/>
      <c r="H7" s="1"/>
    </row>
    <row r="8" spans="1:8" ht="13.5" thickBot="1" x14ac:dyDescent="0.25">
      <c r="A8" s="1"/>
      <c r="B8" s="1"/>
      <c r="C8" s="1"/>
      <c r="D8" s="1"/>
      <c r="E8" s="1"/>
      <c r="F8" s="1"/>
      <c r="G8" s="1"/>
      <c r="H8" s="1"/>
    </row>
    <row r="9" spans="1:8" ht="13.5" thickBot="1" x14ac:dyDescent="0.25">
      <c r="A9" s="5"/>
      <c r="B9" s="19" t="s">
        <v>20</v>
      </c>
      <c r="C9" s="19" t="s">
        <v>73</v>
      </c>
      <c r="D9" s="89" t="s">
        <v>74</v>
      </c>
      <c r="E9" s="19" t="s">
        <v>75</v>
      </c>
      <c r="F9" s="19" t="s">
        <v>76</v>
      </c>
      <c r="G9" s="19" t="s">
        <v>77</v>
      </c>
      <c r="H9" s="19" t="s">
        <v>78</v>
      </c>
    </row>
    <row r="10" spans="1:8" x14ac:dyDescent="0.2">
      <c r="A10" s="58" t="s">
        <v>79</v>
      </c>
      <c r="B10" s="58" t="s">
        <v>25</v>
      </c>
      <c r="C10" s="40" t="s">
        <v>80</v>
      </c>
      <c r="D10" s="40" t="s">
        <v>25</v>
      </c>
      <c r="E10" s="58" t="s">
        <v>81</v>
      </c>
      <c r="F10" s="40" t="s">
        <v>82</v>
      </c>
      <c r="G10" s="59" t="s">
        <v>83</v>
      </c>
      <c r="H10" s="40" t="s">
        <v>84</v>
      </c>
    </row>
    <row r="11" spans="1:8" x14ac:dyDescent="0.2">
      <c r="A11" s="60"/>
      <c r="B11" s="60" t="s">
        <v>33</v>
      </c>
      <c r="C11" s="41" t="s">
        <v>85</v>
      </c>
      <c r="D11" s="41" t="s">
        <v>33</v>
      </c>
      <c r="E11" s="60" t="s">
        <v>33</v>
      </c>
      <c r="F11" s="41" t="s">
        <v>86</v>
      </c>
      <c r="G11" s="34" t="s">
        <v>87</v>
      </c>
      <c r="H11" s="41"/>
    </row>
    <row r="12" spans="1:8" x14ac:dyDescent="0.2">
      <c r="A12" s="60"/>
      <c r="B12" s="60" t="s">
        <v>88</v>
      </c>
      <c r="C12" s="41"/>
      <c r="D12" s="41" t="s">
        <v>89</v>
      </c>
      <c r="E12" s="60" t="s">
        <v>48</v>
      </c>
      <c r="F12" s="41" t="s">
        <v>48</v>
      </c>
      <c r="G12" s="62" t="s">
        <v>90</v>
      </c>
      <c r="H12" s="41"/>
    </row>
    <row r="13" spans="1:8" x14ac:dyDescent="0.2">
      <c r="A13" s="60"/>
      <c r="B13" s="60" t="s">
        <v>91</v>
      </c>
      <c r="C13" s="41"/>
      <c r="D13" s="67" t="s">
        <v>52</v>
      </c>
      <c r="E13" s="60"/>
      <c r="F13" s="41"/>
      <c r="G13" s="34" t="s">
        <v>92</v>
      </c>
      <c r="H13" s="41"/>
    </row>
    <row r="14" spans="1:8" ht="13.5" thickBot="1" x14ac:dyDescent="0.25">
      <c r="A14" s="64"/>
      <c r="B14" s="64" t="s">
        <v>85</v>
      </c>
      <c r="C14" s="42"/>
      <c r="D14" s="42" t="s">
        <v>48</v>
      </c>
      <c r="E14" s="64"/>
      <c r="F14" s="42"/>
      <c r="G14" s="56" t="s">
        <v>48</v>
      </c>
      <c r="H14" s="42"/>
    </row>
    <row r="15" spans="1:8" ht="13.5" thickBot="1" x14ac:dyDescent="0.25">
      <c r="A15" s="66" t="s">
        <v>93</v>
      </c>
      <c r="B15" s="87"/>
      <c r="C15" s="88"/>
      <c r="D15" s="88">
        <v>0.32800000000000001</v>
      </c>
      <c r="E15" s="90">
        <v>1E-3</v>
      </c>
      <c r="F15" s="92">
        <v>1.0999999999999999E-2</v>
      </c>
      <c r="G15" s="91">
        <f>SUM(D15:F15)</f>
        <v>0.34</v>
      </c>
      <c r="H15" s="93"/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29" sqref="C29"/>
    </sheetView>
  </sheetViews>
  <sheetFormatPr defaultRowHeight="12.75" x14ac:dyDescent="0.2"/>
  <cols>
    <col min="1" max="1" width="24.42578125" customWidth="1"/>
    <col min="3" max="3" width="25.7109375" customWidth="1"/>
    <col min="5" max="5" width="11.42578125" customWidth="1"/>
  </cols>
  <sheetData>
    <row r="1" spans="1:5" ht="18" x14ac:dyDescent="0.25">
      <c r="A1" s="95" t="s">
        <v>98</v>
      </c>
      <c r="B1" s="96"/>
      <c r="C1" s="8"/>
      <c r="D1" s="97"/>
      <c r="E1" s="8"/>
    </row>
    <row r="2" spans="1:5" ht="18.75" thickBot="1" x14ac:dyDescent="0.3">
      <c r="A2" s="95"/>
      <c r="B2" s="1"/>
      <c r="C2" s="1"/>
      <c r="D2" s="98"/>
      <c r="E2" s="1"/>
    </row>
    <row r="3" spans="1:5" x14ac:dyDescent="0.2">
      <c r="A3" s="99" t="s">
        <v>99</v>
      </c>
      <c r="B3" s="99" t="s">
        <v>100</v>
      </c>
      <c r="C3" s="100" t="s">
        <v>84</v>
      </c>
      <c r="D3" s="101" t="s">
        <v>101</v>
      </c>
      <c r="E3" s="40" t="s">
        <v>102</v>
      </c>
    </row>
    <row r="4" spans="1:5" x14ac:dyDescent="0.2">
      <c r="A4" s="102" t="s">
        <v>103</v>
      </c>
      <c r="B4" s="102" t="s">
        <v>104</v>
      </c>
      <c r="C4" s="103"/>
      <c r="D4" s="104" t="s">
        <v>105</v>
      </c>
      <c r="E4" s="41" t="s">
        <v>106</v>
      </c>
    </row>
    <row r="5" spans="1:5" ht="13.5" thickBot="1" x14ac:dyDescent="0.25">
      <c r="A5" s="105"/>
      <c r="B5" s="105"/>
      <c r="C5" s="106"/>
      <c r="D5" s="107"/>
      <c r="E5" s="42" t="s">
        <v>107</v>
      </c>
    </row>
    <row r="6" spans="1:5" x14ac:dyDescent="0.2">
      <c r="A6" s="41" t="s">
        <v>108</v>
      </c>
      <c r="B6" s="108" t="s">
        <v>109</v>
      </c>
      <c r="C6" s="108" t="s">
        <v>110</v>
      </c>
      <c r="D6" s="109">
        <v>19</v>
      </c>
      <c r="E6" s="108">
        <v>1972</v>
      </c>
    </row>
    <row r="7" spans="1:5" x14ac:dyDescent="0.2">
      <c r="A7" s="41"/>
      <c r="B7" s="108" t="s">
        <v>111</v>
      </c>
      <c r="C7" s="108" t="s">
        <v>110</v>
      </c>
      <c r="D7" s="109">
        <v>19</v>
      </c>
      <c r="E7" s="108">
        <v>1972</v>
      </c>
    </row>
    <row r="8" spans="1:5" x14ac:dyDescent="0.2">
      <c r="A8" s="41"/>
      <c r="B8" s="108" t="s">
        <v>112</v>
      </c>
      <c r="C8" s="108" t="s">
        <v>110</v>
      </c>
      <c r="D8" s="109">
        <v>19</v>
      </c>
      <c r="E8" s="108">
        <v>1972</v>
      </c>
    </row>
    <row r="9" spans="1:5" x14ac:dyDescent="0.2">
      <c r="A9" s="41"/>
      <c r="B9" s="108" t="s">
        <v>113</v>
      </c>
      <c r="C9" s="108" t="s">
        <v>110</v>
      </c>
      <c r="D9" s="109">
        <v>19</v>
      </c>
      <c r="E9" s="108">
        <v>1972</v>
      </c>
    </row>
    <row r="10" spans="1:5" x14ac:dyDescent="0.2">
      <c r="A10" s="41"/>
      <c r="B10" s="108">
        <v>4</v>
      </c>
      <c r="C10" s="108" t="s">
        <v>114</v>
      </c>
      <c r="D10" s="109">
        <v>86</v>
      </c>
      <c r="E10" s="108">
        <v>1948</v>
      </c>
    </row>
    <row r="11" spans="1:5" x14ac:dyDescent="0.2">
      <c r="A11" s="41"/>
      <c r="B11" s="108">
        <v>5</v>
      </c>
      <c r="C11" s="108" t="s">
        <v>114</v>
      </c>
      <c r="D11" s="109">
        <v>86</v>
      </c>
      <c r="E11" s="108">
        <v>1949</v>
      </c>
    </row>
    <row r="12" spans="1:5" x14ac:dyDescent="0.2">
      <c r="A12" s="41" t="s">
        <v>115</v>
      </c>
      <c r="B12" s="108">
        <v>1</v>
      </c>
      <c r="C12" s="108" t="s">
        <v>110</v>
      </c>
      <c r="D12" s="109">
        <v>222</v>
      </c>
      <c r="E12" s="108">
        <v>1962</v>
      </c>
    </row>
    <row r="13" spans="1:5" x14ac:dyDescent="0.2">
      <c r="A13" s="41"/>
      <c r="B13" s="108">
        <v>2</v>
      </c>
      <c r="C13" s="108" t="s">
        <v>110</v>
      </c>
      <c r="D13" s="109">
        <v>222</v>
      </c>
      <c r="E13" s="108">
        <v>1963</v>
      </c>
    </row>
    <row r="14" spans="1:5" x14ac:dyDescent="0.2">
      <c r="A14" s="41"/>
      <c r="B14" s="108">
        <v>3</v>
      </c>
      <c r="C14" s="108" t="s">
        <v>110</v>
      </c>
      <c r="D14" s="109">
        <v>222</v>
      </c>
      <c r="E14" s="108">
        <v>1964</v>
      </c>
    </row>
    <row r="15" spans="1:5" x14ac:dyDescent="0.2">
      <c r="A15" s="41"/>
      <c r="B15" s="108">
        <v>4</v>
      </c>
      <c r="C15" s="108" t="s">
        <v>110</v>
      </c>
      <c r="D15" s="109">
        <v>222</v>
      </c>
      <c r="E15" s="108">
        <v>1964</v>
      </c>
    </row>
    <row r="16" spans="1:5" x14ac:dyDescent="0.2">
      <c r="A16" s="41"/>
      <c r="B16" s="108">
        <v>5</v>
      </c>
      <c r="C16" s="108" t="s">
        <v>110</v>
      </c>
      <c r="D16" s="109">
        <v>341</v>
      </c>
      <c r="E16" s="108">
        <v>1966</v>
      </c>
    </row>
    <row r="17" spans="1:5" x14ac:dyDescent="0.2">
      <c r="A17" s="41"/>
      <c r="B17" s="108">
        <v>6</v>
      </c>
      <c r="C17" s="108" t="s">
        <v>110</v>
      </c>
      <c r="D17" s="109">
        <v>341</v>
      </c>
      <c r="E17" s="108">
        <v>1967</v>
      </c>
    </row>
    <row r="18" spans="1:5" x14ac:dyDescent="0.2">
      <c r="A18" s="41" t="s">
        <v>116</v>
      </c>
      <c r="B18" s="108">
        <v>1</v>
      </c>
      <c r="C18" s="108" t="s">
        <v>110</v>
      </c>
      <c r="D18" s="109">
        <v>179</v>
      </c>
      <c r="E18" s="108">
        <v>1958</v>
      </c>
    </row>
    <row r="19" spans="1:5" x14ac:dyDescent="0.2">
      <c r="A19" s="41"/>
      <c r="B19" s="108">
        <v>2</v>
      </c>
      <c r="C19" s="108" t="s">
        <v>110</v>
      </c>
      <c r="D19" s="109">
        <v>179</v>
      </c>
      <c r="E19" s="108">
        <v>1959</v>
      </c>
    </row>
    <row r="20" spans="1:5" x14ac:dyDescent="0.2">
      <c r="A20" s="41"/>
      <c r="B20" s="108">
        <v>3</v>
      </c>
      <c r="C20" s="108" t="s">
        <v>110</v>
      </c>
      <c r="D20" s="109">
        <v>358</v>
      </c>
      <c r="E20" s="108">
        <v>1974</v>
      </c>
    </row>
    <row r="21" spans="1:5" x14ac:dyDescent="0.2">
      <c r="A21" s="41" t="s">
        <v>117</v>
      </c>
      <c r="B21" s="108">
        <v>1</v>
      </c>
      <c r="C21" s="108" t="s">
        <v>118</v>
      </c>
      <c r="D21" s="109">
        <v>95</v>
      </c>
      <c r="E21" s="108">
        <v>1954</v>
      </c>
    </row>
    <row r="22" spans="1:5" x14ac:dyDescent="0.2">
      <c r="A22" s="41"/>
      <c r="B22" s="108">
        <v>2</v>
      </c>
      <c r="C22" s="108" t="s">
        <v>118</v>
      </c>
      <c r="D22" s="109">
        <v>99</v>
      </c>
      <c r="E22" s="108">
        <v>1954</v>
      </c>
    </row>
    <row r="23" spans="1:5" x14ac:dyDescent="0.2">
      <c r="A23" s="41"/>
      <c r="B23" s="108">
        <v>3</v>
      </c>
      <c r="C23" s="108" t="s">
        <v>110</v>
      </c>
      <c r="D23" s="109">
        <v>163</v>
      </c>
      <c r="E23" s="108">
        <v>1955</v>
      </c>
    </row>
    <row r="24" spans="1:5" ht="13.5" thickBot="1" x14ac:dyDescent="0.25">
      <c r="A24" s="41"/>
      <c r="B24" s="108">
        <v>4</v>
      </c>
      <c r="C24" s="108" t="s">
        <v>110</v>
      </c>
      <c r="D24" s="109">
        <v>160</v>
      </c>
      <c r="E24" s="108">
        <v>1956</v>
      </c>
    </row>
    <row r="25" spans="1:5" ht="13.5" thickBot="1" x14ac:dyDescent="0.25">
      <c r="A25" s="19" t="s">
        <v>68</v>
      </c>
      <c r="B25" s="110"/>
      <c r="C25" s="110"/>
      <c r="D25" s="111">
        <f>SUM(D6:D24)</f>
        <v>3051</v>
      </c>
      <c r="E25" s="110"/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Pricing &amp; Purchase Strategy</vt:lpstr>
      <vt:lpstr>El Paso Capacity</vt:lpstr>
      <vt:lpstr>Kern River Capacity</vt:lpstr>
      <vt:lpstr>Mojave Pipeline Capacity</vt:lpstr>
      <vt:lpstr>Gas Fired Generation Facilities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ldyer</dc:creator>
  <cp:lastModifiedBy>Jan Havlíček</cp:lastModifiedBy>
  <cp:lastPrinted>1998-06-06T15:40:57Z</cp:lastPrinted>
  <dcterms:created xsi:type="dcterms:W3CDTF">1998-06-06T14:23:09Z</dcterms:created>
  <dcterms:modified xsi:type="dcterms:W3CDTF">2023-09-17T13:50:07Z</dcterms:modified>
</cp:coreProperties>
</file>