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72530A-3F35-490C-86F8-9432DBB6285F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Quantity &amp; Delivery Pt Summary" sheetId="1" r:id="rId1"/>
    <sheet name="NNG" sheetId="5" r:id="rId2"/>
    <sheet name="Physical Premium" sheetId="4" r:id="rId3"/>
    <sheet name="Quantity by Point" sheetId="2" r:id="rId4"/>
    <sheet name="Sheet3" sheetId="3" r:id="rId5"/>
  </sheets>
  <calcPr calcId="0"/>
</workbook>
</file>

<file path=xl/calcChain.xml><?xml version="1.0" encoding="utf-8"?>
<calcChain xmlns="http://schemas.openxmlformats.org/spreadsheetml/2006/main">
  <c r="B5" i="5" l="1"/>
  <c r="H5" i="5"/>
  <c r="B6" i="5"/>
  <c r="H6" i="5"/>
  <c r="B7" i="5"/>
  <c r="H7" i="5"/>
  <c r="B8" i="5"/>
  <c r="H8" i="5"/>
  <c r="B9" i="5"/>
  <c r="H9" i="5"/>
  <c r="B10" i="5"/>
  <c r="H10" i="5"/>
  <c r="B11" i="5"/>
  <c r="H11" i="5"/>
  <c r="B12" i="5"/>
  <c r="H12" i="5"/>
  <c r="B13" i="5"/>
  <c r="H13" i="5"/>
  <c r="B14" i="5"/>
  <c r="H14" i="5"/>
  <c r="B15" i="5"/>
  <c r="H15" i="5"/>
  <c r="B16" i="5"/>
  <c r="H16" i="5"/>
  <c r="B17" i="5"/>
  <c r="H17" i="5"/>
  <c r="B18" i="5"/>
  <c r="H18" i="5"/>
  <c r="B19" i="5"/>
  <c r="H19" i="5"/>
  <c r="B20" i="5"/>
  <c r="H20" i="5"/>
  <c r="B21" i="5"/>
  <c r="H21" i="5"/>
  <c r="B22" i="5"/>
  <c r="H22" i="5"/>
  <c r="B23" i="5"/>
  <c r="H23" i="5"/>
  <c r="B24" i="5"/>
  <c r="H24" i="5"/>
  <c r="B25" i="5"/>
  <c r="H25" i="5"/>
  <c r="B26" i="5"/>
  <c r="H26" i="5"/>
  <c r="B27" i="5"/>
  <c r="H27" i="5"/>
  <c r="B28" i="5"/>
  <c r="H28" i="5"/>
  <c r="B29" i="5"/>
  <c r="H29" i="5"/>
  <c r="B30" i="5"/>
  <c r="H30" i="5"/>
  <c r="B31" i="5"/>
  <c r="H31" i="5"/>
  <c r="B32" i="5"/>
  <c r="H32" i="5"/>
  <c r="B33" i="5"/>
  <c r="H33" i="5"/>
  <c r="B34" i="5"/>
  <c r="H34" i="5"/>
  <c r="B35" i="5"/>
  <c r="H35" i="5"/>
  <c r="B36" i="5"/>
  <c r="H36" i="5"/>
  <c r="B37" i="5"/>
  <c r="H37" i="5"/>
  <c r="B38" i="5"/>
  <c r="H38" i="5"/>
  <c r="B39" i="5"/>
  <c r="H39" i="5"/>
  <c r="B40" i="5"/>
  <c r="H40" i="5"/>
  <c r="B41" i="5"/>
  <c r="H41" i="5"/>
  <c r="B42" i="5"/>
  <c r="H42" i="5"/>
  <c r="B43" i="5"/>
  <c r="H43" i="5"/>
  <c r="B44" i="5"/>
  <c r="H44" i="5"/>
  <c r="B45" i="5"/>
  <c r="H45" i="5"/>
  <c r="B46" i="5"/>
  <c r="H46" i="5"/>
  <c r="B47" i="5"/>
  <c r="H47" i="5"/>
  <c r="B48" i="5"/>
  <c r="H48" i="5"/>
  <c r="B49" i="5"/>
  <c r="H49" i="5"/>
  <c r="B50" i="5"/>
  <c r="H50" i="5"/>
  <c r="B51" i="5"/>
  <c r="H51" i="5"/>
  <c r="B52" i="5"/>
  <c r="H52" i="5"/>
  <c r="B53" i="5"/>
  <c r="H53" i="5"/>
  <c r="B54" i="5"/>
  <c r="H54" i="5"/>
  <c r="B55" i="5"/>
  <c r="H55" i="5"/>
  <c r="B56" i="5"/>
  <c r="H56" i="5"/>
  <c r="B57" i="5"/>
  <c r="H57" i="5"/>
  <c r="B58" i="5"/>
  <c r="H58" i="5"/>
  <c r="B59" i="5"/>
  <c r="H59" i="5"/>
  <c r="B60" i="5"/>
  <c r="H60" i="5"/>
  <c r="B61" i="5"/>
  <c r="H61" i="5"/>
  <c r="B62" i="5"/>
  <c r="H62" i="5"/>
  <c r="B63" i="5"/>
  <c r="H63" i="5"/>
  <c r="B64" i="5"/>
  <c r="H64" i="5"/>
  <c r="B65" i="5"/>
  <c r="H65" i="5"/>
  <c r="B66" i="5"/>
  <c r="H66" i="5"/>
  <c r="B67" i="5"/>
  <c r="H67" i="5"/>
  <c r="B68" i="5"/>
  <c r="H68" i="5"/>
  <c r="B69" i="5"/>
  <c r="H69" i="5"/>
  <c r="B70" i="5"/>
  <c r="H70" i="5"/>
  <c r="B71" i="5"/>
  <c r="H71" i="5"/>
  <c r="B72" i="5"/>
  <c r="H72" i="5"/>
  <c r="B73" i="5"/>
  <c r="H73" i="5"/>
  <c r="B74" i="5"/>
  <c r="H74" i="5"/>
  <c r="B75" i="5"/>
  <c r="H75" i="5"/>
  <c r="B76" i="5"/>
  <c r="H76" i="5"/>
  <c r="B77" i="5"/>
  <c r="H77" i="5"/>
  <c r="B78" i="5"/>
  <c r="H78" i="5"/>
  <c r="B79" i="5"/>
  <c r="H79" i="5"/>
  <c r="B80" i="5"/>
  <c r="H80" i="5"/>
  <c r="B81" i="5"/>
  <c r="H81" i="5"/>
  <c r="B82" i="5"/>
  <c r="H82" i="5"/>
  <c r="B83" i="5"/>
  <c r="H83" i="5"/>
  <c r="B84" i="5"/>
  <c r="H84" i="5"/>
  <c r="B85" i="5"/>
  <c r="H85" i="5"/>
  <c r="B86" i="5"/>
  <c r="H86" i="5"/>
  <c r="B87" i="5"/>
  <c r="H87" i="5"/>
  <c r="B88" i="5"/>
  <c r="H88" i="5"/>
  <c r="B89" i="5"/>
  <c r="H89" i="5"/>
  <c r="B90" i="5"/>
  <c r="H90" i="5"/>
  <c r="B91" i="5"/>
  <c r="H91" i="5"/>
  <c r="B92" i="5"/>
  <c r="H92" i="5"/>
  <c r="B93" i="5"/>
  <c r="H93" i="5"/>
  <c r="B94" i="5"/>
  <c r="H94" i="5"/>
  <c r="B95" i="5"/>
  <c r="H95" i="5"/>
  <c r="B96" i="5"/>
  <c r="H96" i="5"/>
  <c r="B97" i="5"/>
  <c r="H97" i="5"/>
  <c r="B98" i="5"/>
  <c r="H98" i="5"/>
  <c r="B99" i="5"/>
  <c r="H99" i="5"/>
  <c r="B100" i="5"/>
  <c r="H100" i="5"/>
  <c r="B101" i="5"/>
  <c r="H101" i="5"/>
  <c r="B102" i="5"/>
  <c r="H102" i="5"/>
  <c r="B103" i="5"/>
  <c r="H103" i="5"/>
  <c r="B104" i="5"/>
  <c r="H104" i="5"/>
  <c r="B105" i="5"/>
  <c r="H105" i="5"/>
  <c r="B106" i="5"/>
  <c r="H106" i="5"/>
  <c r="B107" i="5"/>
  <c r="H107" i="5"/>
  <c r="B108" i="5"/>
  <c r="H108" i="5"/>
  <c r="B109" i="5"/>
  <c r="H109" i="5"/>
  <c r="B110" i="5"/>
  <c r="H110" i="5"/>
  <c r="B111" i="5"/>
  <c r="H111" i="5"/>
  <c r="B112" i="5"/>
  <c r="H112" i="5"/>
  <c r="B113" i="5"/>
  <c r="H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D143" i="5"/>
  <c r="B8" i="4"/>
  <c r="B9" i="4"/>
  <c r="B10" i="4"/>
  <c r="B11" i="4"/>
  <c r="B12" i="4"/>
  <c r="B13" i="4"/>
  <c r="B15" i="4"/>
  <c r="C15" i="4"/>
  <c r="C17" i="4"/>
  <c r="R14" i="1"/>
  <c r="R15" i="1"/>
  <c r="R16" i="1"/>
  <c r="R17" i="1"/>
  <c r="R18" i="1"/>
  <c r="B9" i="2"/>
  <c r="C9" i="2"/>
  <c r="D9" i="2"/>
  <c r="E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F11" i="2"/>
  <c r="G11" i="2"/>
  <c r="H11" i="2"/>
  <c r="I11" i="2"/>
  <c r="B12" i="2"/>
  <c r="C12" i="2"/>
  <c r="D12" i="2"/>
  <c r="F12" i="2"/>
  <c r="G12" i="2"/>
  <c r="H12" i="2"/>
  <c r="I12" i="2"/>
  <c r="B13" i="2"/>
  <c r="C13" i="2"/>
  <c r="D13" i="2"/>
  <c r="F13" i="2"/>
  <c r="G13" i="2"/>
  <c r="H13" i="2"/>
  <c r="I13" i="2"/>
  <c r="B14" i="2"/>
  <c r="C14" i="2"/>
  <c r="D14" i="2"/>
  <c r="F14" i="2"/>
  <c r="G14" i="2"/>
  <c r="H14" i="2"/>
  <c r="I14" i="2"/>
  <c r="B15" i="2"/>
  <c r="C15" i="2"/>
  <c r="D15" i="2"/>
  <c r="F15" i="2"/>
  <c r="G15" i="2"/>
  <c r="H15" i="2"/>
  <c r="I15" i="2"/>
  <c r="B16" i="2"/>
  <c r="C16" i="2"/>
  <c r="D16" i="2"/>
  <c r="F16" i="2"/>
  <c r="G16" i="2"/>
  <c r="H16" i="2"/>
  <c r="I16" i="2"/>
  <c r="B17" i="2"/>
  <c r="C17" i="2"/>
  <c r="D17" i="2"/>
  <c r="F17" i="2"/>
  <c r="G17" i="2"/>
  <c r="H17" i="2"/>
  <c r="I17" i="2"/>
  <c r="B18" i="2"/>
  <c r="C18" i="2"/>
  <c r="D18" i="2"/>
  <c r="F18" i="2"/>
  <c r="G18" i="2"/>
  <c r="H18" i="2"/>
  <c r="I18" i="2"/>
  <c r="B19" i="2"/>
  <c r="C19" i="2"/>
  <c r="D19" i="2"/>
  <c r="F19" i="2"/>
  <c r="G19" i="2"/>
  <c r="H19" i="2"/>
  <c r="I19" i="2"/>
  <c r="B20" i="2"/>
  <c r="C20" i="2"/>
  <c r="D20" i="2"/>
  <c r="F20" i="2"/>
  <c r="G20" i="2"/>
  <c r="H20" i="2"/>
  <c r="I20" i="2"/>
  <c r="B21" i="2"/>
  <c r="C21" i="2"/>
  <c r="D21" i="2"/>
  <c r="F21" i="2"/>
  <c r="G21" i="2"/>
  <c r="H21" i="2"/>
  <c r="I21" i="2"/>
  <c r="B22" i="2"/>
  <c r="C22" i="2"/>
  <c r="D22" i="2"/>
  <c r="E22" i="2"/>
  <c r="F22" i="2"/>
  <c r="G22" i="2"/>
  <c r="H22" i="2"/>
  <c r="I22" i="2"/>
  <c r="I23" i="2"/>
</calcChain>
</file>

<file path=xl/sharedStrings.xml><?xml version="1.0" encoding="utf-8"?>
<sst xmlns="http://schemas.openxmlformats.org/spreadsheetml/2006/main" count="107" uniqueCount="66">
  <si>
    <t>12 Year Prepay with APEA</t>
  </si>
  <si>
    <t>Entity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</si>
  <si>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</si>
  <si>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</si>
  <si>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</si>
  <si>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</si>
  <si>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</si>
  <si>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</si>
  <si>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</si>
  <si>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</si>
  <si>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</si>
  <si>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</si>
  <si>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</si>
  <si>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</si>
  <si>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Pasadena</t>
  </si>
  <si>
    <t>Quantity MMBtu/d</t>
  </si>
  <si>
    <t>Glendale</t>
  </si>
  <si>
    <t>SMUD</t>
  </si>
  <si>
    <t>APEA</t>
  </si>
  <si>
    <t>Primary</t>
  </si>
  <si>
    <t>Term</t>
  </si>
  <si>
    <t>4 Years</t>
  </si>
  <si>
    <t>3 Years</t>
  </si>
  <si>
    <t>Start</t>
  </si>
  <si>
    <t>Date</t>
  </si>
  <si>
    <t>Primary Term</t>
  </si>
  <si>
    <t>End Date</t>
  </si>
  <si>
    <t>2 Years</t>
  </si>
  <si>
    <t>Delivery</t>
  </si>
  <si>
    <t>Point</t>
  </si>
  <si>
    <t>Topock</t>
  </si>
  <si>
    <t>NNG Demarcation</t>
  </si>
  <si>
    <t>2/3 Malin, 1/3 Permian</t>
  </si>
  <si>
    <t>4 Year Transactions to Support Term Prepay</t>
  </si>
  <si>
    <t>Clark County PUD</t>
  </si>
  <si>
    <t>NIT ("AECO C")</t>
  </si>
  <si>
    <t>NWPL, Sumas</t>
  </si>
  <si>
    <t>Year</t>
  </si>
  <si>
    <t>Clark</t>
  </si>
  <si>
    <t>NGPA</t>
  </si>
  <si>
    <t>MMBtu</t>
  </si>
  <si>
    <t>Total</t>
  </si>
  <si>
    <t>Quantity</t>
  </si>
  <si>
    <t>Physical</t>
  </si>
  <si>
    <t>Premium</t>
  </si>
  <si>
    <t>AECO</t>
  </si>
  <si>
    <t>Malin</t>
  </si>
  <si>
    <t>Sumas</t>
  </si>
  <si>
    <t>NNG</t>
  </si>
  <si>
    <t>Permian</t>
  </si>
  <si>
    <t>San Juan</t>
  </si>
  <si>
    <t>TOTAL:</t>
  </si>
  <si>
    <t>C/MMBtu</t>
  </si>
  <si>
    <t>Current Quotes</t>
  </si>
  <si>
    <t>Quantity Summary</t>
  </si>
  <si>
    <t>3rd Party Swap:</t>
  </si>
  <si>
    <t>Month</t>
  </si>
  <si>
    <t>Sumas 
Index Premium
Offers
(US/MM)</t>
  </si>
  <si>
    <t>Aeco
Index
Premium
Offers
(C/GJ)</t>
  </si>
  <si>
    <t>Days per Month</t>
  </si>
  <si>
    <t>Quantity  MMBtu/d</t>
  </si>
  <si>
    <t>Premium C/MMBtu</t>
  </si>
  <si>
    <t>Monthly Quantity MMBtu</t>
  </si>
  <si>
    <t>Gas Prepay</t>
  </si>
  <si>
    <t>Physical Premiums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</si>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</sst>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\-mmm\-yy"/>
    <numFmt numFmtId="167" formatCode="0.000"/>
    <numFmt numFmtId="169" formatCode="0.000_);\(0.000\)"/>
    <numFmt numFmtId="171" formatCode="#,##0.000_);\(#,##0.000\)"/>
    <numFmt numFmtId="172" formatCode="0_);\(0\)"/>
    <numFmt numFmtId="176" formatCode="#,##0.00000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37" fontId="1" fillId="0" borderId="6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7" fontId="1" fillId="0" borderId="1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37" fontId="0" fillId="0" borderId="10" xfId="0" applyNumberFormat="1" applyBorder="1" applyAlignment="1">
      <alignment horizontal="center"/>
    </xf>
    <xf numFmtId="37" fontId="1" fillId="0" borderId="7" xfId="0" applyNumberFormat="1" applyFont="1" applyBorder="1" applyAlignment="1">
      <alignment horizontal="center"/>
    </xf>
    <xf numFmtId="37" fontId="1" fillId="0" borderId="11" xfId="0" applyNumberFormat="1" applyFont="1" applyBorder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37" fontId="0" fillId="0" borderId="11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37" fontId="1" fillId="0" borderId="9" xfId="0" applyNumberFormat="1" applyFont="1" applyBorder="1" applyAlignment="1">
      <alignment horizontal="center"/>
    </xf>
    <xf numFmtId="37" fontId="1" fillId="0" borderId="4" xfId="0" applyNumberFormat="1" applyFon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0" fillId="0" borderId="9" xfId="0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11" xfId="0" applyNumberFormat="1" applyBorder="1" applyAlignment="1">
      <alignment horizontal="center"/>
    </xf>
    <xf numFmtId="37" fontId="0" fillId="0" borderId="15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9" xfId="0" applyNumberFormat="1" applyBorder="1" applyAlignment="1">
      <alignment horizontal="center"/>
    </xf>
    <xf numFmtId="17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top"/>
    </xf>
    <xf numFmtId="17" fontId="1" fillId="0" borderId="13" xfId="0" applyNumberFormat="1" applyFont="1" applyBorder="1" applyAlignment="1">
      <alignment horizontal="center" vertical="top"/>
    </xf>
    <xf numFmtId="172" fontId="1" fillId="0" borderId="5" xfId="0" applyNumberFormat="1" applyFont="1" applyBorder="1" applyAlignment="1">
      <alignment horizontal="center" vertical="top" wrapText="1"/>
    </xf>
    <xf numFmtId="37" fontId="1" fillId="0" borderId="2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7" fontId="0" fillId="0" borderId="7" xfId="0" applyNumberFormat="1" applyBorder="1" applyAlignment="1">
      <alignment horizontal="center"/>
    </xf>
    <xf numFmtId="172" fontId="0" fillId="0" borderId="3" xfId="0" applyNumberFormat="1" applyBorder="1" applyAlignment="1">
      <alignment horizontal="center"/>
    </xf>
    <xf numFmtId="37" fontId="0" fillId="0" borderId="14" xfId="0" applyNumberFormat="1" applyBorder="1" applyAlignment="1">
      <alignment horizontal="center"/>
    </xf>
    <xf numFmtId="172" fontId="0" fillId="0" borderId="10" xfId="0" applyNumberForma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167" fontId="0" fillId="0" borderId="15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69" fontId="0" fillId="0" borderId="4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17" fontId="0" fillId="0" borderId="9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172" fontId="3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workbookViewId="0">
      <selection activeCell="B22" sqref="B22"/>
    </sheetView>
  </sheetViews>
  <sheetFormatPr defaultRowHeight="12.75" x14ac:dyDescent="0.2"/>
  <cols>
    <col min="1" max="1" width="17.7109375" style="2" customWidth="1"/>
    <col min="2" max="2" width="10.5703125" style="2" customWidth="1"/>
    <col min="3" max="3" width="11.7109375" style="10" customWidth="1"/>
    <col min="4" max="4" width="15.85546875" style="10" customWidth="1"/>
    <col min="5" max="5" width="22.140625" style="10" customWidth="1"/>
    <col min="6" max="17" width="8.140625" style="2" customWidth="1"/>
    <col min="18" max="16384" width="9.140625" style="1"/>
  </cols>
  <sheetData>
    <row r="1" spans="1:18" ht="26.25" x14ac:dyDescent="0.4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18" ht="26.25" x14ac:dyDescent="0.4">
      <c r="A2" s="105" t="s">
        <v>33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</row>
    <row r="5" spans="1:18" ht="13.5" thickBot="1" x14ac:dyDescent="0.25">
      <c r="Q5" s="1"/>
    </row>
    <row r="6" spans="1:18" ht="16.5" thickBot="1" x14ac:dyDescent="0.3">
      <c r="A6" s="5" t="s">
        <v>1</v>
      </c>
      <c r="B6" s="9" t="s">
        <v>19</v>
      </c>
      <c r="C6" s="11" t="s">
        <v>23</v>
      </c>
      <c r="D6" s="15" t="s">
        <v>25</v>
      </c>
      <c r="E6" s="13" t="s">
        <v>28</v>
      </c>
      <c r="F6" s="106" t="s">
        <v>15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1:18" ht="16.5" thickBot="1" x14ac:dyDescent="0.3">
      <c r="A7" s="6"/>
      <c r="B7" s="6" t="s">
        <v>20</v>
      </c>
      <c r="C7" s="12" t="s">
        <v>24</v>
      </c>
      <c r="D7" s="12" t="s">
        <v>26</v>
      </c>
      <c r="E7" s="14" t="s">
        <v>29</v>
      </c>
      <c r="F7" s="7" t="s">
        <v>2</v>
      </c>
      <c r="G7" s="3" t="s">
        <v>3</v>
      </c>
      <c r="H7" s="7" t="s">
        <v>4</v>
      </c>
      <c r="I7" s="3" t="s">
        <v>5</v>
      </c>
      <c r="J7" s="7" t="s">
        <v>6</v>
      </c>
      <c r="K7" s="8" t="s">
        <v>7</v>
      </c>
      <c r="L7" s="5" t="s">
        <v>8</v>
      </c>
      <c r="M7" s="8" t="s">
        <v>9</v>
      </c>
      <c r="N7" s="7" t="s">
        <v>10</v>
      </c>
      <c r="O7" s="3" t="s">
        <v>11</v>
      </c>
      <c r="P7" s="7" t="s">
        <v>12</v>
      </c>
      <c r="Q7" s="4" t="s">
        <v>13</v>
      </c>
    </row>
    <row r="8" spans="1:18" s="19" customFormat="1" x14ac:dyDescent="0.2">
      <c r="A8" s="16" t="s">
        <v>14</v>
      </c>
      <c r="B8" s="17" t="s">
        <v>21</v>
      </c>
      <c r="C8" s="18">
        <v>36281</v>
      </c>
      <c r="D8" s="18">
        <v>37741</v>
      </c>
      <c r="E8" s="18" t="s">
        <v>30</v>
      </c>
      <c r="F8" s="16">
        <v>3000</v>
      </c>
      <c r="G8" s="17">
        <v>3000</v>
      </c>
      <c r="H8" s="16">
        <v>3000</v>
      </c>
      <c r="I8" s="17">
        <v>3000</v>
      </c>
      <c r="J8" s="16">
        <v>3000</v>
      </c>
      <c r="K8" s="17">
        <v>3000</v>
      </c>
      <c r="L8" s="16">
        <v>3000</v>
      </c>
      <c r="M8" s="17">
        <v>3000</v>
      </c>
      <c r="N8" s="16">
        <v>3000</v>
      </c>
      <c r="O8" s="17">
        <v>3000</v>
      </c>
      <c r="P8" s="16">
        <v>3000</v>
      </c>
      <c r="Q8" s="16">
        <v>3000</v>
      </c>
    </row>
    <row r="9" spans="1:18" s="19" customFormat="1" x14ac:dyDescent="0.2">
      <c r="A9" s="70" t="s">
        <v>16</v>
      </c>
      <c r="B9" s="71" t="s">
        <v>21</v>
      </c>
      <c r="C9" s="72">
        <v>36342</v>
      </c>
      <c r="D9" s="72">
        <v>36525</v>
      </c>
      <c r="E9" s="72" t="s">
        <v>30</v>
      </c>
      <c r="F9" s="70"/>
      <c r="G9" s="71"/>
      <c r="H9" s="70"/>
      <c r="I9" s="71"/>
      <c r="J9" s="70"/>
      <c r="K9" s="71"/>
      <c r="L9" s="70">
        <v>3990</v>
      </c>
      <c r="M9" s="71">
        <v>3990</v>
      </c>
      <c r="N9" s="70">
        <v>3990</v>
      </c>
      <c r="O9" s="71">
        <v>3990</v>
      </c>
      <c r="P9" s="70">
        <v>4178</v>
      </c>
      <c r="Q9" s="70">
        <v>4178</v>
      </c>
    </row>
    <row r="10" spans="1:18" s="19" customFormat="1" x14ac:dyDescent="0.2">
      <c r="A10" s="70" t="s">
        <v>16</v>
      </c>
      <c r="B10" s="71"/>
      <c r="C10" s="72">
        <v>36526</v>
      </c>
      <c r="D10" s="72">
        <v>36830</v>
      </c>
      <c r="E10" s="72" t="s">
        <v>30</v>
      </c>
      <c r="F10" s="70">
        <v>4178</v>
      </c>
      <c r="G10" s="71">
        <v>4178</v>
      </c>
      <c r="H10" s="70">
        <v>4178</v>
      </c>
      <c r="I10" s="71">
        <v>4178</v>
      </c>
      <c r="J10" s="70">
        <v>4178</v>
      </c>
      <c r="K10" s="71">
        <v>4178</v>
      </c>
      <c r="L10" s="70">
        <v>4178</v>
      </c>
      <c r="M10" s="71">
        <v>4178</v>
      </c>
      <c r="N10" s="70">
        <v>4178</v>
      </c>
      <c r="O10" s="71">
        <v>4178</v>
      </c>
      <c r="P10" s="70"/>
      <c r="Q10" s="70"/>
    </row>
    <row r="11" spans="1:18" s="19" customFormat="1" x14ac:dyDescent="0.2">
      <c r="A11" s="70" t="s">
        <v>16</v>
      </c>
      <c r="B11" s="71"/>
      <c r="C11" s="72">
        <v>36831</v>
      </c>
      <c r="D11" s="72">
        <v>37437</v>
      </c>
      <c r="E11" s="72" t="s">
        <v>35</v>
      </c>
      <c r="F11" s="70">
        <v>4178</v>
      </c>
      <c r="G11" s="71">
        <v>4178</v>
      </c>
      <c r="H11" s="70">
        <v>4178</v>
      </c>
      <c r="I11" s="71">
        <v>4178</v>
      </c>
      <c r="J11" s="70">
        <v>4178</v>
      </c>
      <c r="K11" s="71">
        <v>4178</v>
      </c>
      <c r="L11" s="70">
        <v>4178</v>
      </c>
      <c r="M11" s="71">
        <v>4178</v>
      </c>
      <c r="N11" s="70">
        <v>4178</v>
      </c>
      <c r="O11" s="71">
        <v>4178</v>
      </c>
      <c r="P11" s="70">
        <v>4178</v>
      </c>
      <c r="Q11" s="70">
        <v>4178</v>
      </c>
    </row>
    <row r="12" spans="1:18" s="19" customFormat="1" x14ac:dyDescent="0.2">
      <c r="A12" s="20" t="s">
        <v>17</v>
      </c>
      <c r="B12" s="21" t="s">
        <v>21</v>
      </c>
      <c r="C12" s="22">
        <v>36281</v>
      </c>
      <c r="D12" s="22">
        <v>37741</v>
      </c>
      <c r="E12" s="22" t="s">
        <v>32</v>
      </c>
      <c r="F12" s="20">
        <v>15000</v>
      </c>
      <c r="G12" s="21">
        <v>15000</v>
      </c>
      <c r="H12" s="20">
        <v>15000</v>
      </c>
      <c r="I12" s="21">
        <v>15000</v>
      </c>
      <c r="J12" s="20">
        <v>15000</v>
      </c>
      <c r="K12" s="21">
        <v>15000</v>
      </c>
      <c r="L12" s="20">
        <v>15000</v>
      </c>
      <c r="M12" s="21">
        <v>15000</v>
      </c>
      <c r="N12" s="20">
        <v>15000</v>
      </c>
      <c r="O12" s="21">
        <v>15000</v>
      </c>
      <c r="P12" s="20">
        <v>15000</v>
      </c>
      <c r="Q12" s="20">
        <v>15000</v>
      </c>
    </row>
    <row r="13" spans="1:18" s="19" customFormat="1" x14ac:dyDescent="0.2">
      <c r="A13" s="70" t="s">
        <v>34</v>
      </c>
      <c r="B13" s="71" t="s">
        <v>22</v>
      </c>
      <c r="C13" s="72">
        <v>36342</v>
      </c>
      <c r="D13" s="72">
        <v>37437</v>
      </c>
      <c r="E13" s="72" t="s">
        <v>36</v>
      </c>
      <c r="F13" s="70">
        <v>10000</v>
      </c>
      <c r="G13" s="71">
        <v>10000</v>
      </c>
      <c r="H13" s="70">
        <v>10000</v>
      </c>
      <c r="I13" s="71"/>
      <c r="J13" s="70"/>
      <c r="K13" s="71"/>
      <c r="L13" s="70">
        <v>10000</v>
      </c>
      <c r="M13" s="71">
        <v>10000</v>
      </c>
      <c r="N13" s="70">
        <v>10000</v>
      </c>
      <c r="O13" s="71">
        <v>10000</v>
      </c>
      <c r="P13" s="70">
        <v>10000</v>
      </c>
      <c r="Q13" s="70">
        <v>10000</v>
      </c>
    </row>
    <row r="14" spans="1:18" s="19" customFormat="1" x14ac:dyDescent="0.2">
      <c r="A14" s="20" t="s">
        <v>18</v>
      </c>
      <c r="B14" s="21" t="s">
        <v>27</v>
      </c>
      <c r="C14" s="22">
        <v>36465</v>
      </c>
      <c r="D14" s="22">
        <v>37195</v>
      </c>
      <c r="E14" s="22" t="s">
        <v>31</v>
      </c>
      <c r="F14" s="20">
        <v>4000</v>
      </c>
      <c r="G14" s="21">
        <v>4000</v>
      </c>
      <c r="H14" s="20">
        <v>4000</v>
      </c>
      <c r="I14" s="21">
        <v>1500</v>
      </c>
      <c r="J14" s="20">
        <v>1500</v>
      </c>
      <c r="K14" s="21">
        <v>1500</v>
      </c>
      <c r="L14" s="20">
        <v>1500</v>
      </c>
      <c r="M14" s="21">
        <v>1500</v>
      </c>
      <c r="N14" s="20">
        <v>1500</v>
      </c>
      <c r="O14" s="21">
        <v>1500</v>
      </c>
      <c r="P14" s="20">
        <v>4000</v>
      </c>
      <c r="Q14" s="20">
        <v>4000</v>
      </c>
      <c r="R14" s="23">
        <f>AVERAGE(F14:P14)</f>
        <v>2409.090909090909</v>
      </c>
    </row>
    <row r="15" spans="1:18" s="19" customFormat="1" x14ac:dyDescent="0.2">
      <c r="A15" s="20" t="s">
        <v>18</v>
      </c>
      <c r="B15" s="21" t="s">
        <v>22</v>
      </c>
      <c r="C15" s="22">
        <v>37196</v>
      </c>
      <c r="D15" s="22">
        <v>38291</v>
      </c>
      <c r="E15" s="22" t="s">
        <v>31</v>
      </c>
      <c r="F15" s="20">
        <v>7000</v>
      </c>
      <c r="G15" s="21">
        <v>7000</v>
      </c>
      <c r="H15" s="20">
        <v>7000</v>
      </c>
      <c r="I15" s="21">
        <v>2500</v>
      </c>
      <c r="J15" s="20">
        <v>2500</v>
      </c>
      <c r="K15" s="21">
        <v>2500</v>
      </c>
      <c r="L15" s="20">
        <v>2500</v>
      </c>
      <c r="M15" s="21">
        <v>2500</v>
      </c>
      <c r="N15" s="20">
        <v>2500</v>
      </c>
      <c r="O15" s="21">
        <v>2500</v>
      </c>
      <c r="P15" s="20">
        <v>7000</v>
      </c>
      <c r="Q15" s="20">
        <v>7000</v>
      </c>
      <c r="R15" s="23">
        <f>AVERAGE(F15:P15)</f>
        <v>4136.363636363636</v>
      </c>
    </row>
    <row r="16" spans="1:18" s="19" customFormat="1" x14ac:dyDescent="0.2">
      <c r="A16" s="20" t="s">
        <v>18</v>
      </c>
      <c r="B16" s="21" t="s">
        <v>22</v>
      </c>
      <c r="C16" s="22">
        <v>38292</v>
      </c>
      <c r="D16" s="22">
        <v>39386</v>
      </c>
      <c r="E16" s="22" t="s">
        <v>31</v>
      </c>
      <c r="F16" s="20">
        <v>9000</v>
      </c>
      <c r="G16" s="21">
        <v>9000</v>
      </c>
      <c r="H16" s="20">
        <v>9000</v>
      </c>
      <c r="I16" s="21">
        <v>3500</v>
      </c>
      <c r="J16" s="20">
        <v>3500</v>
      </c>
      <c r="K16" s="21">
        <v>3500</v>
      </c>
      <c r="L16" s="20">
        <v>3500</v>
      </c>
      <c r="M16" s="21">
        <v>3500</v>
      </c>
      <c r="N16" s="20">
        <v>3500</v>
      </c>
      <c r="O16" s="21">
        <v>3500</v>
      </c>
      <c r="P16" s="20">
        <v>9000</v>
      </c>
      <c r="Q16" s="20">
        <v>9000</v>
      </c>
      <c r="R16" s="23">
        <f>AVERAGE(F16:P16)</f>
        <v>5500</v>
      </c>
    </row>
    <row r="17" spans="1:18" s="19" customFormat="1" ht="13.5" thickBot="1" x14ac:dyDescent="0.25">
      <c r="A17" s="24" t="s">
        <v>18</v>
      </c>
      <c r="B17" s="25" t="s">
        <v>21</v>
      </c>
      <c r="C17" s="26">
        <v>39387</v>
      </c>
      <c r="D17" s="26">
        <v>40663</v>
      </c>
      <c r="E17" s="26" t="s">
        <v>31</v>
      </c>
      <c r="F17" s="24">
        <v>15000</v>
      </c>
      <c r="G17" s="25">
        <v>15000</v>
      </c>
      <c r="H17" s="24">
        <v>15000</v>
      </c>
      <c r="I17" s="25">
        <v>5000</v>
      </c>
      <c r="J17" s="24">
        <v>5000</v>
      </c>
      <c r="K17" s="25">
        <v>5000</v>
      </c>
      <c r="L17" s="24">
        <v>5000</v>
      </c>
      <c r="M17" s="25">
        <v>5000</v>
      </c>
      <c r="N17" s="24">
        <v>5000</v>
      </c>
      <c r="O17" s="25">
        <v>5000</v>
      </c>
      <c r="P17" s="24">
        <v>15000</v>
      </c>
      <c r="Q17" s="24">
        <v>15000</v>
      </c>
      <c r="R17" s="23">
        <f>AVERAGE(F17:P17)</f>
        <v>8636.363636363636</v>
      </c>
    </row>
    <row r="18" spans="1:18" x14ac:dyDescent="0.2">
      <c r="R18" s="2">
        <f>AVERAGE(R14:R17)</f>
        <v>5170.454545454545</v>
      </c>
    </row>
  </sheetData>
  <mergeCells count="3">
    <mergeCell ref="A1:Q1"/>
    <mergeCell ref="A2:Q2"/>
    <mergeCell ref="F6:Q6"/>
  </mergeCells>
  <printOptions horizontalCentered="1" verticalCentered="1"/>
  <pageMargins left="0.25" right="0.25" top="0.25" bottom="0.25" header="0.25" footer="0.25"/>
  <pageSetup scale="7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36" workbookViewId="0">
      <selection activeCell="M6" sqref="M6"/>
    </sheetView>
  </sheetViews>
  <sheetFormatPr defaultRowHeight="12.75" x14ac:dyDescent="0.2"/>
  <cols>
    <col min="1" max="1" width="9.140625" style="63"/>
    <col min="2" max="2" width="9.140625" style="73"/>
    <col min="3" max="3" width="9.140625" style="27"/>
    <col min="4" max="7" width="9.140625" style="1"/>
    <col min="8" max="8" width="9.140625" style="2"/>
    <col min="9" max="16384" width="9.140625" style="1"/>
  </cols>
  <sheetData>
    <row r="1" spans="1:10" ht="15.75" x14ac:dyDescent="0.25">
      <c r="A1" s="109" t="s">
        <v>31</v>
      </c>
      <c r="B1" s="109"/>
      <c r="C1" s="109"/>
    </row>
    <row r="2" spans="1:10" ht="15.75" x14ac:dyDescent="0.25">
      <c r="A2" s="109" t="s">
        <v>54</v>
      </c>
      <c r="B2" s="109"/>
      <c r="C2" s="109"/>
    </row>
    <row r="3" spans="1:10" ht="13.5" thickBot="1" x14ac:dyDescent="0.25"/>
    <row r="4" spans="1:10" s="78" customFormat="1" ht="66.75" customHeight="1" thickBot="1" x14ac:dyDescent="0.25">
      <c r="A4" s="79" t="s">
        <v>56</v>
      </c>
      <c r="B4" s="80" t="s">
        <v>59</v>
      </c>
      <c r="C4" s="81" t="s">
        <v>60</v>
      </c>
      <c r="D4" s="82" t="s">
        <v>61</v>
      </c>
      <c r="F4" s="88" t="s">
        <v>56</v>
      </c>
      <c r="G4" s="82" t="s">
        <v>57</v>
      </c>
      <c r="H4" s="92" t="s">
        <v>62</v>
      </c>
      <c r="I4" s="102" t="s">
        <v>56</v>
      </c>
      <c r="J4" s="89" t="s">
        <v>58</v>
      </c>
    </row>
    <row r="5" spans="1:10" s="19" customFormat="1" x14ac:dyDescent="0.2">
      <c r="A5" s="83">
        <v>36465</v>
      </c>
      <c r="B5" s="84">
        <f>+A6-A5</f>
        <v>30</v>
      </c>
      <c r="C5" s="85">
        <v>4000</v>
      </c>
      <c r="D5" s="76">
        <v>3</v>
      </c>
      <c r="F5" s="64">
        <v>36342</v>
      </c>
      <c r="G5" s="62">
        <v>1.4999999999999999E-2</v>
      </c>
      <c r="H5" s="93">
        <f>10000*(F6-F5)</f>
        <v>310000</v>
      </c>
      <c r="I5" s="103">
        <v>36342</v>
      </c>
      <c r="J5" s="90">
        <v>0.02</v>
      </c>
    </row>
    <row r="6" spans="1:10" x14ac:dyDescent="0.2">
      <c r="A6" s="64">
        <v>36495</v>
      </c>
      <c r="B6" s="74">
        <f>+A7-A6</f>
        <v>31</v>
      </c>
      <c r="C6" s="65">
        <v>4000</v>
      </c>
      <c r="D6" s="62">
        <v>3</v>
      </c>
      <c r="F6" s="64">
        <v>36373</v>
      </c>
      <c r="G6" s="62">
        <v>1.4999999999999999E-2</v>
      </c>
      <c r="H6" s="93">
        <f t="shared" ref="H6:H69" si="0">10000*(F7-F6)</f>
        <v>310000</v>
      </c>
      <c r="I6" s="103">
        <v>36373</v>
      </c>
      <c r="J6" s="90">
        <v>0.02</v>
      </c>
    </row>
    <row r="7" spans="1:10" x14ac:dyDescent="0.2">
      <c r="A7" s="64">
        <v>36526</v>
      </c>
      <c r="B7" s="74">
        <f t="shared" ref="B7:B70" si="1">+A8-A7</f>
        <v>31</v>
      </c>
      <c r="C7" s="65">
        <v>4000</v>
      </c>
      <c r="D7" s="62">
        <v>3</v>
      </c>
      <c r="F7" s="64">
        <v>36404</v>
      </c>
      <c r="G7" s="62">
        <v>1.4999999999999999E-2</v>
      </c>
      <c r="H7" s="93">
        <f t="shared" si="0"/>
        <v>300000</v>
      </c>
      <c r="I7" s="103">
        <v>36404</v>
      </c>
      <c r="J7" s="90">
        <v>0.02</v>
      </c>
    </row>
    <row r="8" spans="1:10" x14ac:dyDescent="0.2">
      <c r="A8" s="64">
        <v>36557</v>
      </c>
      <c r="B8" s="74">
        <f t="shared" si="1"/>
        <v>29</v>
      </c>
      <c r="C8" s="65">
        <v>4000</v>
      </c>
      <c r="D8" s="62">
        <v>3</v>
      </c>
      <c r="F8" s="64">
        <v>36434</v>
      </c>
      <c r="G8" s="62">
        <v>1.4999999999999999E-2</v>
      </c>
      <c r="H8" s="93">
        <f t="shared" si="0"/>
        <v>310000</v>
      </c>
      <c r="I8" s="103">
        <v>36434</v>
      </c>
      <c r="J8" s="90">
        <v>0.02</v>
      </c>
    </row>
    <row r="9" spans="1:10" x14ac:dyDescent="0.2">
      <c r="A9" s="64">
        <v>36586</v>
      </c>
      <c r="B9" s="74">
        <f t="shared" si="1"/>
        <v>31</v>
      </c>
      <c r="C9" s="65">
        <v>4000</v>
      </c>
      <c r="D9" s="62">
        <v>3</v>
      </c>
      <c r="F9" s="64">
        <v>36465</v>
      </c>
      <c r="G9" s="100">
        <v>7.4999999999999997E-2</v>
      </c>
      <c r="H9" s="93">
        <f t="shared" si="0"/>
        <v>300000</v>
      </c>
      <c r="I9" s="103">
        <v>36465</v>
      </c>
      <c r="J9" s="90">
        <v>0.02</v>
      </c>
    </row>
    <row r="10" spans="1:10" x14ac:dyDescent="0.2">
      <c r="A10" s="64">
        <v>36617</v>
      </c>
      <c r="B10" s="74">
        <f t="shared" si="1"/>
        <v>30</v>
      </c>
      <c r="C10" s="65">
        <v>1500</v>
      </c>
      <c r="D10" s="62">
        <v>1.5</v>
      </c>
      <c r="F10" s="64">
        <v>36495</v>
      </c>
      <c r="G10" s="100">
        <v>7.4999999999999997E-2</v>
      </c>
      <c r="H10" s="93">
        <f t="shared" si="0"/>
        <v>310000</v>
      </c>
      <c r="I10" s="103">
        <v>36495</v>
      </c>
      <c r="J10" s="90">
        <v>0.02</v>
      </c>
    </row>
    <row r="11" spans="1:10" x14ac:dyDescent="0.2">
      <c r="A11" s="64">
        <v>36647</v>
      </c>
      <c r="B11" s="74">
        <f t="shared" si="1"/>
        <v>31</v>
      </c>
      <c r="C11" s="65">
        <v>1500</v>
      </c>
      <c r="D11" s="62">
        <v>1.5</v>
      </c>
      <c r="F11" s="64">
        <v>36526</v>
      </c>
      <c r="G11" s="100">
        <v>7.4999999999999997E-2</v>
      </c>
      <c r="H11" s="93">
        <f t="shared" si="0"/>
        <v>310000</v>
      </c>
      <c r="I11" s="103">
        <v>36526</v>
      </c>
      <c r="J11" s="90">
        <v>0.02</v>
      </c>
    </row>
    <row r="12" spans="1:10" x14ac:dyDescent="0.2">
      <c r="A12" s="64">
        <v>36678</v>
      </c>
      <c r="B12" s="74">
        <f t="shared" si="1"/>
        <v>30</v>
      </c>
      <c r="C12" s="65">
        <v>1500</v>
      </c>
      <c r="D12" s="62">
        <v>1.5</v>
      </c>
      <c r="F12" s="64">
        <v>36557</v>
      </c>
      <c r="G12" s="100">
        <v>7.4999999999999997E-2</v>
      </c>
      <c r="H12" s="93">
        <f t="shared" si="0"/>
        <v>290000</v>
      </c>
      <c r="I12" s="103">
        <v>36557</v>
      </c>
      <c r="J12" s="90">
        <v>0.02</v>
      </c>
    </row>
    <row r="13" spans="1:10" x14ac:dyDescent="0.2">
      <c r="A13" s="64">
        <v>36708</v>
      </c>
      <c r="B13" s="74">
        <f t="shared" si="1"/>
        <v>31</v>
      </c>
      <c r="C13" s="65">
        <v>1500</v>
      </c>
      <c r="D13" s="62">
        <v>1.5</v>
      </c>
      <c r="F13" s="64">
        <v>36586</v>
      </c>
      <c r="G13" s="100">
        <v>7.4999999999999997E-2</v>
      </c>
      <c r="H13" s="93">
        <f>10000*31</f>
        <v>310000</v>
      </c>
      <c r="I13" s="103">
        <v>36586</v>
      </c>
      <c r="J13" s="90">
        <v>0.02</v>
      </c>
    </row>
    <row r="14" spans="1:10" x14ac:dyDescent="0.2">
      <c r="A14" s="64">
        <v>36739</v>
      </c>
      <c r="B14" s="74">
        <f t="shared" si="1"/>
        <v>31</v>
      </c>
      <c r="C14" s="65">
        <v>1500</v>
      </c>
      <c r="D14" s="62">
        <v>1.5</v>
      </c>
      <c r="F14" s="64">
        <v>36708</v>
      </c>
      <c r="G14" s="100">
        <v>0.02</v>
      </c>
      <c r="H14" s="93">
        <f t="shared" si="0"/>
        <v>310000</v>
      </c>
      <c r="I14" s="103">
        <v>36617</v>
      </c>
      <c r="J14" s="90">
        <v>0.02</v>
      </c>
    </row>
    <row r="15" spans="1:10" x14ac:dyDescent="0.2">
      <c r="A15" s="64">
        <v>36770</v>
      </c>
      <c r="B15" s="74">
        <f t="shared" si="1"/>
        <v>30</v>
      </c>
      <c r="C15" s="65">
        <v>1500</v>
      </c>
      <c r="D15" s="62">
        <v>1.5</v>
      </c>
      <c r="F15" s="64">
        <v>36739</v>
      </c>
      <c r="G15" s="100">
        <v>0.02</v>
      </c>
      <c r="H15" s="93">
        <f t="shared" si="0"/>
        <v>310000</v>
      </c>
      <c r="I15" s="103">
        <v>36647</v>
      </c>
      <c r="J15" s="90">
        <v>0.02</v>
      </c>
    </row>
    <row r="16" spans="1:10" x14ac:dyDescent="0.2">
      <c r="A16" s="64">
        <v>36800</v>
      </c>
      <c r="B16" s="74">
        <f t="shared" si="1"/>
        <v>31</v>
      </c>
      <c r="C16" s="65">
        <v>1500</v>
      </c>
      <c r="D16" s="62">
        <v>1.5</v>
      </c>
      <c r="F16" s="64">
        <v>36770</v>
      </c>
      <c r="G16" s="100">
        <v>0.02</v>
      </c>
      <c r="H16" s="93">
        <f t="shared" si="0"/>
        <v>300000</v>
      </c>
      <c r="I16" s="103">
        <v>36678</v>
      </c>
      <c r="J16" s="90">
        <v>0.02</v>
      </c>
    </row>
    <row r="17" spans="1:10" x14ac:dyDescent="0.2">
      <c r="A17" s="64">
        <v>36831</v>
      </c>
      <c r="B17" s="74">
        <f t="shared" si="1"/>
        <v>30</v>
      </c>
      <c r="C17" s="65">
        <v>4000</v>
      </c>
      <c r="D17" s="62">
        <v>3</v>
      </c>
      <c r="F17" s="64">
        <v>36800</v>
      </c>
      <c r="G17" s="100">
        <v>0.02</v>
      </c>
      <c r="H17" s="93">
        <f t="shared" si="0"/>
        <v>310000</v>
      </c>
      <c r="I17" s="103">
        <v>36708</v>
      </c>
      <c r="J17" s="90">
        <v>0.02</v>
      </c>
    </row>
    <row r="18" spans="1:10" x14ac:dyDescent="0.2">
      <c r="A18" s="64">
        <v>36861</v>
      </c>
      <c r="B18" s="74">
        <f t="shared" si="1"/>
        <v>31</v>
      </c>
      <c r="C18" s="65">
        <v>4000</v>
      </c>
      <c r="D18" s="62">
        <v>3</v>
      </c>
      <c r="F18" s="64">
        <v>36831</v>
      </c>
      <c r="G18" s="100">
        <v>7.4999999999999997E-2</v>
      </c>
      <c r="H18" s="93">
        <f t="shared" si="0"/>
        <v>300000</v>
      </c>
      <c r="I18" s="103">
        <v>36739</v>
      </c>
      <c r="J18" s="90">
        <v>0.02</v>
      </c>
    </row>
    <row r="19" spans="1:10" x14ac:dyDescent="0.2">
      <c r="A19" s="64">
        <v>36892</v>
      </c>
      <c r="B19" s="74">
        <f t="shared" si="1"/>
        <v>31</v>
      </c>
      <c r="C19" s="65">
        <v>4000</v>
      </c>
      <c r="D19" s="62">
        <v>3</v>
      </c>
      <c r="F19" s="64">
        <v>36861</v>
      </c>
      <c r="G19" s="100">
        <v>7.4999999999999997E-2</v>
      </c>
      <c r="H19" s="93">
        <f t="shared" si="0"/>
        <v>310000</v>
      </c>
      <c r="I19" s="103">
        <v>36770</v>
      </c>
      <c r="J19" s="90">
        <v>0.02</v>
      </c>
    </row>
    <row r="20" spans="1:10" x14ac:dyDescent="0.2">
      <c r="A20" s="64">
        <v>36923</v>
      </c>
      <c r="B20" s="74">
        <f t="shared" si="1"/>
        <v>28</v>
      </c>
      <c r="C20" s="65">
        <v>4000</v>
      </c>
      <c r="D20" s="62">
        <v>3</v>
      </c>
      <c r="F20" s="64">
        <v>36892</v>
      </c>
      <c r="G20" s="100">
        <v>7.4999999999999997E-2</v>
      </c>
      <c r="H20" s="93">
        <f t="shared" si="0"/>
        <v>310000</v>
      </c>
      <c r="I20" s="103">
        <v>36800</v>
      </c>
      <c r="J20" s="90">
        <v>0.02</v>
      </c>
    </row>
    <row r="21" spans="1:10" x14ac:dyDescent="0.2">
      <c r="A21" s="64">
        <v>36951</v>
      </c>
      <c r="B21" s="74">
        <f t="shared" si="1"/>
        <v>31</v>
      </c>
      <c r="C21" s="65">
        <v>4000</v>
      </c>
      <c r="D21" s="62">
        <v>3</v>
      </c>
      <c r="F21" s="64">
        <v>36923</v>
      </c>
      <c r="G21" s="100">
        <v>7.4999999999999997E-2</v>
      </c>
      <c r="H21" s="93">
        <f t="shared" si="0"/>
        <v>280000</v>
      </c>
      <c r="I21" s="103">
        <v>36831</v>
      </c>
      <c r="J21" s="90">
        <v>0.02</v>
      </c>
    </row>
    <row r="22" spans="1:10" x14ac:dyDescent="0.2">
      <c r="A22" s="64">
        <v>36982</v>
      </c>
      <c r="B22" s="74">
        <f t="shared" si="1"/>
        <v>30</v>
      </c>
      <c r="C22" s="65">
        <v>1500</v>
      </c>
      <c r="D22" s="62">
        <v>1.5</v>
      </c>
      <c r="F22" s="64">
        <v>36951</v>
      </c>
      <c r="G22" s="100">
        <v>7.4999999999999997E-2</v>
      </c>
      <c r="H22" s="93">
        <f>10000*31</f>
        <v>310000</v>
      </c>
      <c r="I22" s="103">
        <v>36861</v>
      </c>
      <c r="J22" s="90">
        <v>0.02</v>
      </c>
    </row>
    <row r="23" spans="1:10" x14ac:dyDescent="0.2">
      <c r="A23" s="64">
        <v>37012</v>
      </c>
      <c r="B23" s="74">
        <f t="shared" si="1"/>
        <v>31</v>
      </c>
      <c r="C23" s="65">
        <v>1500</v>
      </c>
      <c r="D23" s="62">
        <v>1.5</v>
      </c>
      <c r="F23" s="64">
        <v>37073</v>
      </c>
      <c r="G23" s="100">
        <v>0.02</v>
      </c>
      <c r="H23" s="93">
        <f t="shared" si="0"/>
        <v>310000</v>
      </c>
      <c r="I23" s="103">
        <v>36892</v>
      </c>
      <c r="J23" s="90">
        <v>0.02</v>
      </c>
    </row>
    <row r="24" spans="1:10" x14ac:dyDescent="0.2">
      <c r="A24" s="64">
        <v>37043</v>
      </c>
      <c r="B24" s="74">
        <f t="shared" si="1"/>
        <v>30</v>
      </c>
      <c r="C24" s="65">
        <v>1500</v>
      </c>
      <c r="D24" s="62">
        <v>1.5</v>
      </c>
      <c r="F24" s="64">
        <v>37104</v>
      </c>
      <c r="G24" s="100">
        <v>0.02</v>
      </c>
      <c r="H24" s="93">
        <f t="shared" si="0"/>
        <v>310000</v>
      </c>
      <c r="I24" s="103">
        <v>36923</v>
      </c>
      <c r="J24" s="90">
        <v>0.02</v>
      </c>
    </row>
    <row r="25" spans="1:10" x14ac:dyDescent="0.2">
      <c r="A25" s="64">
        <v>37073</v>
      </c>
      <c r="B25" s="74">
        <f t="shared" si="1"/>
        <v>31</v>
      </c>
      <c r="C25" s="65">
        <v>1500</v>
      </c>
      <c r="D25" s="62">
        <v>1.5</v>
      </c>
      <c r="F25" s="64">
        <v>37135</v>
      </c>
      <c r="G25" s="100">
        <v>0.02</v>
      </c>
      <c r="H25" s="93">
        <f t="shared" si="0"/>
        <v>300000</v>
      </c>
      <c r="I25" s="103">
        <v>36951</v>
      </c>
      <c r="J25" s="90">
        <v>0.02</v>
      </c>
    </row>
    <row r="26" spans="1:10" x14ac:dyDescent="0.2">
      <c r="A26" s="64">
        <v>37104</v>
      </c>
      <c r="B26" s="74">
        <f t="shared" si="1"/>
        <v>31</v>
      </c>
      <c r="C26" s="65">
        <v>1500</v>
      </c>
      <c r="D26" s="62">
        <v>1.5</v>
      </c>
      <c r="F26" s="64">
        <v>37165</v>
      </c>
      <c r="G26" s="100">
        <v>0.02</v>
      </c>
      <c r="H26" s="93">
        <f t="shared" si="0"/>
        <v>310000</v>
      </c>
      <c r="I26" s="103">
        <v>36982</v>
      </c>
      <c r="J26" s="90">
        <v>0.02</v>
      </c>
    </row>
    <row r="27" spans="1:10" x14ac:dyDescent="0.2">
      <c r="A27" s="64">
        <v>37135</v>
      </c>
      <c r="B27" s="74">
        <f t="shared" si="1"/>
        <v>30</v>
      </c>
      <c r="C27" s="65">
        <v>1500</v>
      </c>
      <c r="D27" s="62">
        <v>1.5</v>
      </c>
      <c r="F27" s="64">
        <v>37196</v>
      </c>
      <c r="G27" s="100">
        <v>7.4999999999999997E-2</v>
      </c>
      <c r="H27" s="93">
        <f t="shared" si="0"/>
        <v>300000</v>
      </c>
      <c r="I27" s="103">
        <v>37012</v>
      </c>
      <c r="J27" s="90">
        <v>0.02</v>
      </c>
    </row>
    <row r="28" spans="1:10" x14ac:dyDescent="0.2">
      <c r="A28" s="64">
        <v>37165</v>
      </c>
      <c r="B28" s="74">
        <f t="shared" si="1"/>
        <v>31</v>
      </c>
      <c r="C28" s="65">
        <v>1500</v>
      </c>
      <c r="D28" s="62">
        <v>1.5</v>
      </c>
      <c r="F28" s="64">
        <v>37226</v>
      </c>
      <c r="G28" s="100">
        <v>7.4999999999999997E-2</v>
      </c>
      <c r="H28" s="93">
        <f t="shared" si="0"/>
        <v>310000</v>
      </c>
      <c r="I28" s="103">
        <v>37043</v>
      </c>
      <c r="J28" s="90">
        <v>0.02</v>
      </c>
    </row>
    <row r="29" spans="1:10" x14ac:dyDescent="0.2">
      <c r="A29" s="64">
        <v>37196</v>
      </c>
      <c r="B29" s="74">
        <f t="shared" si="1"/>
        <v>30</v>
      </c>
      <c r="C29" s="65">
        <v>7000</v>
      </c>
      <c r="D29" s="62">
        <v>3</v>
      </c>
      <c r="F29" s="64">
        <v>37257</v>
      </c>
      <c r="G29" s="100">
        <v>7.4999999999999997E-2</v>
      </c>
      <c r="H29" s="93">
        <f t="shared" si="0"/>
        <v>310000</v>
      </c>
      <c r="I29" s="103">
        <v>37073</v>
      </c>
      <c r="J29" s="90">
        <v>0.02</v>
      </c>
    </row>
    <row r="30" spans="1:10" x14ac:dyDescent="0.2">
      <c r="A30" s="64">
        <v>37226</v>
      </c>
      <c r="B30" s="74">
        <f t="shared" si="1"/>
        <v>31</v>
      </c>
      <c r="C30" s="65">
        <v>7000</v>
      </c>
      <c r="D30" s="62">
        <v>3</v>
      </c>
      <c r="F30" s="64">
        <v>37288</v>
      </c>
      <c r="G30" s="100">
        <v>7.4999999999999997E-2</v>
      </c>
      <c r="H30" s="93">
        <f t="shared" si="0"/>
        <v>280000</v>
      </c>
      <c r="I30" s="103">
        <v>37104</v>
      </c>
      <c r="J30" s="90">
        <v>0.02</v>
      </c>
    </row>
    <row r="31" spans="1:10" x14ac:dyDescent="0.2">
      <c r="A31" s="64">
        <v>37257</v>
      </c>
      <c r="B31" s="74">
        <f t="shared" si="1"/>
        <v>31</v>
      </c>
      <c r="C31" s="65">
        <v>7000</v>
      </c>
      <c r="D31" s="62">
        <v>3</v>
      </c>
      <c r="F31" s="64">
        <v>37316</v>
      </c>
      <c r="G31" s="100">
        <v>7.4999999999999997E-2</v>
      </c>
      <c r="H31" s="93">
        <f>10000*31</f>
        <v>310000</v>
      </c>
      <c r="I31" s="103">
        <v>37135</v>
      </c>
      <c r="J31" s="90">
        <v>0.02</v>
      </c>
    </row>
    <row r="32" spans="1:10" x14ac:dyDescent="0.2">
      <c r="A32" s="64">
        <v>37288</v>
      </c>
      <c r="B32" s="74">
        <f t="shared" si="1"/>
        <v>28</v>
      </c>
      <c r="C32" s="65">
        <v>7000</v>
      </c>
      <c r="D32" s="62">
        <v>3</v>
      </c>
      <c r="F32" s="64">
        <v>37438</v>
      </c>
      <c r="G32" s="100">
        <v>0.02</v>
      </c>
      <c r="H32" s="93">
        <f t="shared" si="0"/>
        <v>310000</v>
      </c>
      <c r="I32" s="103">
        <v>37165</v>
      </c>
      <c r="J32" s="90">
        <v>0.02</v>
      </c>
    </row>
    <row r="33" spans="1:10" x14ac:dyDescent="0.2">
      <c r="A33" s="64">
        <v>37316</v>
      </c>
      <c r="B33" s="74">
        <f t="shared" si="1"/>
        <v>31</v>
      </c>
      <c r="C33" s="65">
        <v>7000</v>
      </c>
      <c r="D33" s="62">
        <v>3</v>
      </c>
      <c r="F33" s="64">
        <v>37469</v>
      </c>
      <c r="G33" s="100">
        <v>0.02</v>
      </c>
      <c r="H33" s="93">
        <f t="shared" si="0"/>
        <v>310000</v>
      </c>
      <c r="I33" s="103">
        <v>37196</v>
      </c>
      <c r="J33" s="90">
        <v>0.02</v>
      </c>
    </row>
    <row r="34" spans="1:10" x14ac:dyDescent="0.2">
      <c r="A34" s="64">
        <v>37347</v>
      </c>
      <c r="B34" s="74">
        <f t="shared" si="1"/>
        <v>30</v>
      </c>
      <c r="C34" s="65">
        <v>2500</v>
      </c>
      <c r="D34" s="62">
        <v>1.5</v>
      </c>
      <c r="F34" s="64">
        <v>37500</v>
      </c>
      <c r="G34" s="100">
        <v>0.02</v>
      </c>
      <c r="H34" s="93">
        <f t="shared" si="0"/>
        <v>300000</v>
      </c>
      <c r="I34" s="103">
        <v>37226</v>
      </c>
      <c r="J34" s="90">
        <v>0.02</v>
      </c>
    </row>
    <row r="35" spans="1:10" x14ac:dyDescent="0.2">
      <c r="A35" s="64">
        <v>37377</v>
      </c>
      <c r="B35" s="74">
        <f t="shared" si="1"/>
        <v>31</v>
      </c>
      <c r="C35" s="65">
        <v>2500</v>
      </c>
      <c r="D35" s="62">
        <v>1.5</v>
      </c>
      <c r="F35" s="64">
        <v>37530</v>
      </c>
      <c r="G35" s="100">
        <v>0.02</v>
      </c>
      <c r="H35" s="93">
        <f t="shared" si="0"/>
        <v>310000</v>
      </c>
      <c r="I35" s="103">
        <v>37257</v>
      </c>
      <c r="J35" s="90">
        <v>0.02</v>
      </c>
    </row>
    <row r="36" spans="1:10" x14ac:dyDescent="0.2">
      <c r="A36" s="64">
        <v>37408</v>
      </c>
      <c r="B36" s="74">
        <f t="shared" si="1"/>
        <v>30</v>
      </c>
      <c r="C36" s="65">
        <v>2500</v>
      </c>
      <c r="D36" s="62">
        <v>1.5</v>
      </c>
      <c r="F36" s="64">
        <v>37561</v>
      </c>
      <c r="G36" s="100">
        <v>7.4999999999999997E-2</v>
      </c>
      <c r="H36" s="93">
        <f t="shared" si="0"/>
        <v>300000</v>
      </c>
      <c r="I36" s="103">
        <v>37288</v>
      </c>
      <c r="J36" s="90">
        <v>0.02</v>
      </c>
    </row>
    <row r="37" spans="1:10" x14ac:dyDescent="0.2">
      <c r="A37" s="64">
        <v>37438</v>
      </c>
      <c r="B37" s="74">
        <f t="shared" si="1"/>
        <v>31</v>
      </c>
      <c r="C37" s="65">
        <v>2500</v>
      </c>
      <c r="D37" s="62">
        <v>1.5</v>
      </c>
      <c r="F37" s="64">
        <v>37591</v>
      </c>
      <c r="G37" s="100">
        <v>7.4999999999999997E-2</v>
      </c>
      <c r="H37" s="93">
        <f t="shared" si="0"/>
        <v>310000</v>
      </c>
      <c r="I37" s="103">
        <v>37316</v>
      </c>
      <c r="J37" s="90">
        <v>0.02</v>
      </c>
    </row>
    <row r="38" spans="1:10" x14ac:dyDescent="0.2">
      <c r="A38" s="64">
        <v>37469</v>
      </c>
      <c r="B38" s="74">
        <f t="shared" si="1"/>
        <v>31</v>
      </c>
      <c r="C38" s="65">
        <v>2500</v>
      </c>
      <c r="D38" s="62">
        <v>1.5</v>
      </c>
      <c r="F38" s="64">
        <v>37622</v>
      </c>
      <c r="G38" s="100">
        <v>7.4999999999999997E-2</v>
      </c>
      <c r="H38" s="93">
        <f t="shared" si="0"/>
        <v>310000</v>
      </c>
      <c r="I38" s="103">
        <v>37347</v>
      </c>
      <c r="J38" s="90">
        <v>0.02</v>
      </c>
    </row>
    <row r="39" spans="1:10" x14ac:dyDescent="0.2">
      <c r="A39" s="64">
        <v>37500</v>
      </c>
      <c r="B39" s="74">
        <f t="shared" si="1"/>
        <v>30</v>
      </c>
      <c r="C39" s="65">
        <v>2500</v>
      </c>
      <c r="D39" s="62">
        <v>1.5</v>
      </c>
      <c r="F39" s="64">
        <v>37653</v>
      </c>
      <c r="G39" s="100">
        <v>7.4999999999999997E-2</v>
      </c>
      <c r="H39" s="93">
        <f t="shared" si="0"/>
        <v>280000</v>
      </c>
      <c r="I39" s="103">
        <v>37377</v>
      </c>
      <c r="J39" s="90">
        <v>0.02</v>
      </c>
    </row>
    <row r="40" spans="1:10" x14ac:dyDescent="0.2">
      <c r="A40" s="64">
        <v>37530</v>
      </c>
      <c r="B40" s="74">
        <f t="shared" si="1"/>
        <v>31</v>
      </c>
      <c r="C40" s="65">
        <v>2500</v>
      </c>
      <c r="D40" s="62">
        <v>1.5</v>
      </c>
      <c r="F40" s="64">
        <v>37681</v>
      </c>
      <c r="G40" s="100">
        <v>7.4999999999999997E-2</v>
      </c>
      <c r="H40" s="93">
        <f>10000*31</f>
        <v>310000</v>
      </c>
      <c r="I40" s="103">
        <v>37408</v>
      </c>
      <c r="J40" s="90">
        <v>0.02</v>
      </c>
    </row>
    <row r="41" spans="1:10" x14ac:dyDescent="0.2">
      <c r="A41" s="64">
        <v>37561</v>
      </c>
      <c r="B41" s="74">
        <f t="shared" si="1"/>
        <v>30</v>
      </c>
      <c r="C41" s="65">
        <v>7000</v>
      </c>
      <c r="D41" s="62">
        <v>3</v>
      </c>
      <c r="F41" s="64">
        <v>37803</v>
      </c>
      <c r="G41" s="100">
        <v>0.02</v>
      </c>
      <c r="H41" s="93">
        <f t="shared" si="0"/>
        <v>310000</v>
      </c>
      <c r="I41" s="103">
        <v>37438</v>
      </c>
      <c r="J41" s="90">
        <v>0.02</v>
      </c>
    </row>
    <row r="42" spans="1:10" x14ac:dyDescent="0.2">
      <c r="A42" s="64">
        <v>37591</v>
      </c>
      <c r="B42" s="74">
        <f t="shared" si="1"/>
        <v>31</v>
      </c>
      <c r="C42" s="65">
        <v>7000</v>
      </c>
      <c r="D42" s="62">
        <v>3</v>
      </c>
      <c r="F42" s="64">
        <v>37834</v>
      </c>
      <c r="G42" s="100">
        <v>0.02</v>
      </c>
      <c r="H42" s="93">
        <f t="shared" si="0"/>
        <v>310000</v>
      </c>
      <c r="I42" s="103">
        <v>37469</v>
      </c>
      <c r="J42" s="90">
        <v>0.02</v>
      </c>
    </row>
    <row r="43" spans="1:10" x14ac:dyDescent="0.2">
      <c r="A43" s="64">
        <v>37622</v>
      </c>
      <c r="B43" s="74">
        <f t="shared" si="1"/>
        <v>31</v>
      </c>
      <c r="C43" s="65">
        <v>7000</v>
      </c>
      <c r="D43" s="62">
        <v>3</v>
      </c>
      <c r="F43" s="64">
        <v>37865</v>
      </c>
      <c r="G43" s="100">
        <v>0.02</v>
      </c>
      <c r="H43" s="93">
        <f t="shared" si="0"/>
        <v>300000</v>
      </c>
      <c r="I43" s="103">
        <v>37500</v>
      </c>
      <c r="J43" s="90">
        <v>0.02</v>
      </c>
    </row>
    <row r="44" spans="1:10" x14ac:dyDescent="0.2">
      <c r="A44" s="64">
        <v>37653</v>
      </c>
      <c r="B44" s="74">
        <f t="shared" si="1"/>
        <v>28</v>
      </c>
      <c r="C44" s="65">
        <v>7000</v>
      </c>
      <c r="D44" s="62">
        <v>3</v>
      </c>
      <c r="F44" s="64">
        <v>37895</v>
      </c>
      <c r="G44" s="100">
        <v>0.02</v>
      </c>
      <c r="H44" s="93">
        <f t="shared" si="0"/>
        <v>310000</v>
      </c>
      <c r="I44" s="103">
        <v>37530</v>
      </c>
      <c r="J44" s="90">
        <v>0.02</v>
      </c>
    </row>
    <row r="45" spans="1:10" x14ac:dyDescent="0.2">
      <c r="A45" s="64">
        <v>37681</v>
      </c>
      <c r="B45" s="74">
        <f t="shared" si="1"/>
        <v>31</v>
      </c>
      <c r="C45" s="65">
        <v>7000</v>
      </c>
      <c r="D45" s="62">
        <v>3</v>
      </c>
      <c r="F45" s="64">
        <v>37926</v>
      </c>
      <c r="G45" s="100">
        <v>7.4999999999999997E-2</v>
      </c>
      <c r="H45" s="93">
        <f t="shared" si="0"/>
        <v>300000</v>
      </c>
      <c r="I45" s="103">
        <v>37561</v>
      </c>
      <c r="J45" s="90">
        <v>0.02</v>
      </c>
    </row>
    <row r="46" spans="1:10" x14ac:dyDescent="0.2">
      <c r="A46" s="64">
        <v>37712</v>
      </c>
      <c r="B46" s="74">
        <f t="shared" si="1"/>
        <v>30</v>
      </c>
      <c r="C46" s="65">
        <v>2500</v>
      </c>
      <c r="D46" s="62">
        <v>1.5</v>
      </c>
      <c r="F46" s="64">
        <v>37956</v>
      </c>
      <c r="G46" s="100">
        <v>7.4999999999999997E-2</v>
      </c>
      <c r="H46" s="93">
        <f t="shared" si="0"/>
        <v>310000</v>
      </c>
      <c r="I46" s="103">
        <v>37591</v>
      </c>
      <c r="J46" s="90">
        <v>0.02</v>
      </c>
    </row>
    <row r="47" spans="1:10" x14ac:dyDescent="0.2">
      <c r="A47" s="64">
        <v>37742</v>
      </c>
      <c r="B47" s="74">
        <f t="shared" si="1"/>
        <v>31</v>
      </c>
      <c r="C47" s="65">
        <v>2500</v>
      </c>
      <c r="D47" s="62">
        <v>1.5</v>
      </c>
      <c r="F47" s="64">
        <v>37987</v>
      </c>
      <c r="G47" s="100">
        <v>7.4999999999999997E-2</v>
      </c>
      <c r="H47" s="93">
        <f t="shared" si="0"/>
        <v>310000</v>
      </c>
      <c r="I47" s="103">
        <v>37622</v>
      </c>
      <c r="J47" s="90">
        <v>0.02</v>
      </c>
    </row>
    <row r="48" spans="1:10" x14ac:dyDescent="0.2">
      <c r="A48" s="64">
        <v>37773</v>
      </c>
      <c r="B48" s="74">
        <f t="shared" si="1"/>
        <v>30</v>
      </c>
      <c r="C48" s="65">
        <v>2500</v>
      </c>
      <c r="D48" s="62">
        <v>1.5</v>
      </c>
      <c r="F48" s="64">
        <v>38018</v>
      </c>
      <c r="G48" s="100">
        <v>7.4999999999999997E-2</v>
      </c>
      <c r="H48" s="93">
        <f t="shared" si="0"/>
        <v>290000</v>
      </c>
      <c r="I48" s="103">
        <v>37653</v>
      </c>
      <c r="J48" s="90">
        <v>0.02</v>
      </c>
    </row>
    <row r="49" spans="1:10" x14ac:dyDescent="0.2">
      <c r="A49" s="64">
        <v>37803</v>
      </c>
      <c r="B49" s="74">
        <f t="shared" si="1"/>
        <v>31</v>
      </c>
      <c r="C49" s="65">
        <v>2500</v>
      </c>
      <c r="D49" s="62">
        <v>1.5</v>
      </c>
      <c r="F49" s="64">
        <v>38047</v>
      </c>
      <c r="G49" s="100">
        <v>7.4999999999999997E-2</v>
      </c>
      <c r="H49" s="93">
        <f>10000*31</f>
        <v>310000</v>
      </c>
      <c r="I49" s="103">
        <v>37681</v>
      </c>
      <c r="J49" s="90">
        <v>0.02</v>
      </c>
    </row>
    <row r="50" spans="1:10" x14ac:dyDescent="0.2">
      <c r="A50" s="64">
        <v>37834</v>
      </c>
      <c r="B50" s="74">
        <f t="shared" si="1"/>
        <v>31</v>
      </c>
      <c r="C50" s="65">
        <v>2500</v>
      </c>
      <c r="D50" s="62">
        <v>1.5</v>
      </c>
      <c r="F50" s="64">
        <v>38169</v>
      </c>
      <c r="G50" s="100">
        <v>0.02</v>
      </c>
      <c r="H50" s="93">
        <f t="shared" si="0"/>
        <v>310000</v>
      </c>
      <c r="I50" s="103">
        <v>37712</v>
      </c>
      <c r="J50" s="90">
        <v>0.02</v>
      </c>
    </row>
    <row r="51" spans="1:10" x14ac:dyDescent="0.2">
      <c r="A51" s="64">
        <v>37865</v>
      </c>
      <c r="B51" s="74">
        <f t="shared" si="1"/>
        <v>30</v>
      </c>
      <c r="C51" s="65">
        <v>2500</v>
      </c>
      <c r="D51" s="62">
        <v>1.5</v>
      </c>
      <c r="F51" s="64">
        <v>38200</v>
      </c>
      <c r="G51" s="100">
        <v>0.02</v>
      </c>
      <c r="H51" s="93">
        <f t="shared" si="0"/>
        <v>310000</v>
      </c>
      <c r="I51" s="103">
        <v>37742</v>
      </c>
      <c r="J51" s="90">
        <v>0.02</v>
      </c>
    </row>
    <row r="52" spans="1:10" x14ac:dyDescent="0.2">
      <c r="A52" s="64">
        <v>37895</v>
      </c>
      <c r="B52" s="74">
        <f t="shared" si="1"/>
        <v>31</v>
      </c>
      <c r="C52" s="65">
        <v>2500</v>
      </c>
      <c r="D52" s="62">
        <v>1.5</v>
      </c>
      <c r="F52" s="64">
        <v>38231</v>
      </c>
      <c r="G52" s="100">
        <v>0.02</v>
      </c>
      <c r="H52" s="93">
        <f t="shared" si="0"/>
        <v>300000</v>
      </c>
      <c r="I52" s="103">
        <v>37773</v>
      </c>
      <c r="J52" s="90">
        <v>0.02</v>
      </c>
    </row>
    <row r="53" spans="1:10" x14ac:dyDescent="0.2">
      <c r="A53" s="64">
        <v>37926</v>
      </c>
      <c r="B53" s="74">
        <f t="shared" si="1"/>
        <v>30</v>
      </c>
      <c r="C53" s="65">
        <v>7000</v>
      </c>
      <c r="D53" s="62">
        <v>3</v>
      </c>
      <c r="F53" s="64">
        <v>38261</v>
      </c>
      <c r="G53" s="100">
        <v>0.02</v>
      </c>
      <c r="H53" s="93">
        <f t="shared" si="0"/>
        <v>310000</v>
      </c>
      <c r="I53" s="103">
        <v>37803</v>
      </c>
      <c r="J53" s="90">
        <v>0.02</v>
      </c>
    </row>
    <row r="54" spans="1:10" x14ac:dyDescent="0.2">
      <c r="A54" s="64">
        <v>37956</v>
      </c>
      <c r="B54" s="74">
        <f t="shared" si="1"/>
        <v>31</v>
      </c>
      <c r="C54" s="65">
        <v>7000</v>
      </c>
      <c r="D54" s="62">
        <v>3</v>
      </c>
      <c r="F54" s="64">
        <v>38292</v>
      </c>
      <c r="G54" s="100">
        <v>7.4999999999999997E-2</v>
      </c>
      <c r="H54" s="93">
        <f t="shared" si="0"/>
        <v>300000</v>
      </c>
      <c r="I54" s="103">
        <v>37834</v>
      </c>
      <c r="J54" s="90">
        <v>0.02</v>
      </c>
    </row>
    <row r="55" spans="1:10" x14ac:dyDescent="0.2">
      <c r="A55" s="64">
        <v>37987</v>
      </c>
      <c r="B55" s="74">
        <f t="shared" si="1"/>
        <v>31</v>
      </c>
      <c r="C55" s="65">
        <v>7000</v>
      </c>
      <c r="D55" s="62">
        <v>3</v>
      </c>
      <c r="F55" s="64">
        <v>38322</v>
      </c>
      <c r="G55" s="100">
        <v>7.4999999999999997E-2</v>
      </c>
      <c r="H55" s="93">
        <f t="shared" si="0"/>
        <v>310000</v>
      </c>
      <c r="I55" s="103">
        <v>37865</v>
      </c>
      <c r="J55" s="90">
        <v>0.02</v>
      </c>
    </row>
    <row r="56" spans="1:10" x14ac:dyDescent="0.2">
      <c r="A56" s="64">
        <v>38018</v>
      </c>
      <c r="B56" s="74">
        <f t="shared" si="1"/>
        <v>29</v>
      </c>
      <c r="C56" s="65">
        <v>7000</v>
      </c>
      <c r="D56" s="62">
        <v>3</v>
      </c>
      <c r="F56" s="64">
        <v>38353</v>
      </c>
      <c r="G56" s="100">
        <v>7.4999999999999997E-2</v>
      </c>
      <c r="H56" s="93">
        <f t="shared" si="0"/>
        <v>310000</v>
      </c>
      <c r="I56" s="103">
        <v>37895</v>
      </c>
      <c r="J56" s="90">
        <v>0.02</v>
      </c>
    </row>
    <row r="57" spans="1:10" x14ac:dyDescent="0.2">
      <c r="A57" s="64">
        <v>38047</v>
      </c>
      <c r="B57" s="74">
        <f t="shared" si="1"/>
        <v>31</v>
      </c>
      <c r="C57" s="65">
        <v>7000</v>
      </c>
      <c r="D57" s="62">
        <v>3</v>
      </c>
      <c r="F57" s="64">
        <v>38384</v>
      </c>
      <c r="G57" s="100">
        <v>7.4999999999999997E-2</v>
      </c>
      <c r="H57" s="93">
        <f t="shared" si="0"/>
        <v>280000</v>
      </c>
      <c r="I57" s="103">
        <v>37926</v>
      </c>
      <c r="J57" s="90">
        <v>0.02</v>
      </c>
    </row>
    <row r="58" spans="1:10" x14ac:dyDescent="0.2">
      <c r="A58" s="64">
        <v>38078</v>
      </c>
      <c r="B58" s="74">
        <f t="shared" si="1"/>
        <v>30</v>
      </c>
      <c r="C58" s="65">
        <v>2500</v>
      </c>
      <c r="D58" s="62">
        <v>1.5</v>
      </c>
      <c r="F58" s="64">
        <v>38412</v>
      </c>
      <c r="G58" s="100">
        <v>7.4999999999999997E-2</v>
      </c>
      <c r="H58" s="93">
        <f>10000*31</f>
        <v>310000</v>
      </c>
      <c r="I58" s="103">
        <v>37956</v>
      </c>
      <c r="J58" s="90">
        <v>0.02</v>
      </c>
    </row>
    <row r="59" spans="1:10" x14ac:dyDescent="0.2">
      <c r="A59" s="64">
        <v>38108</v>
      </c>
      <c r="B59" s="74">
        <f t="shared" si="1"/>
        <v>31</v>
      </c>
      <c r="C59" s="65">
        <v>2500</v>
      </c>
      <c r="D59" s="62">
        <v>1.5</v>
      </c>
      <c r="F59" s="64">
        <v>38534</v>
      </c>
      <c r="G59" s="100">
        <v>0.02</v>
      </c>
      <c r="H59" s="93">
        <f t="shared" si="0"/>
        <v>310000</v>
      </c>
      <c r="I59" s="103">
        <v>37987</v>
      </c>
      <c r="J59" s="90">
        <v>0.02</v>
      </c>
    </row>
    <row r="60" spans="1:10" x14ac:dyDescent="0.2">
      <c r="A60" s="64">
        <v>38139</v>
      </c>
      <c r="B60" s="74">
        <f t="shared" si="1"/>
        <v>30</v>
      </c>
      <c r="C60" s="65">
        <v>2500</v>
      </c>
      <c r="D60" s="62">
        <v>1.5</v>
      </c>
      <c r="F60" s="64">
        <v>38565</v>
      </c>
      <c r="G60" s="100">
        <v>0.02</v>
      </c>
      <c r="H60" s="93">
        <f t="shared" si="0"/>
        <v>310000</v>
      </c>
      <c r="I60" s="103">
        <v>38018</v>
      </c>
      <c r="J60" s="90">
        <v>0.02</v>
      </c>
    </row>
    <row r="61" spans="1:10" x14ac:dyDescent="0.2">
      <c r="A61" s="64">
        <v>38169</v>
      </c>
      <c r="B61" s="74">
        <f t="shared" si="1"/>
        <v>31</v>
      </c>
      <c r="C61" s="65">
        <v>2500</v>
      </c>
      <c r="D61" s="62">
        <v>1.5</v>
      </c>
      <c r="F61" s="64">
        <v>38596</v>
      </c>
      <c r="G61" s="100">
        <v>0.02</v>
      </c>
      <c r="H61" s="93">
        <f t="shared" si="0"/>
        <v>300000</v>
      </c>
      <c r="I61" s="103">
        <v>38047</v>
      </c>
      <c r="J61" s="90">
        <v>0.02</v>
      </c>
    </row>
    <row r="62" spans="1:10" x14ac:dyDescent="0.2">
      <c r="A62" s="64">
        <v>38200</v>
      </c>
      <c r="B62" s="74">
        <f t="shared" si="1"/>
        <v>31</v>
      </c>
      <c r="C62" s="65">
        <v>2500</v>
      </c>
      <c r="D62" s="62">
        <v>1.5</v>
      </c>
      <c r="F62" s="64">
        <v>38626</v>
      </c>
      <c r="G62" s="100">
        <v>0.02</v>
      </c>
      <c r="H62" s="93">
        <f t="shared" si="0"/>
        <v>310000</v>
      </c>
      <c r="I62" s="103">
        <v>38078</v>
      </c>
      <c r="J62" s="90">
        <v>0.02</v>
      </c>
    </row>
    <row r="63" spans="1:10" x14ac:dyDescent="0.2">
      <c r="A63" s="64">
        <v>38231</v>
      </c>
      <c r="B63" s="74">
        <f t="shared" si="1"/>
        <v>30</v>
      </c>
      <c r="C63" s="65">
        <v>2500</v>
      </c>
      <c r="D63" s="62">
        <v>1.5</v>
      </c>
      <c r="F63" s="64">
        <v>38657</v>
      </c>
      <c r="G63" s="100">
        <v>7.4999999999999997E-2</v>
      </c>
      <c r="H63" s="93">
        <f t="shared" si="0"/>
        <v>300000</v>
      </c>
      <c r="I63" s="103">
        <v>38108</v>
      </c>
      <c r="J63" s="90">
        <v>0.02</v>
      </c>
    </row>
    <row r="64" spans="1:10" x14ac:dyDescent="0.2">
      <c r="A64" s="64">
        <v>38261</v>
      </c>
      <c r="B64" s="74">
        <f t="shared" si="1"/>
        <v>31</v>
      </c>
      <c r="C64" s="65">
        <v>2500</v>
      </c>
      <c r="D64" s="62">
        <v>1.5</v>
      </c>
      <c r="F64" s="64">
        <v>38687</v>
      </c>
      <c r="G64" s="100">
        <v>7.4999999999999997E-2</v>
      </c>
      <c r="H64" s="93">
        <f t="shared" si="0"/>
        <v>310000</v>
      </c>
      <c r="I64" s="103">
        <v>38139</v>
      </c>
      <c r="J64" s="90">
        <v>0.02</v>
      </c>
    </row>
    <row r="65" spans="1:10" x14ac:dyDescent="0.2">
      <c r="A65" s="64">
        <v>38292</v>
      </c>
      <c r="B65" s="74">
        <f t="shared" si="1"/>
        <v>30</v>
      </c>
      <c r="C65" s="65">
        <v>9000</v>
      </c>
      <c r="D65" s="62">
        <v>3</v>
      </c>
      <c r="F65" s="64">
        <v>38718</v>
      </c>
      <c r="G65" s="100">
        <v>7.4999999999999997E-2</v>
      </c>
      <c r="H65" s="93">
        <f t="shared" si="0"/>
        <v>310000</v>
      </c>
      <c r="I65" s="103">
        <v>38169</v>
      </c>
      <c r="J65" s="90">
        <v>0.02</v>
      </c>
    </row>
    <row r="66" spans="1:10" x14ac:dyDescent="0.2">
      <c r="A66" s="64">
        <v>38322</v>
      </c>
      <c r="B66" s="74">
        <f t="shared" si="1"/>
        <v>31</v>
      </c>
      <c r="C66" s="65">
        <v>9000</v>
      </c>
      <c r="D66" s="62">
        <v>3</v>
      </c>
      <c r="F66" s="64">
        <v>38749</v>
      </c>
      <c r="G66" s="100">
        <v>7.4999999999999997E-2</v>
      </c>
      <c r="H66" s="93">
        <f t="shared" si="0"/>
        <v>280000</v>
      </c>
      <c r="I66" s="103">
        <v>38200</v>
      </c>
      <c r="J66" s="90">
        <v>0.02</v>
      </c>
    </row>
    <row r="67" spans="1:10" x14ac:dyDescent="0.2">
      <c r="A67" s="64">
        <v>38353</v>
      </c>
      <c r="B67" s="74">
        <f t="shared" si="1"/>
        <v>31</v>
      </c>
      <c r="C67" s="65">
        <v>9000</v>
      </c>
      <c r="D67" s="62">
        <v>3</v>
      </c>
      <c r="F67" s="64">
        <v>38777</v>
      </c>
      <c r="G67" s="100">
        <v>7.4999999999999997E-2</v>
      </c>
      <c r="H67" s="93">
        <f>10000*31</f>
        <v>310000</v>
      </c>
      <c r="I67" s="103">
        <v>38231</v>
      </c>
      <c r="J67" s="90">
        <v>0.02</v>
      </c>
    </row>
    <row r="68" spans="1:10" x14ac:dyDescent="0.2">
      <c r="A68" s="64">
        <v>38384</v>
      </c>
      <c r="B68" s="74">
        <f t="shared" si="1"/>
        <v>28</v>
      </c>
      <c r="C68" s="65">
        <v>9000</v>
      </c>
      <c r="D68" s="62">
        <v>3</v>
      </c>
      <c r="F68" s="64">
        <v>38899</v>
      </c>
      <c r="G68" s="100">
        <v>0.02</v>
      </c>
      <c r="H68" s="93">
        <f t="shared" si="0"/>
        <v>310000</v>
      </c>
      <c r="I68" s="103">
        <v>38261</v>
      </c>
      <c r="J68" s="90">
        <v>0.02</v>
      </c>
    </row>
    <row r="69" spans="1:10" x14ac:dyDescent="0.2">
      <c r="A69" s="64">
        <v>38412</v>
      </c>
      <c r="B69" s="74">
        <f t="shared" si="1"/>
        <v>31</v>
      </c>
      <c r="C69" s="65">
        <v>9000</v>
      </c>
      <c r="D69" s="62">
        <v>3</v>
      </c>
      <c r="F69" s="64">
        <v>38930</v>
      </c>
      <c r="G69" s="100">
        <v>0.02</v>
      </c>
      <c r="H69" s="93">
        <f t="shared" si="0"/>
        <v>310000</v>
      </c>
      <c r="I69" s="103">
        <v>38292</v>
      </c>
      <c r="J69" s="90">
        <v>0.02</v>
      </c>
    </row>
    <row r="70" spans="1:10" x14ac:dyDescent="0.2">
      <c r="A70" s="64">
        <v>38443</v>
      </c>
      <c r="B70" s="74">
        <f t="shared" si="1"/>
        <v>30</v>
      </c>
      <c r="C70" s="65">
        <v>3500</v>
      </c>
      <c r="D70" s="62">
        <v>1.5</v>
      </c>
      <c r="F70" s="64">
        <v>38961</v>
      </c>
      <c r="G70" s="100">
        <v>0.02</v>
      </c>
      <c r="H70" s="93">
        <f t="shared" ref="H70:H111" si="2">10000*(F71-F70)</f>
        <v>300000</v>
      </c>
      <c r="I70" s="103">
        <v>38322</v>
      </c>
      <c r="J70" s="90">
        <v>0.02</v>
      </c>
    </row>
    <row r="71" spans="1:10" x14ac:dyDescent="0.2">
      <c r="A71" s="64">
        <v>38473</v>
      </c>
      <c r="B71" s="74">
        <f t="shared" ref="B71:B134" si="3">+A72-A71</f>
        <v>31</v>
      </c>
      <c r="C71" s="65">
        <v>3500</v>
      </c>
      <c r="D71" s="62">
        <v>1.5</v>
      </c>
      <c r="F71" s="64">
        <v>38991</v>
      </c>
      <c r="G71" s="100">
        <v>0.02</v>
      </c>
      <c r="H71" s="93">
        <f t="shared" si="2"/>
        <v>310000</v>
      </c>
      <c r="I71" s="103">
        <v>38353</v>
      </c>
      <c r="J71" s="90">
        <v>0.02</v>
      </c>
    </row>
    <row r="72" spans="1:10" x14ac:dyDescent="0.2">
      <c r="A72" s="64">
        <v>38504</v>
      </c>
      <c r="B72" s="74">
        <f t="shared" si="3"/>
        <v>30</v>
      </c>
      <c r="C72" s="65">
        <v>3500</v>
      </c>
      <c r="D72" s="62">
        <v>1.5</v>
      </c>
      <c r="F72" s="64">
        <v>39022</v>
      </c>
      <c r="G72" s="100">
        <v>7.4999999999999997E-2</v>
      </c>
      <c r="H72" s="93">
        <f t="shared" si="2"/>
        <v>300000</v>
      </c>
      <c r="I72" s="103">
        <v>38384</v>
      </c>
      <c r="J72" s="90">
        <v>0.02</v>
      </c>
    </row>
    <row r="73" spans="1:10" x14ac:dyDescent="0.2">
      <c r="A73" s="64">
        <v>38534</v>
      </c>
      <c r="B73" s="74">
        <f t="shared" si="3"/>
        <v>31</v>
      </c>
      <c r="C73" s="65">
        <v>3500</v>
      </c>
      <c r="D73" s="62">
        <v>1.5</v>
      </c>
      <c r="F73" s="64">
        <v>39052</v>
      </c>
      <c r="G73" s="100">
        <v>7.4999999999999997E-2</v>
      </c>
      <c r="H73" s="93">
        <f t="shared" si="2"/>
        <v>310000</v>
      </c>
      <c r="I73" s="103">
        <v>38412</v>
      </c>
      <c r="J73" s="90">
        <v>0.02</v>
      </c>
    </row>
    <row r="74" spans="1:10" x14ac:dyDescent="0.2">
      <c r="A74" s="64">
        <v>38565</v>
      </c>
      <c r="B74" s="74">
        <f t="shared" si="3"/>
        <v>31</v>
      </c>
      <c r="C74" s="65">
        <v>3500</v>
      </c>
      <c r="D74" s="62">
        <v>1.5</v>
      </c>
      <c r="F74" s="64">
        <v>39083</v>
      </c>
      <c r="G74" s="100">
        <v>7.4999999999999997E-2</v>
      </c>
      <c r="H74" s="93">
        <f t="shared" si="2"/>
        <v>310000</v>
      </c>
      <c r="I74" s="103">
        <v>38443</v>
      </c>
      <c r="J74" s="90">
        <v>0.02</v>
      </c>
    </row>
    <row r="75" spans="1:10" x14ac:dyDescent="0.2">
      <c r="A75" s="64">
        <v>38596</v>
      </c>
      <c r="B75" s="74">
        <f t="shared" si="3"/>
        <v>30</v>
      </c>
      <c r="C75" s="65">
        <v>3500</v>
      </c>
      <c r="D75" s="62">
        <v>1.5</v>
      </c>
      <c r="F75" s="64">
        <v>39114</v>
      </c>
      <c r="G75" s="100">
        <v>7.4999999999999997E-2</v>
      </c>
      <c r="H75" s="93">
        <f t="shared" si="2"/>
        <v>280000</v>
      </c>
      <c r="I75" s="103">
        <v>38473</v>
      </c>
      <c r="J75" s="90">
        <v>0.02</v>
      </c>
    </row>
    <row r="76" spans="1:10" x14ac:dyDescent="0.2">
      <c r="A76" s="64">
        <v>38626</v>
      </c>
      <c r="B76" s="74">
        <f t="shared" si="3"/>
        <v>31</v>
      </c>
      <c r="C76" s="65">
        <v>3500</v>
      </c>
      <c r="D76" s="62">
        <v>1.5</v>
      </c>
      <c r="F76" s="64">
        <v>39142</v>
      </c>
      <c r="G76" s="100">
        <v>7.4999999999999997E-2</v>
      </c>
      <c r="H76" s="93">
        <f>10000*31</f>
        <v>310000</v>
      </c>
      <c r="I76" s="103">
        <v>38504</v>
      </c>
      <c r="J76" s="90">
        <v>0.02</v>
      </c>
    </row>
    <row r="77" spans="1:10" x14ac:dyDescent="0.2">
      <c r="A77" s="64">
        <v>38657</v>
      </c>
      <c r="B77" s="74">
        <f t="shared" si="3"/>
        <v>30</v>
      </c>
      <c r="C77" s="65">
        <v>9000</v>
      </c>
      <c r="D77" s="62">
        <v>3</v>
      </c>
      <c r="F77" s="64">
        <v>39264</v>
      </c>
      <c r="G77" s="100">
        <v>0.02</v>
      </c>
      <c r="H77" s="93">
        <f t="shared" si="2"/>
        <v>310000</v>
      </c>
      <c r="I77" s="103">
        <v>38534</v>
      </c>
      <c r="J77" s="90">
        <v>0.02</v>
      </c>
    </row>
    <row r="78" spans="1:10" x14ac:dyDescent="0.2">
      <c r="A78" s="64">
        <v>38687</v>
      </c>
      <c r="B78" s="74">
        <f t="shared" si="3"/>
        <v>31</v>
      </c>
      <c r="C78" s="65">
        <v>9000</v>
      </c>
      <c r="D78" s="62">
        <v>3</v>
      </c>
      <c r="F78" s="64">
        <v>39295</v>
      </c>
      <c r="G78" s="100">
        <v>0.02</v>
      </c>
      <c r="H78" s="93">
        <f t="shared" si="2"/>
        <v>310000</v>
      </c>
      <c r="I78" s="103">
        <v>38565</v>
      </c>
      <c r="J78" s="90">
        <v>0.02</v>
      </c>
    </row>
    <row r="79" spans="1:10" x14ac:dyDescent="0.2">
      <c r="A79" s="64">
        <v>38718</v>
      </c>
      <c r="B79" s="74">
        <f t="shared" si="3"/>
        <v>31</v>
      </c>
      <c r="C79" s="65">
        <v>9000</v>
      </c>
      <c r="D79" s="62">
        <v>3</v>
      </c>
      <c r="F79" s="64">
        <v>39326</v>
      </c>
      <c r="G79" s="100">
        <v>0.02</v>
      </c>
      <c r="H79" s="93">
        <f t="shared" si="2"/>
        <v>300000</v>
      </c>
      <c r="I79" s="103">
        <v>38596</v>
      </c>
      <c r="J79" s="90">
        <v>0.02</v>
      </c>
    </row>
    <row r="80" spans="1:10" x14ac:dyDescent="0.2">
      <c r="A80" s="64">
        <v>38749</v>
      </c>
      <c r="B80" s="74">
        <f t="shared" si="3"/>
        <v>28</v>
      </c>
      <c r="C80" s="65">
        <v>9000</v>
      </c>
      <c r="D80" s="62">
        <v>3</v>
      </c>
      <c r="F80" s="64">
        <v>39356</v>
      </c>
      <c r="G80" s="100">
        <v>0.02</v>
      </c>
      <c r="H80" s="93">
        <f t="shared" si="2"/>
        <v>310000</v>
      </c>
      <c r="I80" s="103">
        <v>38626</v>
      </c>
      <c r="J80" s="90">
        <v>0.02</v>
      </c>
    </row>
    <row r="81" spans="1:10" x14ac:dyDescent="0.2">
      <c r="A81" s="64">
        <v>38777</v>
      </c>
      <c r="B81" s="74">
        <f t="shared" si="3"/>
        <v>31</v>
      </c>
      <c r="C81" s="65">
        <v>9000</v>
      </c>
      <c r="D81" s="62">
        <v>3</v>
      </c>
      <c r="F81" s="64">
        <v>39387</v>
      </c>
      <c r="G81" s="100">
        <v>7.4999999999999997E-2</v>
      </c>
      <c r="H81" s="93">
        <f t="shared" si="2"/>
        <v>300000</v>
      </c>
      <c r="I81" s="103">
        <v>38657</v>
      </c>
      <c r="J81" s="90">
        <v>0.02</v>
      </c>
    </row>
    <row r="82" spans="1:10" x14ac:dyDescent="0.2">
      <c r="A82" s="64">
        <v>38808</v>
      </c>
      <c r="B82" s="74">
        <f t="shared" si="3"/>
        <v>30</v>
      </c>
      <c r="C82" s="65">
        <v>3500</v>
      </c>
      <c r="D82" s="62">
        <v>1.5</v>
      </c>
      <c r="F82" s="64">
        <v>39417</v>
      </c>
      <c r="G82" s="100">
        <v>7.4999999999999997E-2</v>
      </c>
      <c r="H82" s="93">
        <f t="shared" si="2"/>
        <v>310000</v>
      </c>
      <c r="I82" s="103">
        <v>38687</v>
      </c>
      <c r="J82" s="90">
        <v>0.02</v>
      </c>
    </row>
    <row r="83" spans="1:10" x14ac:dyDescent="0.2">
      <c r="A83" s="64">
        <v>38838</v>
      </c>
      <c r="B83" s="74">
        <f t="shared" si="3"/>
        <v>31</v>
      </c>
      <c r="C83" s="65">
        <v>3500</v>
      </c>
      <c r="D83" s="62">
        <v>1.5</v>
      </c>
      <c r="F83" s="64">
        <v>39448</v>
      </c>
      <c r="G83" s="100">
        <v>7.4999999999999997E-2</v>
      </c>
      <c r="H83" s="93">
        <f t="shared" si="2"/>
        <v>310000</v>
      </c>
      <c r="I83" s="103">
        <v>38718</v>
      </c>
      <c r="J83" s="90">
        <v>0.02</v>
      </c>
    </row>
    <row r="84" spans="1:10" x14ac:dyDescent="0.2">
      <c r="A84" s="64">
        <v>38869</v>
      </c>
      <c r="B84" s="74">
        <f t="shared" si="3"/>
        <v>30</v>
      </c>
      <c r="C84" s="65">
        <v>3500</v>
      </c>
      <c r="D84" s="62">
        <v>1.5</v>
      </c>
      <c r="F84" s="64">
        <v>39479</v>
      </c>
      <c r="G84" s="100">
        <v>7.4999999999999997E-2</v>
      </c>
      <c r="H84" s="93">
        <f t="shared" si="2"/>
        <v>290000</v>
      </c>
      <c r="I84" s="103">
        <v>38749</v>
      </c>
      <c r="J84" s="90">
        <v>0.02</v>
      </c>
    </row>
    <row r="85" spans="1:10" x14ac:dyDescent="0.2">
      <c r="A85" s="64">
        <v>38899</v>
      </c>
      <c r="B85" s="74">
        <f t="shared" si="3"/>
        <v>31</v>
      </c>
      <c r="C85" s="65">
        <v>3500</v>
      </c>
      <c r="D85" s="62">
        <v>1.5</v>
      </c>
      <c r="F85" s="64">
        <v>39508</v>
      </c>
      <c r="G85" s="100">
        <v>7.4999999999999997E-2</v>
      </c>
      <c r="H85" s="93">
        <f>10000*31</f>
        <v>310000</v>
      </c>
      <c r="I85" s="103">
        <v>38777</v>
      </c>
      <c r="J85" s="90">
        <v>0.02</v>
      </c>
    </row>
    <row r="86" spans="1:10" x14ac:dyDescent="0.2">
      <c r="A86" s="64">
        <v>38930</v>
      </c>
      <c r="B86" s="74">
        <f t="shared" si="3"/>
        <v>31</v>
      </c>
      <c r="C86" s="65">
        <v>3500</v>
      </c>
      <c r="D86" s="62">
        <v>1.5</v>
      </c>
      <c r="F86" s="64">
        <v>39630</v>
      </c>
      <c r="G86" s="100">
        <v>0.02</v>
      </c>
      <c r="H86" s="93">
        <f t="shared" si="2"/>
        <v>310000</v>
      </c>
      <c r="I86" s="103">
        <v>38808</v>
      </c>
      <c r="J86" s="90">
        <v>0.02</v>
      </c>
    </row>
    <row r="87" spans="1:10" x14ac:dyDescent="0.2">
      <c r="A87" s="64">
        <v>38961</v>
      </c>
      <c r="B87" s="74">
        <f t="shared" si="3"/>
        <v>30</v>
      </c>
      <c r="C87" s="65">
        <v>3500</v>
      </c>
      <c r="D87" s="62">
        <v>1.5</v>
      </c>
      <c r="F87" s="64">
        <v>39661</v>
      </c>
      <c r="G87" s="100">
        <v>0.02</v>
      </c>
      <c r="H87" s="93">
        <f t="shared" si="2"/>
        <v>310000</v>
      </c>
      <c r="I87" s="103">
        <v>38838</v>
      </c>
      <c r="J87" s="90">
        <v>0.02</v>
      </c>
    </row>
    <row r="88" spans="1:10" x14ac:dyDescent="0.2">
      <c r="A88" s="64">
        <v>38991</v>
      </c>
      <c r="B88" s="74">
        <f t="shared" si="3"/>
        <v>31</v>
      </c>
      <c r="C88" s="65">
        <v>3500</v>
      </c>
      <c r="D88" s="62">
        <v>1.5</v>
      </c>
      <c r="F88" s="64">
        <v>39692</v>
      </c>
      <c r="G88" s="100">
        <v>0.02</v>
      </c>
      <c r="H88" s="93">
        <f t="shared" si="2"/>
        <v>300000</v>
      </c>
      <c r="I88" s="103">
        <v>38869</v>
      </c>
      <c r="J88" s="90">
        <v>0.02</v>
      </c>
    </row>
    <row r="89" spans="1:10" x14ac:dyDescent="0.2">
      <c r="A89" s="64">
        <v>39022</v>
      </c>
      <c r="B89" s="74">
        <f t="shared" si="3"/>
        <v>30</v>
      </c>
      <c r="C89" s="65">
        <v>9000</v>
      </c>
      <c r="D89" s="62">
        <v>3</v>
      </c>
      <c r="F89" s="64">
        <v>39722</v>
      </c>
      <c r="G89" s="100">
        <v>0.02</v>
      </c>
      <c r="H89" s="93">
        <f t="shared" si="2"/>
        <v>310000</v>
      </c>
      <c r="I89" s="103">
        <v>38899</v>
      </c>
      <c r="J89" s="90">
        <v>0.02</v>
      </c>
    </row>
    <row r="90" spans="1:10" x14ac:dyDescent="0.2">
      <c r="A90" s="64">
        <v>39052</v>
      </c>
      <c r="B90" s="74">
        <f t="shared" si="3"/>
        <v>31</v>
      </c>
      <c r="C90" s="65">
        <v>9000</v>
      </c>
      <c r="D90" s="62">
        <v>3</v>
      </c>
      <c r="F90" s="64">
        <v>39753</v>
      </c>
      <c r="G90" s="100">
        <v>7.4999999999999997E-2</v>
      </c>
      <c r="H90" s="93">
        <f t="shared" si="2"/>
        <v>300000</v>
      </c>
      <c r="I90" s="103">
        <v>38930</v>
      </c>
      <c r="J90" s="90">
        <v>0.02</v>
      </c>
    </row>
    <row r="91" spans="1:10" x14ac:dyDescent="0.2">
      <c r="A91" s="64">
        <v>39083</v>
      </c>
      <c r="B91" s="74">
        <f t="shared" si="3"/>
        <v>31</v>
      </c>
      <c r="C91" s="65">
        <v>9000</v>
      </c>
      <c r="D91" s="62">
        <v>3</v>
      </c>
      <c r="F91" s="64">
        <v>39783</v>
      </c>
      <c r="G91" s="100">
        <v>7.4999999999999997E-2</v>
      </c>
      <c r="H91" s="93">
        <f t="shared" si="2"/>
        <v>310000</v>
      </c>
      <c r="I91" s="103">
        <v>38961</v>
      </c>
      <c r="J91" s="90">
        <v>0.02</v>
      </c>
    </row>
    <row r="92" spans="1:10" x14ac:dyDescent="0.2">
      <c r="A92" s="64">
        <v>39114</v>
      </c>
      <c r="B92" s="74">
        <f t="shared" si="3"/>
        <v>28</v>
      </c>
      <c r="C92" s="65">
        <v>9000</v>
      </c>
      <c r="D92" s="62">
        <v>3</v>
      </c>
      <c r="F92" s="64">
        <v>39814</v>
      </c>
      <c r="G92" s="100">
        <v>7.4999999999999997E-2</v>
      </c>
      <c r="H92" s="93">
        <f t="shared" si="2"/>
        <v>310000</v>
      </c>
      <c r="I92" s="103">
        <v>38991</v>
      </c>
      <c r="J92" s="90">
        <v>0.02</v>
      </c>
    </row>
    <row r="93" spans="1:10" x14ac:dyDescent="0.2">
      <c r="A93" s="64">
        <v>39142</v>
      </c>
      <c r="B93" s="74">
        <f t="shared" si="3"/>
        <v>31</v>
      </c>
      <c r="C93" s="65">
        <v>9000</v>
      </c>
      <c r="D93" s="62">
        <v>3</v>
      </c>
      <c r="F93" s="64">
        <v>39845</v>
      </c>
      <c r="G93" s="100">
        <v>7.4999999999999997E-2</v>
      </c>
      <c r="H93" s="93">
        <f t="shared" si="2"/>
        <v>280000</v>
      </c>
      <c r="I93" s="103">
        <v>39022</v>
      </c>
      <c r="J93" s="90">
        <v>0.02</v>
      </c>
    </row>
    <row r="94" spans="1:10" x14ac:dyDescent="0.2">
      <c r="A94" s="64">
        <v>39173</v>
      </c>
      <c r="B94" s="74">
        <f t="shared" si="3"/>
        <v>30</v>
      </c>
      <c r="C94" s="65">
        <v>3500</v>
      </c>
      <c r="D94" s="62">
        <v>1.5</v>
      </c>
      <c r="F94" s="64">
        <v>39873</v>
      </c>
      <c r="G94" s="100">
        <v>7.4999999999999997E-2</v>
      </c>
      <c r="H94" s="93">
        <f>10000*31</f>
        <v>310000</v>
      </c>
      <c r="I94" s="103">
        <v>39052</v>
      </c>
      <c r="J94" s="90">
        <v>0.02</v>
      </c>
    </row>
    <row r="95" spans="1:10" x14ac:dyDescent="0.2">
      <c r="A95" s="64">
        <v>39203</v>
      </c>
      <c r="B95" s="74">
        <f t="shared" si="3"/>
        <v>31</v>
      </c>
      <c r="C95" s="65">
        <v>3500</v>
      </c>
      <c r="D95" s="62">
        <v>1.5</v>
      </c>
      <c r="F95" s="64">
        <v>39995</v>
      </c>
      <c r="G95" s="100">
        <v>0.02</v>
      </c>
      <c r="H95" s="93">
        <f t="shared" si="2"/>
        <v>310000</v>
      </c>
      <c r="I95" s="103">
        <v>39083</v>
      </c>
      <c r="J95" s="90">
        <v>0.02</v>
      </c>
    </row>
    <row r="96" spans="1:10" x14ac:dyDescent="0.2">
      <c r="A96" s="64">
        <v>39234</v>
      </c>
      <c r="B96" s="74">
        <f t="shared" si="3"/>
        <v>30</v>
      </c>
      <c r="C96" s="65">
        <v>3500</v>
      </c>
      <c r="D96" s="62">
        <v>1.5</v>
      </c>
      <c r="F96" s="64">
        <v>40026</v>
      </c>
      <c r="G96" s="100">
        <v>0.02</v>
      </c>
      <c r="H96" s="93">
        <f t="shared" si="2"/>
        <v>310000</v>
      </c>
      <c r="I96" s="103">
        <v>39114</v>
      </c>
      <c r="J96" s="90">
        <v>0.02</v>
      </c>
    </row>
    <row r="97" spans="1:10" x14ac:dyDescent="0.2">
      <c r="A97" s="64">
        <v>39264</v>
      </c>
      <c r="B97" s="74">
        <f t="shared" si="3"/>
        <v>31</v>
      </c>
      <c r="C97" s="65">
        <v>3500</v>
      </c>
      <c r="D97" s="62">
        <v>1.5</v>
      </c>
      <c r="F97" s="64">
        <v>40057</v>
      </c>
      <c r="G97" s="100">
        <v>0.02</v>
      </c>
      <c r="H97" s="93">
        <f t="shared" si="2"/>
        <v>300000</v>
      </c>
      <c r="I97" s="103">
        <v>39142</v>
      </c>
      <c r="J97" s="90">
        <v>0.02</v>
      </c>
    </row>
    <row r="98" spans="1:10" x14ac:dyDescent="0.2">
      <c r="A98" s="64">
        <v>39295</v>
      </c>
      <c r="B98" s="74">
        <f t="shared" si="3"/>
        <v>31</v>
      </c>
      <c r="C98" s="65">
        <v>3500</v>
      </c>
      <c r="D98" s="62">
        <v>1.5</v>
      </c>
      <c r="F98" s="64">
        <v>40087</v>
      </c>
      <c r="G98" s="100">
        <v>0.02</v>
      </c>
      <c r="H98" s="93">
        <f t="shared" si="2"/>
        <v>310000</v>
      </c>
      <c r="I98" s="103">
        <v>39173</v>
      </c>
      <c r="J98" s="90">
        <v>0.02</v>
      </c>
    </row>
    <row r="99" spans="1:10" x14ac:dyDescent="0.2">
      <c r="A99" s="64">
        <v>39326</v>
      </c>
      <c r="B99" s="74">
        <f t="shared" si="3"/>
        <v>30</v>
      </c>
      <c r="C99" s="65">
        <v>3500</v>
      </c>
      <c r="D99" s="62">
        <v>1.5</v>
      </c>
      <c r="F99" s="64">
        <v>40118</v>
      </c>
      <c r="G99" s="100">
        <v>7.4999999999999997E-2</v>
      </c>
      <c r="H99" s="93">
        <f t="shared" si="2"/>
        <v>300000</v>
      </c>
      <c r="I99" s="103">
        <v>39203</v>
      </c>
      <c r="J99" s="90">
        <v>0.02</v>
      </c>
    </row>
    <row r="100" spans="1:10" x14ac:dyDescent="0.2">
      <c r="A100" s="64">
        <v>39356</v>
      </c>
      <c r="B100" s="74">
        <f t="shared" si="3"/>
        <v>31</v>
      </c>
      <c r="C100" s="65">
        <v>3500</v>
      </c>
      <c r="D100" s="62">
        <v>1.5</v>
      </c>
      <c r="F100" s="64">
        <v>40148</v>
      </c>
      <c r="G100" s="100">
        <v>7.4999999999999997E-2</v>
      </c>
      <c r="H100" s="93">
        <f t="shared" si="2"/>
        <v>310000</v>
      </c>
      <c r="I100" s="103">
        <v>39234</v>
      </c>
      <c r="J100" s="90">
        <v>0.02</v>
      </c>
    </row>
    <row r="101" spans="1:10" x14ac:dyDescent="0.2">
      <c r="A101" s="64">
        <v>39387</v>
      </c>
      <c r="B101" s="74">
        <f t="shared" si="3"/>
        <v>30</v>
      </c>
      <c r="C101" s="65">
        <v>15000</v>
      </c>
      <c r="D101" s="62">
        <v>3</v>
      </c>
      <c r="F101" s="64">
        <v>40179</v>
      </c>
      <c r="G101" s="100">
        <v>7.4999999999999997E-2</v>
      </c>
      <c r="H101" s="93">
        <f t="shared" si="2"/>
        <v>310000</v>
      </c>
      <c r="I101" s="103">
        <v>39264</v>
      </c>
      <c r="J101" s="90">
        <v>0.02</v>
      </c>
    </row>
    <row r="102" spans="1:10" x14ac:dyDescent="0.2">
      <c r="A102" s="64">
        <v>39417</v>
      </c>
      <c r="B102" s="74">
        <f t="shared" si="3"/>
        <v>31</v>
      </c>
      <c r="C102" s="65">
        <v>15000</v>
      </c>
      <c r="D102" s="62">
        <v>3</v>
      </c>
      <c r="F102" s="64">
        <v>40210</v>
      </c>
      <c r="G102" s="100">
        <v>7.4999999999999997E-2</v>
      </c>
      <c r="H102" s="93">
        <f t="shared" si="2"/>
        <v>280000</v>
      </c>
      <c r="I102" s="103">
        <v>39295</v>
      </c>
      <c r="J102" s="90">
        <v>0.02</v>
      </c>
    </row>
    <row r="103" spans="1:10" x14ac:dyDescent="0.2">
      <c r="A103" s="64">
        <v>39448</v>
      </c>
      <c r="B103" s="74">
        <f t="shared" si="3"/>
        <v>31</v>
      </c>
      <c r="C103" s="65">
        <v>15000</v>
      </c>
      <c r="D103" s="62">
        <v>3</v>
      </c>
      <c r="F103" s="64">
        <v>40238</v>
      </c>
      <c r="G103" s="100">
        <v>7.4999999999999997E-2</v>
      </c>
      <c r="H103" s="93">
        <f>10000*31</f>
        <v>310000</v>
      </c>
      <c r="I103" s="103">
        <v>39326</v>
      </c>
      <c r="J103" s="90">
        <v>0.02</v>
      </c>
    </row>
    <row r="104" spans="1:10" x14ac:dyDescent="0.2">
      <c r="A104" s="64">
        <v>39479</v>
      </c>
      <c r="B104" s="74">
        <f t="shared" si="3"/>
        <v>29</v>
      </c>
      <c r="C104" s="65">
        <v>15000</v>
      </c>
      <c r="D104" s="62">
        <v>3</v>
      </c>
      <c r="F104" s="64">
        <v>40360</v>
      </c>
      <c r="G104" s="100">
        <v>0.02</v>
      </c>
      <c r="H104" s="93">
        <f t="shared" si="2"/>
        <v>310000</v>
      </c>
      <c r="I104" s="103">
        <v>39356</v>
      </c>
      <c r="J104" s="90">
        <v>0.02</v>
      </c>
    </row>
    <row r="105" spans="1:10" x14ac:dyDescent="0.2">
      <c r="A105" s="64">
        <v>39508</v>
      </c>
      <c r="B105" s="74">
        <f t="shared" si="3"/>
        <v>31</v>
      </c>
      <c r="C105" s="65">
        <v>15000</v>
      </c>
      <c r="D105" s="62">
        <v>3</v>
      </c>
      <c r="F105" s="64">
        <v>40391</v>
      </c>
      <c r="G105" s="100">
        <v>0.02</v>
      </c>
      <c r="H105" s="93">
        <f t="shared" si="2"/>
        <v>310000</v>
      </c>
      <c r="I105" s="103">
        <v>39387</v>
      </c>
      <c r="J105" s="90">
        <v>0.02</v>
      </c>
    </row>
    <row r="106" spans="1:10" x14ac:dyDescent="0.2">
      <c r="A106" s="64">
        <v>39539</v>
      </c>
      <c r="B106" s="74">
        <f t="shared" si="3"/>
        <v>30</v>
      </c>
      <c r="C106" s="65">
        <v>5000</v>
      </c>
      <c r="D106" s="62">
        <v>1.5</v>
      </c>
      <c r="F106" s="64">
        <v>40422</v>
      </c>
      <c r="G106" s="100">
        <v>0.02</v>
      </c>
      <c r="H106" s="93">
        <f t="shared" si="2"/>
        <v>300000</v>
      </c>
      <c r="I106" s="103">
        <v>39417</v>
      </c>
      <c r="J106" s="90">
        <v>0.02</v>
      </c>
    </row>
    <row r="107" spans="1:10" x14ac:dyDescent="0.2">
      <c r="A107" s="64">
        <v>39569</v>
      </c>
      <c r="B107" s="74">
        <f t="shared" si="3"/>
        <v>31</v>
      </c>
      <c r="C107" s="65">
        <v>5000</v>
      </c>
      <c r="D107" s="62">
        <v>1.5</v>
      </c>
      <c r="F107" s="64">
        <v>40452</v>
      </c>
      <c r="G107" s="100">
        <v>0.02</v>
      </c>
      <c r="H107" s="93">
        <f t="shared" si="2"/>
        <v>310000</v>
      </c>
      <c r="I107" s="103">
        <v>39448</v>
      </c>
      <c r="J107" s="90">
        <v>0.02</v>
      </c>
    </row>
    <row r="108" spans="1:10" x14ac:dyDescent="0.2">
      <c r="A108" s="64">
        <v>39600</v>
      </c>
      <c r="B108" s="74">
        <f t="shared" si="3"/>
        <v>30</v>
      </c>
      <c r="C108" s="65">
        <v>5000</v>
      </c>
      <c r="D108" s="62">
        <v>1.5</v>
      </c>
      <c r="F108" s="64">
        <v>40483</v>
      </c>
      <c r="G108" s="100">
        <v>7.4999999999999997E-2</v>
      </c>
      <c r="H108" s="93">
        <f t="shared" si="2"/>
        <v>300000</v>
      </c>
      <c r="I108" s="103">
        <v>39479</v>
      </c>
      <c r="J108" s="90">
        <v>0.02</v>
      </c>
    </row>
    <row r="109" spans="1:10" x14ac:dyDescent="0.2">
      <c r="A109" s="64">
        <v>39630</v>
      </c>
      <c r="B109" s="74">
        <f t="shared" si="3"/>
        <v>31</v>
      </c>
      <c r="C109" s="65">
        <v>5000</v>
      </c>
      <c r="D109" s="62">
        <v>1.5</v>
      </c>
      <c r="F109" s="64">
        <v>40513</v>
      </c>
      <c r="G109" s="100">
        <v>7.4999999999999997E-2</v>
      </c>
      <c r="H109" s="93">
        <f t="shared" si="2"/>
        <v>310000</v>
      </c>
      <c r="I109" s="103">
        <v>39508</v>
      </c>
      <c r="J109" s="90">
        <v>0.02</v>
      </c>
    </row>
    <row r="110" spans="1:10" x14ac:dyDescent="0.2">
      <c r="A110" s="64">
        <v>39661</v>
      </c>
      <c r="B110" s="74">
        <f t="shared" si="3"/>
        <v>31</v>
      </c>
      <c r="C110" s="65">
        <v>5000</v>
      </c>
      <c r="D110" s="62">
        <v>1.5</v>
      </c>
      <c r="F110" s="64">
        <v>40544</v>
      </c>
      <c r="G110" s="100">
        <v>7.4999999999999997E-2</v>
      </c>
      <c r="H110" s="93">
        <f t="shared" si="2"/>
        <v>310000</v>
      </c>
      <c r="I110" s="103">
        <v>39539</v>
      </c>
      <c r="J110" s="90">
        <v>0.02</v>
      </c>
    </row>
    <row r="111" spans="1:10" x14ac:dyDescent="0.2">
      <c r="A111" s="64">
        <v>39692</v>
      </c>
      <c r="B111" s="74">
        <f t="shared" si="3"/>
        <v>30</v>
      </c>
      <c r="C111" s="65">
        <v>5000</v>
      </c>
      <c r="D111" s="62">
        <v>1.5</v>
      </c>
      <c r="F111" s="64">
        <v>40575</v>
      </c>
      <c r="G111" s="100">
        <v>7.4999999999999997E-2</v>
      </c>
      <c r="H111" s="93">
        <f t="shared" si="2"/>
        <v>280000</v>
      </c>
      <c r="I111" s="103">
        <v>39569</v>
      </c>
      <c r="J111" s="90">
        <v>0.02</v>
      </c>
    </row>
    <row r="112" spans="1:10" ht="13.5" thickBot="1" x14ac:dyDescent="0.25">
      <c r="A112" s="64">
        <v>39722</v>
      </c>
      <c r="B112" s="74">
        <f t="shared" si="3"/>
        <v>31</v>
      </c>
      <c r="C112" s="65">
        <v>5000</v>
      </c>
      <c r="D112" s="62">
        <v>1.5</v>
      </c>
      <c r="F112" s="66">
        <v>40603</v>
      </c>
      <c r="G112" s="101">
        <v>7.4999999999999997E-2</v>
      </c>
      <c r="H112" s="94">
        <f>10000*31</f>
        <v>310000</v>
      </c>
      <c r="I112" s="103">
        <v>39600</v>
      </c>
      <c r="J112" s="90">
        <v>0.02</v>
      </c>
    </row>
    <row r="113" spans="1:10" ht="13.5" thickBot="1" x14ac:dyDescent="0.25">
      <c r="A113" s="64">
        <v>39753</v>
      </c>
      <c r="B113" s="74">
        <f t="shared" si="3"/>
        <v>30</v>
      </c>
      <c r="C113" s="65">
        <v>15000</v>
      </c>
      <c r="D113" s="62">
        <v>3</v>
      </c>
      <c r="F113" s="52" t="s">
        <v>65</v>
      </c>
      <c r="G113" s="55"/>
      <c r="H113" s="99">
        <f>SUMPRODUCT(G5:G112,H5:H112)/SUM(H5:H112)</f>
        <v>5.0145852324521421E-2</v>
      </c>
      <c r="I113" s="103">
        <v>39630</v>
      </c>
      <c r="J113" s="90">
        <v>0.02</v>
      </c>
    </row>
    <row r="114" spans="1:10" x14ac:dyDescent="0.2">
      <c r="A114" s="64">
        <v>39783</v>
      </c>
      <c r="B114" s="74">
        <f t="shared" si="3"/>
        <v>31</v>
      </c>
      <c r="C114" s="65">
        <v>15000</v>
      </c>
      <c r="D114" s="62">
        <v>3</v>
      </c>
      <c r="H114" s="93"/>
      <c r="I114" s="103">
        <v>39661</v>
      </c>
      <c r="J114" s="90">
        <v>0.02</v>
      </c>
    </row>
    <row r="115" spans="1:10" x14ac:dyDescent="0.2">
      <c r="A115" s="64">
        <v>39814</v>
      </c>
      <c r="B115" s="74">
        <f t="shared" si="3"/>
        <v>31</v>
      </c>
      <c r="C115" s="65">
        <v>15000</v>
      </c>
      <c r="D115" s="62">
        <v>3</v>
      </c>
      <c r="H115" s="93"/>
      <c r="I115" s="103">
        <v>39692</v>
      </c>
      <c r="J115" s="90">
        <v>0.02</v>
      </c>
    </row>
    <row r="116" spans="1:10" x14ac:dyDescent="0.2">
      <c r="A116" s="64">
        <v>39845</v>
      </c>
      <c r="B116" s="74">
        <f t="shared" si="3"/>
        <v>28</v>
      </c>
      <c r="C116" s="65">
        <v>15000</v>
      </c>
      <c r="D116" s="62">
        <v>3</v>
      </c>
      <c r="H116" s="93"/>
      <c r="I116" s="103">
        <v>39722</v>
      </c>
      <c r="J116" s="90">
        <v>0.02</v>
      </c>
    </row>
    <row r="117" spans="1:10" x14ac:dyDescent="0.2">
      <c r="A117" s="64">
        <v>39873</v>
      </c>
      <c r="B117" s="74">
        <f t="shared" si="3"/>
        <v>31</v>
      </c>
      <c r="C117" s="65">
        <v>15000</v>
      </c>
      <c r="D117" s="62">
        <v>3</v>
      </c>
      <c r="H117" s="93"/>
      <c r="I117" s="103">
        <v>39753</v>
      </c>
      <c r="J117" s="90">
        <v>0.02</v>
      </c>
    </row>
    <row r="118" spans="1:10" x14ac:dyDescent="0.2">
      <c r="A118" s="64">
        <v>39904</v>
      </c>
      <c r="B118" s="74">
        <f t="shared" si="3"/>
        <v>30</v>
      </c>
      <c r="C118" s="65">
        <v>5000</v>
      </c>
      <c r="D118" s="62">
        <v>1.5</v>
      </c>
      <c r="H118" s="93"/>
      <c r="I118" s="103">
        <v>39783</v>
      </c>
      <c r="J118" s="90">
        <v>0.02</v>
      </c>
    </row>
    <row r="119" spans="1:10" x14ac:dyDescent="0.2">
      <c r="A119" s="64">
        <v>39934</v>
      </c>
      <c r="B119" s="74">
        <f t="shared" si="3"/>
        <v>31</v>
      </c>
      <c r="C119" s="65">
        <v>5000</v>
      </c>
      <c r="D119" s="62">
        <v>1.5</v>
      </c>
      <c r="H119" s="93"/>
      <c r="I119" s="103">
        <v>39814</v>
      </c>
      <c r="J119" s="90">
        <v>0.02</v>
      </c>
    </row>
    <row r="120" spans="1:10" x14ac:dyDescent="0.2">
      <c r="A120" s="64">
        <v>39965</v>
      </c>
      <c r="B120" s="74">
        <f t="shared" si="3"/>
        <v>30</v>
      </c>
      <c r="C120" s="65">
        <v>5000</v>
      </c>
      <c r="D120" s="62">
        <v>1.5</v>
      </c>
      <c r="H120" s="93"/>
      <c r="I120" s="103">
        <v>39845</v>
      </c>
      <c r="J120" s="90">
        <v>0.02</v>
      </c>
    </row>
    <row r="121" spans="1:10" x14ac:dyDescent="0.2">
      <c r="A121" s="64">
        <v>39995</v>
      </c>
      <c r="B121" s="74">
        <f t="shared" si="3"/>
        <v>31</v>
      </c>
      <c r="C121" s="65">
        <v>5000</v>
      </c>
      <c r="D121" s="62">
        <v>1.5</v>
      </c>
      <c r="H121" s="93"/>
      <c r="I121" s="103">
        <v>39873</v>
      </c>
      <c r="J121" s="90">
        <v>0.02</v>
      </c>
    </row>
    <row r="122" spans="1:10" x14ac:dyDescent="0.2">
      <c r="A122" s="64">
        <v>40026</v>
      </c>
      <c r="B122" s="74">
        <f t="shared" si="3"/>
        <v>31</v>
      </c>
      <c r="C122" s="65">
        <v>5000</v>
      </c>
      <c r="D122" s="62">
        <v>1.5</v>
      </c>
      <c r="H122" s="93"/>
      <c r="I122" s="103">
        <v>39904</v>
      </c>
      <c r="J122" s="90">
        <v>0.02</v>
      </c>
    </row>
    <row r="123" spans="1:10" x14ac:dyDescent="0.2">
      <c r="A123" s="64">
        <v>40057</v>
      </c>
      <c r="B123" s="74">
        <f t="shared" si="3"/>
        <v>30</v>
      </c>
      <c r="C123" s="65">
        <v>5000</v>
      </c>
      <c r="D123" s="62">
        <v>1.5</v>
      </c>
      <c r="H123" s="93"/>
      <c r="I123" s="103">
        <v>39934</v>
      </c>
      <c r="J123" s="90">
        <v>0.02</v>
      </c>
    </row>
    <row r="124" spans="1:10" x14ac:dyDescent="0.2">
      <c r="A124" s="64">
        <v>40087</v>
      </c>
      <c r="B124" s="74">
        <f t="shared" si="3"/>
        <v>31</v>
      </c>
      <c r="C124" s="65">
        <v>5000</v>
      </c>
      <c r="D124" s="62">
        <v>1.5</v>
      </c>
      <c r="H124" s="93"/>
      <c r="I124" s="103">
        <v>39965</v>
      </c>
      <c r="J124" s="90">
        <v>0.02</v>
      </c>
    </row>
    <row r="125" spans="1:10" x14ac:dyDescent="0.2">
      <c r="A125" s="64">
        <v>40118</v>
      </c>
      <c r="B125" s="74">
        <f t="shared" si="3"/>
        <v>30</v>
      </c>
      <c r="C125" s="65">
        <v>15000</v>
      </c>
      <c r="D125" s="62">
        <v>3</v>
      </c>
      <c r="H125" s="93"/>
      <c r="I125" s="103">
        <v>39995</v>
      </c>
      <c r="J125" s="90">
        <v>0.02</v>
      </c>
    </row>
    <row r="126" spans="1:10" x14ac:dyDescent="0.2">
      <c r="A126" s="64">
        <v>40148</v>
      </c>
      <c r="B126" s="74">
        <f t="shared" si="3"/>
        <v>31</v>
      </c>
      <c r="C126" s="65">
        <v>15000</v>
      </c>
      <c r="D126" s="62">
        <v>3</v>
      </c>
      <c r="H126" s="93"/>
      <c r="I126" s="103">
        <v>40026</v>
      </c>
      <c r="J126" s="90">
        <v>0.02</v>
      </c>
    </row>
    <row r="127" spans="1:10" x14ac:dyDescent="0.2">
      <c r="A127" s="64">
        <v>40179</v>
      </c>
      <c r="B127" s="74">
        <f t="shared" si="3"/>
        <v>31</v>
      </c>
      <c r="C127" s="65">
        <v>15000</v>
      </c>
      <c r="D127" s="62">
        <v>3</v>
      </c>
      <c r="H127" s="93"/>
      <c r="I127" s="103">
        <v>40057</v>
      </c>
      <c r="J127" s="90">
        <v>0.02</v>
      </c>
    </row>
    <row r="128" spans="1:10" x14ac:dyDescent="0.2">
      <c r="A128" s="64">
        <v>40210</v>
      </c>
      <c r="B128" s="74">
        <f t="shared" si="3"/>
        <v>28</v>
      </c>
      <c r="C128" s="65">
        <v>15000</v>
      </c>
      <c r="D128" s="62">
        <v>3</v>
      </c>
      <c r="H128" s="93"/>
      <c r="I128" s="103">
        <v>40087</v>
      </c>
      <c r="J128" s="90">
        <v>0.02</v>
      </c>
    </row>
    <row r="129" spans="1:10" x14ac:dyDescent="0.2">
      <c r="A129" s="64">
        <v>40238</v>
      </c>
      <c r="B129" s="74">
        <f t="shared" si="3"/>
        <v>31</v>
      </c>
      <c r="C129" s="65">
        <v>15000</v>
      </c>
      <c r="D129" s="62">
        <v>3</v>
      </c>
      <c r="H129" s="93"/>
      <c r="I129" s="103">
        <v>40118</v>
      </c>
      <c r="J129" s="90">
        <v>0.02</v>
      </c>
    </row>
    <row r="130" spans="1:10" x14ac:dyDescent="0.2">
      <c r="A130" s="64">
        <v>40269</v>
      </c>
      <c r="B130" s="74">
        <f t="shared" si="3"/>
        <v>30</v>
      </c>
      <c r="C130" s="65">
        <v>5000</v>
      </c>
      <c r="D130" s="62">
        <v>1.5</v>
      </c>
      <c r="H130" s="93"/>
      <c r="I130" s="103">
        <v>40148</v>
      </c>
      <c r="J130" s="90">
        <v>0.02</v>
      </c>
    </row>
    <row r="131" spans="1:10" x14ac:dyDescent="0.2">
      <c r="A131" s="64">
        <v>40299</v>
      </c>
      <c r="B131" s="74">
        <f t="shared" si="3"/>
        <v>31</v>
      </c>
      <c r="C131" s="65">
        <v>5000</v>
      </c>
      <c r="D131" s="62">
        <v>1.5</v>
      </c>
      <c r="H131" s="93"/>
      <c r="I131" s="103">
        <v>40179</v>
      </c>
      <c r="J131" s="90">
        <v>0.02</v>
      </c>
    </row>
    <row r="132" spans="1:10" x14ac:dyDescent="0.2">
      <c r="A132" s="64">
        <v>40330</v>
      </c>
      <c r="B132" s="74">
        <f t="shared" si="3"/>
        <v>30</v>
      </c>
      <c r="C132" s="65">
        <v>5000</v>
      </c>
      <c r="D132" s="62">
        <v>1.5</v>
      </c>
      <c r="H132" s="93"/>
      <c r="I132" s="103">
        <v>40210</v>
      </c>
      <c r="J132" s="90">
        <v>0.02</v>
      </c>
    </row>
    <row r="133" spans="1:10" x14ac:dyDescent="0.2">
      <c r="A133" s="64">
        <v>40360</v>
      </c>
      <c r="B133" s="74">
        <f t="shared" si="3"/>
        <v>31</v>
      </c>
      <c r="C133" s="65">
        <v>5000</v>
      </c>
      <c r="D133" s="62">
        <v>1.5</v>
      </c>
      <c r="H133" s="93"/>
      <c r="I133" s="103">
        <v>40238</v>
      </c>
      <c r="J133" s="90">
        <v>0.02</v>
      </c>
    </row>
    <row r="134" spans="1:10" x14ac:dyDescent="0.2">
      <c r="A134" s="64">
        <v>40391</v>
      </c>
      <c r="B134" s="74">
        <f t="shared" si="3"/>
        <v>31</v>
      </c>
      <c r="C134" s="65">
        <v>5000</v>
      </c>
      <c r="D134" s="62">
        <v>1.5</v>
      </c>
      <c r="H134" s="93"/>
      <c r="I134" s="103">
        <v>40269</v>
      </c>
      <c r="J134" s="90">
        <v>0.02</v>
      </c>
    </row>
    <row r="135" spans="1:10" x14ac:dyDescent="0.2">
      <c r="A135" s="64">
        <v>40422</v>
      </c>
      <c r="B135" s="74">
        <f t="shared" ref="B135:B142" si="4">+A136-A135</f>
        <v>30</v>
      </c>
      <c r="C135" s="65">
        <v>5000</v>
      </c>
      <c r="D135" s="62">
        <v>1.5</v>
      </c>
      <c r="H135" s="93"/>
      <c r="I135" s="103">
        <v>40299</v>
      </c>
      <c r="J135" s="90">
        <v>0.02</v>
      </c>
    </row>
    <row r="136" spans="1:10" x14ac:dyDescent="0.2">
      <c r="A136" s="64">
        <v>40452</v>
      </c>
      <c r="B136" s="74">
        <f t="shared" si="4"/>
        <v>31</v>
      </c>
      <c r="C136" s="65">
        <v>5000</v>
      </c>
      <c r="D136" s="62">
        <v>1.5</v>
      </c>
      <c r="H136" s="93"/>
      <c r="I136" s="103">
        <v>40330</v>
      </c>
      <c r="J136" s="90">
        <v>0.02</v>
      </c>
    </row>
    <row r="137" spans="1:10" x14ac:dyDescent="0.2">
      <c r="A137" s="64">
        <v>40483</v>
      </c>
      <c r="B137" s="74">
        <f t="shared" si="4"/>
        <v>30</v>
      </c>
      <c r="C137" s="65">
        <v>15000</v>
      </c>
      <c r="D137" s="62">
        <v>3</v>
      </c>
      <c r="H137" s="93"/>
      <c r="I137" s="103">
        <v>40360</v>
      </c>
      <c r="J137" s="90">
        <v>0.02</v>
      </c>
    </row>
    <row r="138" spans="1:10" x14ac:dyDescent="0.2">
      <c r="A138" s="64">
        <v>40513</v>
      </c>
      <c r="B138" s="74">
        <f t="shared" si="4"/>
        <v>31</v>
      </c>
      <c r="C138" s="65">
        <v>15000</v>
      </c>
      <c r="D138" s="62">
        <v>3</v>
      </c>
      <c r="H138" s="93"/>
      <c r="I138" s="103">
        <v>40391</v>
      </c>
      <c r="J138" s="90">
        <v>0.02</v>
      </c>
    </row>
    <row r="139" spans="1:10" x14ac:dyDescent="0.2">
      <c r="A139" s="64">
        <v>40544</v>
      </c>
      <c r="B139" s="74">
        <f t="shared" si="4"/>
        <v>31</v>
      </c>
      <c r="C139" s="65">
        <v>15000</v>
      </c>
      <c r="D139" s="62">
        <v>3</v>
      </c>
      <c r="H139" s="93"/>
      <c r="I139" s="103">
        <v>40422</v>
      </c>
      <c r="J139" s="90">
        <v>0.02</v>
      </c>
    </row>
    <row r="140" spans="1:10" x14ac:dyDescent="0.2">
      <c r="A140" s="64">
        <v>40575</v>
      </c>
      <c r="B140" s="74">
        <f t="shared" si="4"/>
        <v>28</v>
      </c>
      <c r="C140" s="65">
        <v>15000</v>
      </c>
      <c r="D140" s="62">
        <v>3</v>
      </c>
      <c r="H140" s="93"/>
      <c r="I140" s="103">
        <v>40452</v>
      </c>
      <c r="J140" s="90">
        <v>0.02</v>
      </c>
    </row>
    <row r="141" spans="1:10" x14ac:dyDescent="0.2">
      <c r="A141" s="64">
        <v>40603</v>
      </c>
      <c r="B141" s="74">
        <f t="shared" si="4"/>
        <v>31</v>
      </c>
      <c r="C141" s="65">
        <v>15000</v>
      </c>
      <c r="D141" s="62">
        <v>3</v>
      </c>
      <c r="H141" s="93"/>
      <c r="I141" s="103">
        <v>40483</v>
      </c>
      <c r="J141" s="90">
        <v>0.02</v>
      </c>
    </row>
    <row r="142" spans="1:10" ht="13.5" thickBot="1" x14ac:dyDescent="0.25">
      <c r="A142" s="66">
        <v>40634</v>
      </c>
      <c r="B142" s="75">
        <f t="shared" si="4"/>
        <v>30</v>
      </c>
      <c r="C142" s="67">
        <v>5000</v>
      </c>
      <c r="D142" s="77">
        <v>1.5</v>
      </c>
      <c r="H142" s="93"/>
      <c r="I142" s="103">
        <v>40513</v>
      </c>
      <c r="J142" s="90">
        <v>0.02</v>
      </c>
    </row>
    <row r="143" spans="1:10" ht="13.5" thickBot="1" x14ac:dyDescent="0.25">
      <c r="A143" s="66">
        <v>40664</v>
      </c>
      <c r="B143" s="86"/>
      <c r="C143" s="39"/>
      <c r="D143" s="87">
        <f>SUMPRODUCT(C5:C142,D5:D142)/SUM(C5:C142)</f>
        <v>2.5394265232974909</v>
      </c>
      <c r="H143" s="93"/>
      <c r="I143" s="103">
        <v>40544</v>
      </c>
      <c r="J143" s="90">
        <v>0.02</v>
      </c>
    </row>
    <row r="144" spans="1:10" x14ac:dyDescent="0.2">
      <c r="H144" s="93"/>
      <c r="I144" s="103">
        <v>40575</v>
      </c>
      <c r="J144" s="90">
        <v>0.02</v>
      </c>
    </row>
    <row r="145" spans="8:10" ht="13.5" thickBot="1" x14ac:dyDescent="0.25">
      <c r="H145" s="93"/>
      <c r="I145" s="104">
        <v>40603</v>
      </c>
      <c r="J145" s="91">
        <v>0.02</v>
      </c>
    </row>
    <row r="146" spans="8:10" x14ac:dyDescent="0.2">
      <c r="H146" s="93"/>
    </row>
  </sheetData>
  <mergeCells count="2">
    <mergeCell ref="A1:C1"/>
    <mergeCell ref="A2:C2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5" sqref="E5"/>
    </sheetView>
  </sheetViews>
  <sheetFormatPr defaultRowHeight="12.75" x14ac:dyDescent="0.2"/>
  <cols>
    <col min="1" max="1" width="9.140625" style="1"/>
    <col min="2" max="2" width="11.7109375" style="1" bestFit="1" customWidth="1"/>
    <col min="3" max="3" width="9.140625" style="1"/>
    <col min="4" max="4" width="1.42578125" style="1" customWidth="1"/>
    <col min="5" max="16384" width="9.140625" style="1"/>
  </cols>
  <sheetData>
    <row r="1" spans="1:3" s="97" customFormat="1" ht="18" x14ac:dyDescent="0.25">
      <c r="A1" s="112" t="s">
        <v>63</v>
      </c>
      <c r="B1" s="112"/>
      <c r="C1" s="112"/>
    </row>
    <row r="2" spans="1:3" s="97" customFormat="1" ht="18" x14ac:dyDescent="0.25">
      <c r="A2" s="112" t="s">
        <v>64</v>
      </c>
      <c r="B2" s="112"/>
      <c r="C2" s="112"/>
    </row>
    <row r="3" spans="1:3" ht="13.5" thickBot="1" x14ac:dyDescent="0.25"/>
    <row r="4" spans="1:3" ht="17.25" thickBot="1" x14ac:dyDescent="0.3">
      <c r="A4" s="113" t="s">
        <v>53</v>
      </c>
      <c r="B4" s="114"/>
      <c r="C4" s="115"/>
    </row>
    <row r="5" spans="1:3" x14ac:dyDescent="0.2">
      <c r="A5" s="28" t="s">
        <v>28</v>
      </c>
      <c r="B5" s="59" t="s">
        <v>42</v>
      </c>
      <c r="C5" s="56" t="s">
        <v>43</v>
      </c>
    </row>
    <row r="6" spans="1:3" x14ac:dyDescent="0.2">
      <c r="A6" s="30" t="s">
        <v>29</v>
      </c>
      <c r="B6" s="60" t="s">
        <v>40</v>
      </c>
      <c r="C6" s="57" t="s">
        <v>44</v>
      </c>
    </row>
    <row r="7" spans="1:3" ht="13.5" thickBot="1" x14ac:dyDescent="0.25">
      <c r="A7" s="32"/>
      <c r="B7" s="61"/>
      <c r="C7" s="58" t="s">
        <v>52</v>
      </c>
    </row>
    <row r="8" spans="1:3" x14ac:dyDescent="0.2">
      <c r="A8" s="34" t="s">
        <v>30</v>
      </c>
      <c r="B8" s="49">
        <f>+'Quantity by Point'!$B$22+'Quantity by Point'!$E$22</f>
        <v>15168918</v>
      </c>
      <c r="C8" s="95">
        <v>2.75</v>
      </c>
    </row>
    <row r="9" spans="1:3" x14ac:dyDescent="0.2">
      <c r="A9" s="36" t="s">
        <v>45</v>
      </c>
      <c r="B9" s="50">
        <f>+'Quantity by Point'!$F$22</f>
        <v>16014274</v>
      </c>
      <c r="C9" s="96">
        <v>1.5</v>
      </c>
    </row>
    <row r="10" spans="1:3" x14ac:dyDescent="0.2">
      <c r="A10" s="36" t="s">
        <v>46</v>
      </c>
      <c r="B10" s="50">
        <f>+'Quantity by Point'!$C$22</f>
        <v>43830000</v>
      </c>
      <c r="C10" s="96">
        <v>4.5</v>
      </c>
    </row>
    <row r="11" spans="1:3" x14ac:dyDescent="0.2">
      <c r="A11" s="36" t="s">
        <v>47</v>
      </c>
      <c r="B11" s="50">
        <f>+'Quantity by Point'!$G$22</f>
        <v>32910000</v>
      </c>
      <c r="C11" s="96">
        <v>5.0149999999999997</v>
      </c>
    </row>
    <row r="12" spans="1:3" x14ac:dyDescent="0.2">
      <c r="A12" s="36" t="s">
        <v>48</v>
      </c>
      <c r="B12" s="50">
        <f>+'Quantity by Point'!$H$22</f>
        <v>25396000</v>
      </c>
      <c r="C12" s="96">
        <v>2.5390000000000001</v>
      </c>
    </row>
    <row r="13" spans="1:3" x14ac:dyDescent="0.2">
      <c r="A13" s="36" t="s">
        <v>49</v>
      </c>
      <c r="B13" s="50">
        <f>+'Quantity by Point'!$D$22</f>
        <v>21915000</v>
      </c>
      <c r="C13" s="96">
        <v>4.5</v>
      </c>
    </row>
    <row r="14" spans="1:3" ht="13.5" thickBot="1" x14ac:dyDescent="0.25">
      <c r="A14" s="36" t="s">
        <v>50</v>
      </c>
      <c r="B14" s="62"/>
      <c r="C14" s="96">
        <v>2.5</v>
      </c>
    </row>
    <row r="15" spans="1:3" ht="13.5" thickBot="1" x14ac:dyDescent="0.25">
      <c r="A15" s="52" t="s">
        <v>51</v>
      </c>
      <c r="B15" s="54">
        <f>SUM(B8:B14)</f>
        <v>155234192</v>
      </c>
      <c r="C15" s="68">
        <f>SUMPRODUCT(B8:B13,C8:C13)/B15</f>
        <v>3.8078758415542886</v>
      </c>
    </row>
    <row r="16" spans="1:3" x14ac:dyDescent="0.2">
      <c r="A16" s="116" t="s">
        <v>55</v>
      </c>
      <c r="B16" s="117"/>
      <c r="C16" s="69">
        <v>0.85</v>
      </c>
    </row>
    <row r="17" spans="1:3" ht="13.5" thickBot="1" x14ac:dyDescent="0.25">
      <c r="A17" s="110" t="s">
        <v>51</v>
      </c>
      <c r="B17" s="111"/>
      <c r="C17" s="98">
        <f>SUM(C15:C16)</f>
        <v>4.6578758415542882</v>
      </c>
    </row>
  </sheetData>
  <mergeCells count="5">
    <mergeCell ref="A17:B17"/>
    <mergeCell ref="A1:C1"/>
    <mergeCell ref="A2:C2"/>
    <mergeCell ref="A4:C4"/>
    <mergeCell ref="A16:B16"/>
  </mergeCells>
  <printOptions horizontalCentered="1" verticalCentered="1"/>
  <pageMargins left="0.5" right="0.5" top="0.5" bottom="0.5" header="0.5" footer="0.5"/>
  <pageSetup scale="280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3"/>
  <sheetViews>
    <sheetView tabSelected="1" workbookViewId="0">
      <selection activeCell="I23" sqref="I23"/>
    </sheetView>
  </sheetViews>
  <sheetFormatPr defaultRowHeight="12.75" x14ac:dyDescent="0.2"/>
  <cols>
    <col min="1" max="1" width="9.140625" style="1"/>
    <col min="2" max="3" width="11.140625" style="27" customWidth="1"/>
    <col min="4" max="4" width="11.28515625" style="27" customWidth="1"/>
    <col min="5" max="5" width="9.7109375" style="27" customWidth="1"/>
    <col min="6" max="6" width="11" style="27" customWidth="1"/>
    <col min="7" max="7" width="12" style="27" customWidth="1"/>
    <col min="8" max="8" width="10.7109375" style="27" bestFit="1" customWidth="1"/>
    <col min="9" max="9" width="12.85546875" style="27" customWidth="1"/>
    <col min="10" max="10" width="12.7109375" style="2" customWidth="1"/>
    <col min="11" max="16384" width="9.140625" style="1"/>
  </cols>
  <sheetData>
    <row r="5" spans="1:9" ht="13.5" thickBot="1" x14ac:dyDescent="0.25"/>
    <row r="6" spans="1:9" x14ac:dyDescent="0.2">
      <c r="A6" s="28" t="s">
        <v>37</v>
      </c>
      <c r="B6" s="40" t="s">
        <v>14</v>
      </c>
      <c r="C6" s="46" t="s">
        <v>17</v>
      </c>
      <c r="D6" s="46" t="s">
        <v>17</v>
      </c>
      <c r="E6" s="29" t="s">
        <v>16</v>
      </c>
      <c r="F6" s="46" t="s">
        <v>16</v>
      </c>
      <c r="G6" s="29" t="s">
        <v>38</v>
      </c>
      <c r="H6" s="46" t="s">
        <v>39</v>
      </c>
      <c r="I6" s="46" t="s">
        <v>41</v>
      </c>
    </row>
    <row r="7" spans="1:9" x14ac:dyDescent="0.2">
      <c r="A7" s="30"/>
      <c r="B7" s="41" t="s">
        <v>30</v>
      </c>
      <c r="C7" s="47" t="s">
        <v>46</v>
      </c>
      <c r="D7" s="47" t="s">
        <v>49</v>
      </c>
      <c r="E7" s="31" t="s">
        <v>30</v>
      </c>
      <c r="F7" s="47" t="s">
        <v>45</v>
      </c>
      <c r="G7" s="31" t="s">
        <v>47</v>
      </c>
      <c r="H7" s="47" t="s">
        <v>48</v>
      </c>
      <c r="I7" s="47"/>
    </row>
    <row r="8" spans="1:9" ht="13.5" thickBot="1" x14ac:dyDescent="0.25">
      <c r="A8" s="32"/>
      <c r="B8" s="42" t="s">
        <v>40</v>
      </c>
      <c r="C8" s="48" t="s">
        <v>40</v>
      </c>
      <c r="D8" s="48" t="s">
        <v>40</v>
      </c>
      <c r="E8" s="33" t="s">
        <v>40</v>
      </c>
      <c r="F8" s="48"/>
      <c r="G8" s="33" t="s">
        <v>40</v>
      </c>
      <c r="H8" s="48" t="s">
        <v>40</v>
      </c>
      <c r="I8" s="48"/>
    </row>
    <row r="9" spans="1:9" x14ac:dyDescent="0.2">
      <c r="A9" s="34">
        <v>1999</v>
      </c>
      <c r="B9" s="43">
        <f>+(365-31-28-61)*3000</f>
        <v>735000</v>
      </c>
      <c r="C9" s="49">
        <f>+(365-31-28-61)*10000</f>
        <v>2450000</v>
      </c>
      <c r="D9" s="49">
        <f>+(365-31-28-61)*5000</f>
        <v>1225000</v>
      </c>
      <c r="E9" s="35">
        <f>+(365-31-28-61-61)*3990+61*(4178-3990)</f>
        <v>745628</v>
      </c>
      <c r="F9" s="49">
        <v>0</v>
      </c>
      <c r="G9" s="35">
        <f>+(365-31-28-61-61)*10000</f>
        <v>1840000</v>
      </c>
      <c r="H9" s="49">
        <f>4000*61</f>
        <v>244000</v>
      </c>
      <c r="I9" s="49">
        <f>SUM(B9:H9)</f>
        <v>7239628</v>
      </c>
    </row>
    <row r="10" spans="1:9" x14ac:dyDescent="0.2">
      <c r="A10" s="36">
        <v>2000</v>
      </c>
      <c r="B10" s="44">
        <f>3000*366</f>
        <v>1098000</v>
      </c>
      <c r="C10" s="50">
        <f>10000*366</f>
        <v>3660000</v>
      </c>
      <c r="D10" s="50">
        <f>5000*366</f>
        <v>1830000</v>
      </c>
      <c r="E10" s="37">
        <f>4178*(366-61)</f>
        <v>1274290</v>
      </c>
      <c r="F10" s="50">
        <f>4178*61</f>
        <v>254858</v>
      </c>
      <c r="G10" s="37">
        <f>10000*(366-91)</f>
        <v>2750000</v>
      </c>
      <c r="H10" s="50">
        <f>4000*(31+29+31+61)+1500*(214)</f>
        <v>929000</v>
      </c>
      <c r="I10" s="50">
        <f t="shared" ref="I10:I21" si="0">SUM(B10:H10)</f>
        <v>11796148</v>
      </c>
    </row>
    <row r="11" spans="1:9" x14ac:dyDescent="0.2">
      <c r="A11" s="36">
        <v>2001</v>
      </c>
      <c r="B11" s="44">
        <f>3000*365</f>
        <v>1095000</v>
      </c>
      <c r="C11" s="50">
        <f>10000*365</f>
        <v>3650000</v>
      </c>
      <c r="D11" s="50">
        <f>5000*365</f>
        <v>1825000</v>
      </c>
      <c r="E11" s="37">
        <v>0</v>
      </c>
      <c r="F11" s="50">
        <f>4178*365</f>
        <v>1524970</v>
      </c>
      <c r="G11" s="37">
        <f>10000*(365-91)</f>
        <v>2740000</v>
      </c>
      <c r="H11" s="50">
        <f>4000*(31+28+31)+1500*(214)+7000*61</f>
        <v>1108000</v>
      </c>
      <c r="I11" s="50">
        <f t="shared" si="0"/>
        <v>11942970</v>
      </c>
    </row>
    <row r="12" spans="1:9" x14ac:dyDescent="0.2">
      <c r="A12" s="36">
        <v>2002</v>
      </c>
      <c r="B12" s="44">
        <f>3000*365</f>
        <v>1095000</v>
      </c>
      <c r="C12" s="50">
        <f>10000*365</f>
        <v>3650000</v>
      </c>
      <c r="D12" s="50">
        <f>5000*365</f>
        <v>1825000</v>
      </c>
      <c r="E12" s="37">
        <v>0</v>
      </c>
      <c r="F12" s="50">
        <f>4178*365</f>
        <v>1524970</v>
      </c>
      <c r="G12" s="37">
        <f>10000*(365-91)</f>
        <v>2740000</v>
      </c>
      <c r="H12" s="50">
        <f>7000*(31+28+31+61)+2500*(214)</f>
        <v>1592000</v>
      </c>
      <c r="I12" s="50">
        <f t="shared" si="0"/>
        <v>12426970</v>
      </c>
    </row>
    <row r="13" spans="1:9" x14ac:dyDescent="0.2">
      <c r="A13" s="36">
        <v>2003</v>
      </c>
      <c r="B13" s="44">
        <f>3000*365</f>
        <v>1095000</v>
      </c>
      <c r="C13" s="50">
        <f>10000*365</f>
        <v>3650000</v>
      </c>
      <c r="D13" s="50">
        <f>5000*365</f>
        <v>1825000</v>
      </c>
      <c r="E13" s="37">
        <v>0</v>
      </c>
      <c r="F13" s="50">
        <f>4178*365</f>
        <v>1524970</v>
      </c>
      <c r="G13" s="37">
        <f>10000*(365-91)</f>
        <v>2740000</v>
      </c>
      <c r="H13" s="50">
        <f>7000*(31+28+31+61)+2500*(214)</f>
        <v>1592000</v>
      </c>
      <c r="I13" s="50">
        <f t="shared" si="0"/>
        <v>12426970</v>
      </c>
    </row>
    <row r="14" spans="1:9" x14ac:dyDescent="0.2">
      <c r="A14" s="36">
        <v>2004</v>
      </c>
      <c r="B14" s="44">
        <f>3000*366</f>
        <v>1098000</v>
      </c>
      <c r="C14" s="50">
        <f>10000*366</f>
        <v>3660000</v>
      </c>
      <c r="D14" s="50">
        <f>5000*366</f>
        <v>1830000</v>
      </c>
      <c r="E14" s="37">
        <v>0</v>
      </c>
      <c r="F14" s="50">
        <f>4178*366</f>
        <v>1529148</v>
      </c>
      <c r="G14" s="37">
        <f>10000*(366-91)</f>
        <v>2750000</v>
      </c>
      <c r="H14" s="50">
        <f>7000*(31+29+31)+2500*(214)+9000*61</f>
        <v>1721000</v>
      </c>
      <c r="I14" s="50">
        <f t="shared" si="0"/>
        <v>12588148</v>
      </c>
    </row>
    <row r="15" spans="1:9" x14ac:dyDescent="0.2">
      <c r="A15" s="36">
        <v>2005</v>
      </c>
      <c r="B15" s="44">
        <f>3000*365</f>
        <v>1095000</v>
      </c>
      <c r="C15" s="50">
        <f>10000*365</f>
        <v>3650000</v>
      </c>
      <c r="D15" s="50">
        <f>5000*365</f>
        <v>1825000</v>
      </c>
      <c r="E15" s="37">
        <v>0</v>
      </c>
      <c r="F15" s="50">
        <f>4178*365</f>
        <v>1524970</v>
      </c>
      <c r="G15" s="37">
        <f>10000*(365-91)</f>
        <v>2740000</v>
      </c>
      <c r="H15" s="50">
        <f>9000*(31+28+31+61)+3500*(214)</f>
        <v>2108000</v>
      </c>
      <c r="I15" s="50">
        <f t="shared" si="0"/>
        <v>12942970</v>
      </c>
    </row>
    <row r="16" spans="1:9" x14ac:dyDescent="0.2">
      <c r="A16" s="36">
        <v>2006</v>
      </c>
      <c r="B16" s="44">
        <f>3000*365</f>
        <v>1095000</v>
      </c>
      <c r="C16" s="50">
        <f>10000*365</f>
        <v>3650000</v>
      </c>
      <c r="D16" s="50">
        <f>5000*365</f>
        <v>1825000</v>
      </c>
      <c r="E16" s="37">
        <v>0</v>
      </c>
      <c r="F16" s="50">
        <f>4178*365</f>
        <v>1524970</v>
      </c>
      <c r="G16" s="37">
        <f>10000*(365-91)</f>
        <v>2740000</v>
      </c>
      <c r="H16" s="50">
        <f>9000*(31+28+31+61)+3500*(214)</f>
        <v>2108000</v>
      </c>
      <c r="I16" s="50">
        <f t="shared" si="0"/>
        <v>12942970</v>
      </c>
    </row>
    <row r="17" spans="1:9" x14ac:dyDescent="0.2">
      <c r="A17" s="36">
        <v>2007</v>
      </c>
      <c r="B17" s="44">
        <f>3000*365</f>
        <v>1095000</v>
      </c>
      <c r="C17" s="50">
        <f>10000*365</f>
        <v>3650000</v>
      </c>
      <c r="D17" s="50">
        <f>5000*365</f>
        <v>1825000</v>
      </c>
      <c r="E17" s="37">
        <v>0</v>
      </c>
      <c r="F17" s="50">
        <f>4178*365</f>
        <v>1524970</v>
      </c>
      <c r="G17" s="37">
        <f>10000*(365-91)</f>
        <v>2740000</v>
      </c>
      <c r="H17" s="50">
        <f>9000*(31+28+31)+3500*(214)+15000*61</f>
        <v>2474000</v>
      </c>
      <c r="I17" s="50">
        <f t="shared" si="0"/>
        <v>13308970</v>
      </c>
    </row>
    <row r="18" spans="1:9" x14ac:dyDescent="0.2">
      <c r="A18" s="36">
        <v>2008</v>
      </c>
      <c r="B18" s="44">
        <f>3000*366</f>
        <v>1098000</v>
      </c>
      <c r="C18" s="50">
        <f>10000*366</f>
        <v>3660000</v>
      </c>
      <c r="D18" s="50">
        <f>5000*366</f>
        <v>1830000</v>
      </c>
      <c r="E18" s="37">
        <v>0</v>
      </c>
      <c r="F18" s="50">
        <f>4178*366</f>
        <v>1529148</v>
      </c>
      <c r="G18" s="37">
        <f>10000*(366-91)</f>
        <v>2750000</v>
      </c>
      <c r="H18" s="50">
        <f>15000*(31+29+31+61)+5000*(214)</f>
        <v>3350000</v>
      </c>
      <c r="I18" s="50">
        <f t="shared" si="0"/>
        <v>14217148</v>
      </c>
    </row>
    <row r="19" spans="1:9" x14ac:dyDescent="0.2">
      <c r="A19" s="36">
        <v>2009</v>
      </c>
      <c r="B19" s="44">
        <f>3000*365</f>
        <v>1095000</v>
      </c>
      <c r="C19" s="50">
        <f>10000*365</f>
        <v>3650000</v>
      </c>
      <c r="D19" s="50">
        <f>5000*365</f>
        <v>1825000</v>
      </c>
      <c r="E19" s="37">
        <v>0</v>
      </c>
      <c r="F19" s="50">
        <f>4178*365</f>
        <v>1524970</v>
      </c>
      <c r="G19" s="37">
        <f>10000*(365-91)</f>
        <v>2740000</v>
      </c>
      <c r="H19" s="50">
        <f>15000*(31+28+31+61)+5000*(214)</f>
        <v>3335000</v>
      </c>
      <c r="I19" s="50">
        <f t="shared" si="0"/>
        <v>14169970</v>
      </c>
    </row>
    <row r="20" spans="1:9" x14ac:dyDescent="0.2">
      <c r="A20" s="36">
        <v>2010</v>
      </c>
      <c r="B20" s="44">
        <f>3000*365</f>
        <v>1095000</v>
      </c>
      <c r="C20" s="50">
        <f>10000*365</f>
        <v>3650000</v>
      </c>
      <c r="D20" s="50">
        <f>5000*365</f>
        <v>1825000</v>
      </c>
      <c r="E20" s="37">
        <v>0</v>
      </c>
      <c r="F20" s="50">
        <f>4178*365</f>
        <v>1524970</v>
      </c>
      <c r="G20" s="37">
        <f>10000*(365-91)</f>
        <v>2740000</v>
      </c>
      <c r="H20" s="50">
        <f>15000*(31+28+31+61)+5000*(214)</f>
        <v>3335000</v>
      </c>
      <c r="I20" s="50">
        <f t="shared" si="0"/>
        <v>14169970</v>
      </c>
    </row>
    <row r="21" spans="1:9" ht="13.5" thickBot="1" x14ac:dyDescent="0.25">
      <c r="A21" s="38">
        <v>2011</v>
      </c>
      <c r="B21" s="45">
        <f>3000*(31+28+61)</f>
        <v>360000</v>
      </c>
      <c r="C21" s="51">
        <f>10000*(31+28+61)</f>
        <v>1200000</v>
      </c>
      <c r="D21" s="51">
        <f>5000*(31+28+61)</f>
        <v>600000</v>
      </c>
      <c r="E21" s="39">
        <v>0</v>
      </c>
      <c r="F21" s="51">
        <f>4178*(31+28+61)</f>
        <v>501360</v>
      </c>
      <c r="G21" s="39">
        <f>10000*(62+28)</f>
        <v>900000</v>
      </c>
      <c r="H21" s="51">
        <f>15000*(31+28+31)+5000*(30)</f>
        <v>1500000</v>
      </c>
      <c r="I21" s="51">
        <f t="shared" si="0"/>
        <v>5061360</v>
      </c>
    </row>
    <row r="22" spans="1:9" ht="13.5" thickBot="1" x14ac:dyDescent="0.25">
      <c r="A22" s="55" t="s">
        <v>51</v>
      </c>
      <c r="B22" s="53">
        <f t="shared" ref="B22:I22" si="1">SUM(B9:B21)</f>
        <v>13149000</v>
      </c>
      <c r="C22" s="54">
        <f t="shared" si="1"/>
        <v>43830000</v>
      </c>
      <c r="D22" s="54">
        <f t="shared" si="1"/>
        <v>21915000</v>
      </c>
      <c r="E22" s="53">
        <f t="shared" si="1"/>
        <v>2019918</v>
      </c>
      <c r="F22" s="54">
        <f t="shared" si="1"/>
        <v>16014274</v>
      </c>
      <c r="G22" s="53">
        <f t="shared" si="1"/>
        <v>32910000</v>
      </c>
      <c r="H22" s="54">
        <f t="shared" si="1"/>
        <v>25396000</v>
      </c>
      <c r="I22" s="51">
        <f t="shared" si="1"/>
        <v>155234192</v>
      </c>
    </row>
    <row r="23" spans="1:9" x14ac:dyDescent="0.2">
      <c r="I23" s="27">
        <f>155234192/(12*365+3)</f>
        <v>35417.337896417979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Quantity &amp; Delivery Pt Summary</vt:lpstr>
      <vt:lpstr>NNG</vt:lpstr>
      <vt:lpstr>Physical Premium</vt:lpstr>
      <vt:lpstr>Quantity by Point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Laird Dyer</dc:creator>
  <cp:lastModifiedBy>Jan Havlíček</cp:lastModifiedBy>
  <cp:lastPrinted>1999-04-07T15:56:55Z</cp:lastPrinted>
  <dcterms:created xsi:type="dcterms:W3CDTF">1998-09-25T21:00:43Z</dcterms:created>
  <dcterms:modified xsi:type="dcterms:W3CDTF">2023-09-17T13:50:48Z</dcterms:modified>
</cp:coreProperties>
</file>