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7B3DA34-49B0-40BE-89FF-BD50DA51928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A14" i="1"/>
  <c r="E14" i="1"/>
  <c r="F14" i="1"/>
  <c r="G14" i="1"/>
  <c r="K14" i="1"/>
  <c r="L14" i="1"/>
  <c r="M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E14" i="1"/>
  <c r="AF14" i="1"/>
  <c r="AH14" i="1"/>
  <c r="AJ14" i="1"/>
  <c r="A15" i="1"/>
  <c r="E15" i="1"/>
  <c r="F15" i="1"/>
  <c r="G15" i="1"/>
  <c r="I15" i="1"/>
  <c r="J15" i="1"/>
  <c r="K15" i="1"/>
  <c r="L15" i="1"/>
  <c r="M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E15" i="1"/>
  <c r="AF15" i="1"/>
  <c r="AH15" i="1"/>
  <c r="AJ15" i="1"/>
  <c r="A16" i="1"/>
  <c r="E16" i="1"/>
  <c r="F16" i="1"/>
  <c r="G16" i="1"/>
  <c r="I16" i="1"/>
  <c r="J16" i="1"/>
  <c r="K16" i="1"/>
  <c r="L16" i="1"/>
  <c r="M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E16" i="1"/>
  <c r="AF16" i="1"/>
  <c r="AH16" i="1"/>
  <c r="AJ16" i="1"/>
  <c r="A17" i="1"/>
  <c r="E17" i="1"/>
  <c r="F17" i="1"/>
  <c r="G17" i="1"/>
  <c r="I17" i="1"/>
  <c r="J17" i="1"/>
  <c r="K17" i="1"/>
  <c r="L17" i="1"/>
  <c r="M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E17" i="1"/>
  <c r="AF17" i="1"/>
  <c r="AH17" i="1"/>
  <c r="AJ17" i="1"/>
  <c r="A18" i="1"/>
  <c r="E18" i="1"/>
  <c r="F18" i="1"/>
  <c r="G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E18" i="1"/>
  <c r="AF18" i="1"/>
  <c r="AH18" i="1"/>
  <c r="AJ18" i="1"/>
  <c r="A19" i="1"/>
  <c r="E19" i="1"/>
  <c r="F19" i="1"/>
  <c r="G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E19" i="1"/>
  <c r="AF19" i="1"/>
  <c r="AH19" i="1"/>
  <c r="AJ19" i="1"/>
  <c r="A20" i="1"/>
  <c r="E20" i="1"/>
  <c r="F20" i="1"/>
  <c r="G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E20" i="1"/>
  <c r="AF20" i="1"/>
  <c r="AH20" i="1"/>
  <c r="AJ20" i="1"/>
  <c r="A21" i="1"/>
  <c r="E21" i="1"/>
  <c r="F21" i="1"/>
  <c r="G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E21" i="1"/>
  <c r="AF21" i="1"/>
  <c r="AH21" i="1"/>
  <c r="AJ21" i="1"/>
  <c r="A22" i="1"/>
  <c r="E22" i="1"/>
  <c r="F22" i="1"/>
  <c r="G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E22" i="1"/>
  <c r="AF22" i="1"/>
  <c r="AH22" i="1"/>
  <c r="AJ22" i="1"/>
  <c r="A23" i="1"/>
  <c r="E23" i="1"/>
  <c r="F23" i="1"/>
  <c r="G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E23" i="1"/>
  <c r="AF23" i="1"/>
  <c r="AH23" i="1"/>
  <c r="AJ23" i="1"/>
  <c r="A24" i="1"/>
  <c r="E24" i="1"/>
  <c r="F24" i="1"/>
  <c r="G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E24" i="1"/>
  <c r="AF24" i="1"/>
  <c r="AH24" i="1"/>
  <c r="AJ24" i="1"/>
  <c r="A25" i="1"/>
  <c r="E25" i="1"/>
  <c r="F25" i="1"/>
  <c r="G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E25" i="1"/>
  <c r="AF25" i="1"/>
  <c r="AH25" i="1"/>
  <c r="AJ25" i="1"/>
  <c r="A26" i="1"/>
  <c r="E26" i="1"/>
  <c r="F26" i="1"/>
  <c r="G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E26" i="1"/>
  <c r="AF26" i="1"/>
  <c r="AH26" i="1"/>
  <c r="AJ26" i="1"/>
  <c r="A27" i="1"/>
  <c r="E27" i="1"/>
  <c r="F27" i="1"/>
  <c r="G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E27" i="1"/>
  <c r="AF27" i="1"/>
  <c r="AH27" i="1"/>
  <c r="AJ27" i="1"/>
  <c r="A28" i="1"/>
  <c r="E28" i="1"/>
  <c r="F28" i="1"/>
  <c r="G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E28" i="1"/>
  <c r="AF28" i="1"/>
  <c r="AH28" i="1"/>
  <c r="AJ28" i="1"/>
  <c r="A29" i="1"/>
  <c r="E29" i="1"/>
  <c r="F29" i="1"/>
  <c r="G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E29" i="1"/>
  <c r="AF29" i="1"/>
  <c r="AH29" i="1"/>
  <c r="AJ29" i="1"/>
  <c r="A30" i="1"/>
  <c r="E30" i="1"/>
  <c r="F30" i="1"/>
  <c r="G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E30" i="1"/>
  <c r="AF30" i="1"/>
  <c r="AH30" i="1"/>
  <c r="AJ30" i="1"/>
  <c r="A31" i="1"/>
  <c r="E31" i="1"/>
  <c r="F31" i="1"/>
  <c r="G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E31" i="1"/>
  <c r="AF31" i="1"/>
  <c r="AH31" i="1"/>
  <c r="AJ31" i="1"/>
  <c r="A32" i="1"/>
  <c r="E32" i="1"/>
  <c r="F32" i="1"/>
  <c r="G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E32" i="1"/>
  <c r="AF32" i="1"/>
  <c r="AH32" i="1"/>
  <c r="AJ32" i="1"/>
  <c r="A33" i="1"/>
  <c r="E33" i="1"/>
  <c r="F33" i="1"/>
  <c r="G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E33" i="1"/>
  <c r="AF33" i="1"/>
  <c r="AH33" i="1"/>
  <c r="AJ33" i="1"/>
  <c r="A34" i="1"/>
  <c r="E34" i="1"/>
  <c r="F34" i="1"/>
  <c r="G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E34" i="1"/>
  <c r="AF34" i="1"/>
  <c r="AH34" i="1"/>
  <c r="AJ34" i="1"/>
  <c r="A35" i="1"/>
  <c r="E35" i="1"/>
  <c r="F35" i="1"/>
  <c r="G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E35" i="1"/>
  <c r="AF35" i="1"/>
  <c r="AH35" i="1"/>
  <c r="AJ35" i="1"/>
  <c r="A36" i="1"/>
  <c r="E36" i="1"/>
  <c r="F36" i="1"/>
  <c r="G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E36" i="1"/>
  <c r="AF36" i="1"/>
  <c r="AH36" i="1"/>
  <c r="AJ36" i="1"/>
  <c r="A37" i="1"/>
  <c r="E37" i="1"/>
  <c r="F37" i="1"/>
  <c r="G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E37" i="1"/>
  <c r="AF37" i="1"/>
  <c r="AH37" i="1"/>
  <c r="AJ37" i="1"/>
  <c r="A38" i="1"/>
  <c r="E38" i="1"/>
  <c r="F38" i="1"/>
  <c r="G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E38" i="1"/>
  <c r="AF38" i="1"/>
  <c r="AH38" i="1"/>
  <c r="AJ38" i="1"/>
  <c r="A39" i="1"/>
  <c r="E39" i="1"/>
  <c r="F39" i="1"/>
  <c r="G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E39" i="1"/>
  <c r="AF39" i="1"/>
  <c r="AH39" i="1"/>
  <c r="AJ39" i="1"/>
  <c r="A40" i="1"/>
  <c r="E40" i="1"/>
  <c r="F40" i="1"/>
  <c r="G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E40" i="1"/>
  <c r="AF40" i="1"/>
  <c r="AH40" i="1"/>
  <c r="AJ40" i="1"/>
  <c r="A41" i="1"/>
  <c r="E41" i="1"/>
  <c r="F41" i="1"/>
  <c r="G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E41" i="1"/>
  <c r="AF41" i="1"/>
  <c r="AH41" i="1"/>
  <c r="AJ41" i="1"/>
  <c r="A42" i="1"/>
  <c r="E42" i="1"/>
  <c r="F42" i="1"/>
  <c r="G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E42" i="1"/>
  <c r="AF42" i="1"/>
  <c r="AH42" i="1"/>
  <c r="AJ42" i="1"/>
  <c r="A43" i="1"/>
  <c r="E43" i="1"/>
  <c r="F43" i="1"/>
  <c r="G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E43" i="1"/>
  <c r="AF43" i="1"/>
  <c r="AH43" i="1"/>
  <c r="AJ43" i="1"/>
  <c r="E44" i="1"/>
  <c r="F44" i="1"/>
  <c r="G44" i="1"/>
  <c r="I44" i="1"/>
  <c r="K44" i="1"/>
  <c r="L44" i="1"/>
  <c r="P44" i="1"/>
  <c r="Q44" i="1"/>
  <c r="R44" i="1"/>
  <c r="S44" i="1"/>
  <c r="T44" i="1"/>
  <c r="U44" i="1"/>
  <c r="Z44" i="1"/>
  <c r="AA44" i="1"/>
  <c r="AB44" i="1"/>
  <c r="AF44" i="1"/>
  <c r="AH44" i="1"/>
  <c r="D45" i="1"/>
  <c r="E45" i="1"/>
  <c r="F45" i="1"/>
  <c r="G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E45" i="1"/>
  <c r="AF45" i="1"/>
  <c r="AH45" i="1"/>
</calcChain>
</file>

<file path=xl/sharedStrings.xml><?xml version="1.0" encoding="utf-8"?>
<sst xmlns="http://schemas.openxmlformats.org/spreadsheetml/2006/main" count="38" uniqueCount="36">
  <si>
    <t>Inputs:</t>
  </si>
  <si>
    <t>Redwood Capacity (Malin)</t>
  </si>
  <si>
    <t>Commodity Charge</t>
  </si>
  <si>
    <t>Gas Service Fee</t>
  </si>
  <si>
    <t>Fuel Charge</t>
  </si>
  <si>
    <t>Date</t>
  </si>
  <si>
    <t>Invoice Month</t>
  </si>
  <si>
    <t>Total Flow at City Gate (MMBtu)</t>
  </si>
  <si>
    <t>Total at Malin (CG+Fuel)</t>
  </si>
  <si>
    <t>3rd Party Contracted Baseload (Malin)</t>
  </si>
  <si>
    <t>3rd Party Contracted Baseload (City Gate)</t>
  </si>
  <si>
    <t>Fixed Price Gas From Enron (Malin)</t>
  </si>
  <si>
    <t>Fixed Price Gas From Enron (City Gate)</t>
  </si>
  <si>
    <t>Gas Flow to Malin</t>
  </si>
  <si>
    <t>Gas Flow to City Gate</t>
  </si>
  <si>
    <t>Actual Gas Flow to Malin</t>
  </si>
  <si>
    <t>Actual Gas Flow to City Gate</t>
  </si>
  <si>
    <t>Bidweek Gas at NGI Malin</t>
  </si>
  <si>
    <t>Total Flow less Baseload (Malin)</t>
  </si>
  <si>
    <t>Total Flow less Baseload and Fixed Price Gas (Malin)</t>
  </si>
  <si>
    <t>Total Flow to Less Fixed Price Gas (City Gate)</t>
  </si>
  <si>
    <t>Bidweek Gas at NGI Citygate</t>
  </si>
  <si>
    <t>Fixed Price Gas at Malin</t>
  </si>
  <si>
    <t>Total Cost of Gas</t>
  </si>
  <si>
    <t>Unused Redwood MMBtu</t>
  </si>
  <si>
    <t>Redwood Credit</t>
  </si>
  <si>
    <t>Total Charge to Palo Alto</t>
  </si>
  <si>
    <t xml:space="preserve">Displaced Malin Gas </t>
  </si>
  <si>
    <t xml:space="preserve">TOTAL:  </t>
  </si>
  <si>
    <t>*All cells in blue are inputs</t>
  </si>
  <si>
    <t>Contract Quantity (CQ)</t>
  </si>
  <si>
    <t>Total Fixed Price Gas at Citygate</t>
  </si>
  <si>
    <t>Fixed Price Gas at Citygate ($5.775)</t>
  </si>
  <si>
    <t>Fixed Price Gas at Citygate ($4.70)</t>
  </si>
  <si>
    <t>Fixed Price Gas at Citygate ($5.66)</t>
  </si>
  <si>
    <t>Fixed Price Gas at Citygate ($3.90)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</si>
</sst>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.000_);_(&quot;$&quot;* \(#,##0.000\);_(&quot;$&quot;* &quot;-&quot;??_);_(@_)"/>
    <numFmt numFmtId="166" formatCode="0.00_)"/>
    <numFmt numFmtId="168" formatCode="_(* #,##0_);_(* \(#,##0\);_(* &quot;-&quot;??_);_(@_)"/>
    <numFmt numFmtId="169" formatCode="_(&quot;$&quot;* #,##0_);_(&quot;$&quot;* \(#,##0\);_(&quot;$&quot;* &quot;-&quot;??_);_(@_)"/>
    <numFmt numFmtId="173" formatCode="_(* #,##0.000_);_(* \(#,##0.000\);_(* &quot;-&quot;??_);_(@_)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i/>
      <sz val="16"/>
      <name val="Helv"/>
    </font>
    <font>
      <b/>
      <sz val="11"/>
      <name val="Times New Roman"/>
      <family val="1"/>
    </font>
    <font>
      <sz val="10"/>
      <name val="Arial"/>
      <family val="2"/>
    </font>
    <font>
      <sz val="10"/>
      <color indexed="48"/>
      <name val="Arial"/>
      <family val="2"/>
    </font>
    <font>
      <b/>
      <sz val="10"/>
      <name val="Arial"/>
      <family val="2"/>
    </font>
    <font>
      <b/>
      <sz val="10"/>
      <color indexed="48"/>
      <name val="Arial"/>
      <family val="2"/>
    </font>
    <font>
      <b/>
      <sz val="10"/>
      <color indexed="9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6" fontId="3" fillId="0" borderId="0"/>
    <xf numFmtId="10" fontId="1" fillId="0" borderId="0" applyFont="0" applyFill="0" applyBorder="0" applyAlignment="0" applyProtection="0"/>
    <xf numFmtId="40" fontId="4" fillId="0" borderId="0"/>
  </cellStyleXfs>
  <cellXfs count="107">
    <xf numFmtId="0" fontId="0" fillId="0" borderId="0" xfId="0"/>
    <xf numFmtId="44" fontId="0" fillId="0" borderId="0" xfId="2" applyFont="1"/>
    <xf numFmtId="0" fontId="0" fillId="0" borderId="0" xfId="0" applyAlignment="1">
      <alignment horizontal="center"/>
    </xf>
    <xf numFmtId="168" fontId="0" fillId="0" borderId="0" xfId="1" applyNumberFormat="1" applyFont="1"/>
    <xf numFmtId="168" fontId="0" fillId="0" borderId="0" xfId="1" applyNumberFormat="1" applyFont="1" applyAlignment="1">
      <alignment horizontal="center"/>
    </xf>
    <xf numFmtId="0" fontId="0" fillId="0" borderId="0" xfId="0" applyBorder="1"/>
    <xf numFmtId="44" fontId="0" fillId="0" borderId="0" xfId="0" applyNumberFormat="1"/>
    <xf numFmtId="168" fontId="5" fillId="0" borderId="0" xfId="1" applyNumberFormat="1" applyFont="1" applyBorder="1"/>
    <xf numFmtId="10" fontId="6" fillId="0" borderId="0" xfId="0" applyNumberFormat="1" applyFont="1"/>
    <xf numFmtId="0" fontId="0" fillId="0" borderId="0" xfId="0" applyAlignment="1">
      <alignment horizontal="right"/>
    </xf>
    <xf numFmtId="168" fontId="0" fillId="0" borderId="0" xfId="1" applyNumberFormat="1" applyFont="1" applyBorder="1" applyAlignment="1">
      <alignment horizontal="center" wrapText="1"/>
    </xf>
    <xf numFmtId="0" fontId="0" fillId="0" borderId="2" xfId="0" applyBorder="1"/>
    <xf numFmtId="168" fontId="0" fillId="0" borderId="0" xfId="1" applyNumberFormat="1" applyFont="1" applyBorder="1"/>
    <xf numFmtId="44" fontId="0" fillId="0" borderId="2" xfId="0" applyNumberFormat="1" applyBorder="1"/>
    <xf numFmtId="44" fontId="0" fillId="0" borderId="3" xfId="0" applyNumberFormat="1" applyBorder="1"/>
    <xf numFmtId="44" fontId="0" fillId="0" borderId="2" xfId="2" applyFont="1" applyBorder="1"/>
    <xf numFmtId="44" fontId="0" fillId="0" borderId="3" xfId="2" applyFont="1" applyBorder="1"/>
    <xf numFmtId="0" fontId="0" fillId="0" borderId="4" xfId="0" applyBorder="1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/>
    </xf>
    <xf numFmtId="0" fontId="9" fillId="4" borderId="5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168" fontId="9" fillId="4" borderId="6" xfId="1" applyNumberFormat="1" applyFont="1" applyFill="1" applyBorder="1" applyAlignment="1">
      <alignment horizontal="center" vertical="center" wrapText="1"/>
    </xf>
    <xf numFmtId="168" fontId="9" fillId="0" borderId="0" xfId="1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44" fontId="9" fillId="4" borderId="6" xfId="2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7" fillId="0" borderId="0" xfId="0" applyFont="1"/>
    <xf numFmtId="3" fontId="7" fillId="0" borderId="0" xfId="0" applyNumberFormat="1" applyFont="1"/>
    <xf numFmtId="168" fontId="0" fillId="0" borderId="2" xfId="1" applyNumberFormat="1" applyFont="1" applyBorder="1"/>
    <xf numFmtId="168" fontId="0" fillId="0" borderId="3" xfId="1" applyNumberFormat="1" applyFont="1" applyBorder="1"/>
    <xf numFmtId="0" fontId="7" fillId="2" borderId="7" xfId="0" applyFont="1" applyFill="1" applyBorder="1"/>
    <xf numFmtId="0" fontId="7" fillId="2" borderId="8" xfId="0" applyFont="1" applyFill="1" applyBorder="1"/>
    <xf numFmtId="0" fontId="7" fillId="2" borderId="9" xfId="0" applyFont="1" applyFill="1" applyBorder="1"/>
    <xf numFmtId="0" fontId="7" fillId="2" borderId="10" xfId="0" applyFont="1" applyFill="1" applyBorder="1" applyAlignment="1">
      <alignment horizontal="left"/>
    </xf>
    <xf numFmtId="0" fontId="7" fillId="2" borderId="11" xfId="0" applyFont="1" applyFill="1" applyBorder="1"/>
    <xf numFmtId="17" fontId="8" fillId="2" borderId="2" xfId="0" applyNumberFormat="1" applyFont="1" applyFill="1" applyBorder="1"/>
    <xf numFmtId="3" fontId="7" fillId="2" borderId="2" xfId="0" applyNumberFormat="1" applyFont="1" applyFill="1" applyBorder="1"/>
    <xf numFmtId="3" fontId="8" fillId="2" borderId="2" xfId="0" applyNumberFormat="1" applyFont="1" applyFill="1" applyBorder="1"/>
    <xf numFmtId="165" fontId="8" fillId="2" borderId="2" xfId="2" applyNumberFormat="1" applyFont="1" applyFill="1" applyBorder="1"/>
    <xf numFmtId="0" fontId="7" fillId="2" borderId="12" xfId="0" applyFont="1" applyFill="1" applyBorder="1" applyAlignment="1">
      <alignment horizontal="left"/>
    </xf>
    <xf numFmtId="0" fontId="7" fillId="2" borderId="13" xfId="0" applyFont="1" applyFill="1" applyBorder="1"/>
    <xf numFmtId="10" fontId="8" fillId="2" borderId="3" xfId="0" applyNumberFormat="1" applyFont="1" applyFill="1" applyBorder="1"/>
    <xf numFmtId="44" fontId="0" fillId="5" borderId="4" xfId="0" applyNumberFormat="1" applyFill="1" applyBorder="1"/>
    <xf numFmtId="0" fontId="0" fillId="5" borderId="4" xfId="0" applyFill="1" applyBorder="1"/>
    <xf numFmtId="3" fontId="7" fillId="0" borderId="14" xfId="0" applyNumberFormat="1" applyFont="1" applyBorder="1"/>
    <xf numFmtId="3" fontId="7" fillId="0" borderId="6" xfId="0" applyNumberFormat="1" applyFont="1" applyBorder="1"/>
    <xf numFmtId="3" fontId="7" fillId="0" borderId="15" xfId="0" applyNumberFormat="1" applyFont="1" applyBorder="1"/>
    <xf numFmtId="0" fontId="10" fillId="0" borderId="0" xfId="0" applyFont="1" applyAlignment="1">
      <alignment horizontal="right"/>
    </xf>
    <xf numFmtId="3" fontId="7" fillId="0" borderId="15" xfId="0" applyNumberFormat="1" applyFont="1" applyBorder="1" applyAlignment="1">
      <alignment horizontal="center"/>
    </xf>
    <xf numFmtId="0" fontId="0" fillId="0" borderId="16" xfId="0" applyBorder="1"/>
    <xf numFmtId="0" fontId="9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wrapText="1"/>
    </xf>
    <xf numFmtId="168" fontId="0" fillId="0" borderId="18" xfId="1" applyNumberFormat="1" applyFont="1" applyBorder="1"/>
    <xf numFmtId="168" fontId="0" fillId="0" borderId="19" xfId="1" applyNumberFormat="1" applyFont="1" applyBorder="1"/>
    <xf numFmtId="168" fontId="0" fillId="0" borderId="18" xfId="0" applyNumberFormat="1" applyBorder="1"/>
    <xf numFmtId="168" fontId="0" fillId="0" borderId="19" xfId="0" applyNumberFormat="1" applyBorder="1"/>
    <xf numFmtId="168" fontId="9" fillId="4" borderId="17" xfId="1" applyNumberFormat="1" applyFont="1" applyFill="1" applyBorder="1" applyAlignment="1">
      <alignment horizontal="center" vertical="center" wrapText="1"/>
    </xf>
    <xf numFmtId="168" fontId="0" fillId="0" borderId="18" xfId="1" applyNumberFormat="1" applyFont="1" applyBorder="1" applyAlignment="1">
      <alignment horizontal="center" wrapText="1"/>
    </xf>
    <xf numFmtId="168" fontId="9" fillId="4" borderId="20" xfId="1" applyNumberFormat="1" applyFont="1" applyFill="1" applyBorder="1" applyAlignment="1">
      <alignment horizontal="center" vertical="center" wrapText="1"/>
    </xf>
    <xf numFmtId="168" fontId="0" fillId="0" borderId="16" xfId="1" applyNumberFormat="1" applyFont="1" applyBorder="1" applyAlignment="1">
      <alignment horizontal="center" wrapText="1"/>
    </xf>
    <xf numFmtId="168" fontId="6" fillId="0" borderId="16" xfId="1" applyNumberFormat="1" applyFont="1" applyBorder="1"/>
    <xf numFmtId="168" fontId="0" fillId="0" borderId="16" xfId="1" applyNumberFormat="1" applyFont="1" applyBorder="1"/>
    <xf numFmtId="168" fontId="0" fillId="0" borderId="21" xfId="1" applyNumberFormat="1" applyFont="1" applyBorder="1"/>
    <xf numFmtId="168" fontId="6" fillId="0" borderId="18" xfId="1" applyNumberFormat="1" applyFont="1" applyBorder="1"/>
    <xf numFmtId="168" fontId="0" fillId="0" borderId="18" xfId="0" applyNumberFormat="1" applyBorder="1" applyAlignment="1">
      <alignment horizontal="center"/>
    </xf>
    <xf numFmtId="168" fontId="0" fillId="0" borderId="19" xfId="0" applyNumberFormat="1" applyBorder="1" applyAlignment="1">
      <alignment horizontal="center"/>
    </xf>
    <xf numFmtId="44" fontId="0" fillId="0" borderId="18" xfId="2" applyFont="1" applyBorder="1"/>
    <xf numFmtId="44" fontId="0" fillId="0" borderId="19" xfId="2" applyFont="1" applyBorder="1"/>
    <xf numFmtId="44" fontId="0" fillId="0" borderId="18" xfId="2" applyNumberFormat="1" applyFont="1" applyBorder="1"/>
    <xf numFmtId="44" fontId="0" fillId="0" borderId="19" xfId="2" applyNumberFormat="1" applyFont="1" applyBorder="1"/>
    <xf numFmtId="44" fontId="9" fillId="4" borderId="17" xfId="2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center" vertical="center" wrapText="1"/>
    </xf>
    <xf numFmtId="168" fontId="0" fillId="0" borderId="16" xfId="0" applyNumberFormat="1" applyBorder="1"/>
    <xf numFmtId="168" fontId="0" fillId="0" borderId="21" xfId="0" applyNumberFormat="1" applyBorder="1"/>
    <xf numFmtId="168" fontId="7" fillId="0" borderId="15" xfId="1" applyNumberFormat="1" applyFont="1" applyBorder="1"/>
    <xf numFmtId="169" fontId="7" fillId="0" borderId="15" xfId="2" applyNumberFormat="1" applyFont="1" applyBorder="1"/>
    <xf numFmtId="44" fontId="7" fillId="0" borderId="15" xfId="2" applyNumberFormat="1" applyFont="1" applyBorder="1"/>
    <xf numFmtId="44" fontId="7" fillId="0" borderId="6" xfId="2" applyFont="1" applyBorder="1"/>
    <xf numFmtId="44" fontId="7" fillId="0" borderId="6" xfId="2" applyNumberFormat="1" applyFont="1" applyBorder="1"/>
    <xf numFmtId="44" fontId="0" fillId="5" borderId="4" xfId="2" applyFont="1" applyFill="1" applyBorder="1"/>
    <xf numFmtId="44" fontId="0" fillId="5" borderId="22" xfId="2" applyFont="1" applyFill="1" applyBorder="1"/>
    <xf numFmtId="44" fontId="7" fillId="5" borderId="5" xfId="2" applyFont="1" applyFill="1" applyBorder="1"/>
    <xf numFmtId="0" fontId="7" fillId="0" borderId="0" xfId="0" applyFont="1" applyFill="1" applyBorder="1" applyAlignment="1">
      <alignment horizontal="center"/>
    </xf>
    <xf numFmtId="168" fontId="0" fillId="0" borderId="23" xfId="1" applyNumberFormat="1" applyFont="1" applyBorder="1" applyAlignment="1">
      <alignment horizontal="center" wrapText="1"/>
    </xf>
    <xf numFmtId="0" fontId="0" fillId="0" borderId="11" xfId="0" applyBorder="1"/>
    <xf numFmtId="44" fontId="8" fillId="0" borderId="5" xfId="2" applyFont="1" applyBorder="1" applyAlignment="1">
      <alignment horizontal="center" wrapText="1"/>
    </xf>
    <xf numFmtId="44" fontId="8" fillId="0" borderId="5" xfId="2" applyFont="1" applyBorder="1" applyAlignment="1">
      <alignment horizontal="center"/>
    </xf>
    <xf numFmtId="15" fontId="7" fillId="0" borderId="4" xfId="0" applyNumberFormat="1" applyFont="1" applyBorder="1"/>
    <xf numFmtId="15" fontId="7" fillId="0" borderId="22" xfId="0" applyNumberFormat="1" applyFont="1" applyBorder="1"/>
    <xf numFmtId="3" fontId="7" fillId="0" borderId="0" xfId="0" applyNumberFormat="1" applyFont="1" applyBorder="1"/>
    <xf numFmtId="15" fontId="7" fillId="0" borderId="4" xfId="0" applyNumberFormat="1" applyFont="1" applyFill="1" applyBorder="1"/>
    <xf numFmtId="168" fontId="8" fillId="0" borderId="5" xfId="1" applyNumberFormat="1" applyFont="1" applyBorder="1" applyAlignment="1">
      <alignment horizontal="center"/>
    </xf>
    <xf numFmtId="44" fontId="9" fillId="4" borderId="24" xfId="2" applyFont="1" applyFill="1" applyBorder="1" applyAlignment="1">
      <alignment horizontal="center" vertical="center" wrapText="1"/>
    </xf>
    <xf numFmtId="168" fontId="9" fillId="4" borderId="25" xfId="1" applyNumberFormat="1" applyFont="1" applyFill="1" applyBorder="1" applyAlignment="1">
      <alignment horizontal="center" vertical="center" wrapText="1"/>
    </xf>
    <xf numFmtId="44" fontId="8" fillId="0" borderId="26" xfId="2" applyFont="1" applyBorder="1" applyAlignment="1">
      <alignment horizontal="center"/>
    </xf>
    <xf numFmtId="168" fontId="6" fillId="0" borderId="18" xfId="1" applyNumberFormat="1" applyFont="1" applyFill="1" applyBorder="1"/>
    <xf numFmtId="0" fontId="0" fillId="0" borderId="27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168" fontId="0" fillId="0" borderId="27" xfId="1" applyNumberFormat="1" applyFont="1" applyBorder="1" applyAlignment="1">
      <alignment horizontal="center" wrapText="1"/>
    </xf>
    <xf numFmtId="168" fontId="0" fillId="0" borderId="9" xfId="1" applyNumberFormat="1" applyFont="1" applyBorder="1" applyAlignment="1">
      <alignment horizontal="center" wrapText="1"/>
    </xf>
    <xf numFmtId="173" fontId="1" fillId="0" borderId="10" xfId="1" applyNumberFormat="1" applyBorder="1"/>
    <xf numFmtId="173" fontId="1" fillId="0" borderId="21" xfId="1" applyNumberFormat="1" applyBorder="1"/>
    <xf numFmtId="4" fontId="11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8" fillId="5" borderId="14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</cellXfs>
  <cellStyles count="8">
    <cellStyle name="Comma" xfId="1" builtinId="3"/>
    <cellStyle name="Currency" xfId="2" builtinId="4"/>
    <cellStyle name="Grey" xfId="3"/>
    <cellStyle name="Input [yellow]" xfId="4"/>
    <cellStyle name="Normal" xfId="0" builtinId="0"/>
    <cellStyle name="Normal - Style1" xfId="5"/>
    <cellStyle name="Percent [2]" xfId="6"/>
    <cellStyle name="Times New Roman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Q46"/>
  <sheetViews>
    <sheetView showGridLines="0" tabSelected="1" zoomScale="75" workbookViewId="0">
      <selection activeCell="J15" sqref="J15"/>
    </sheetView>
  </sheetViews>
  <sheetFormatPr defaultRowHeight="12.75" x14ac:dyDescent="0.2"/>
  <cols>
    <col min="1" max="1" width="10.85546875" customWidth="1"/>
    <col min="2" max="2" width="16" customWidth="1"/>
    <col min="3" max="3" width="12" bestFit="1" customWidth="1"/>
    <col min="4" max="4" width="10.42578125" customWidth="1"/>
    <col min="5" max="5" width="11.140625" customWidth="1"/>
    <col min="7" max="7" width="17.28515625" customWidth="1"/>
    <col min="10" max="10" width="10.85546875" customWidth="1"/>
    <col min="11" max="11" width="12.5703125" customWidth="1"/>
    <col min="12" max="12" width="11" customWidth="1"/>
    <col min="13" max="13" width="9.28515625" style="3" bestFit="1" customWidth="1"/>
    <col min="14" max="14" width="12.28515625" style="3" customWidth="1"/>
    <col min="15" max="15" width="12.7109375" style="3" customWidth="1"/>
    <col min="16" max="16" width="12.5703125" customWidth="1"/>
    <col min="17" max="17" width="13" customWidth="1"/>
    <col min="18" max="18" width="11.7109375" customWidth="1"/>
    <col min="19" max="19" width="12.140625" bestFit="1" customWidth="1"/>
    <col min="20" max="20" width="12.28515625" bestFit="1" customWidth="1"/>
    <col min="21" max="21" width="12" style="3" customWidth="1"/>
    <col min="22" max="22" width="13.140625" style="3" customWidth="1"/>
    <col min="23" max="23" width="12" bestFit="1" customWidth="1"/>
    <col min="24" max="24" width="14.7109375" customWidth="1"/>
    <col min="25" max="25" width="12.85546875" style="2" customWidth="1"/>
    <col min="26" max="26" width="15" style="3" bestFit="1" customWidth="1"/>
    <col min="27" max="27" width="14.28515625" style="3" bestFit="1" customWidth="1"/>
    <col min="28" max="28" width="12.140625" style="1" customWidth="1"/>
    <col min="29" max="29" width="15.5703125" style="1" bestFit="1" customWidth="1"/>
    <col min="30" max="30" width="14.85546875" style="1" customWidth="1"/>
    <col min="31" max="32" width="12" style="1" customWidth="1"/>
    <col min="33" max="33" width="13" style="1" customWidth="1"/>
    <col min="34" max="34" width="14.5703125" style="1" bestFit="1" customWidth="1"/>
    <col min="35" max="35" width="12.5703125" bestFit="1" customWidth="1"/>
    <col min="36" max="36" width="15" bestFit="1" customWidth="1"/>
    <col min="38" max="38" width="11.140625" customWidth="1"/>
    <col min="39" max="39" width="10.5703125" style="1" customWidth="1"/>
    <col min="41" max="41" width="14.5703125" bestFit="1" customWidth="1"/>
    <col min="43" max="43" width="12.85546875" bestFit="1" customWidth="1"/>
  </cols>
  <sheetData>
    <row r="1" spans="1:39" x14ac:dyDescent="0.2">
      <c r="A1" s="31" t="s">
        <v>0</v>
      </c>
      <c r="B1" s="32"/>
      <c r="C1" s="33"/>
    </row>
    <row r="2" spans="1:39" ht="13.5" thickBot="1" x14ac:dyDescent="0.25">
      <c r="A2" s="34" t="s">
        <v>6</v>
      </c>
      <c r="B2" s="35"/>
      <c r="C2" s="36">
        <v>37135</v>
      </c>
    </row>
    <row r="3" spans="1:39" ht="13.5" thickBot="1" x14ac:dyDescent="0.25">
      <c r="A3" s="34" t="s">
        <v>1</v>
      </c>
      <c r="B3" s="35"/>
      <c r="C3" s="37">
        <f>C4*(1+C7)</f>
        <v>6173.433</v>
      </c>
      <c r="F3" s="105" t="s">
        <v>29</v>
      </c>
      <c r="G3" s="106"/>
    </row>
    <row r="4" spans="1:39" x14ac:dyDescent="0.2">
      <c r="A4" s="34" t="s">
        <v>30</v>
      </c>
      <c r="B4" s="35"/>
      <c r="C4" s="38">
        <v>6090</v>
      </c>
    </row>
    <row r="5" spans="1:39" x14ac:dyDescent="0.2">
      <c r="A5" s="34" t="s">
        <v>2</v>
      </c>
      <c r="B5" s="35"/>
      <c r="C5" s="39">
        <v>4.3999999999999997E-2</v>
      </c>
      <c r="O5" s="12"/>
    </row>
    <row r="6" spans="1:39" x14ac:dyDescent="0.2">
      <c r="A6" s="34" t="s">
        <v>3</v>
      </c>
      <c r="B6" s="35"/>
      <c r="C6" s="39">
        <v>0.115</v>
      </c>
    </row>
    <row r="7" spans="1:39" ht="13.5" thickBot="1" x14ac:dyDescent="0.25">
      <c r="A7" s="40" t="s">
        <v>4</v>
      </c>
      <c r="B7" s="41"/>
      <c r="C7" s="42">
        <v>1.37E-2</v>
      </c>
    </row>
    <row r="8" spans="1:39" x14ac:dyDescent="0.2">
      <c r="A8" s="18"/>
      <c r="C8" s="8"/>
    </row>
    <row r="9" spans="1:39" x14ac:dyDescent="0.2">
      <c r="A9" s="18"/>
      <c r="C9" s="8"/>
    </row>
    <row r="11" spans="1:39" ht="13.5" thickBot="1" x14ac:dyDescent="0.25"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19"/>
      <c r="Z11" s="4"/>
      <c r="AA11" s="4"/>
    </row>
    <row r="12" spans="1:39" s="27" customFormat="1" ht="77.25" thickBot="1" x14ac:dyDescent="0.25">
      <c r="A12" s="20" t="s">
        <v>5</v>
      </c>
      <c r="B12" s="21"/>
      <c r="C12" s="72"/>
      <c r="D12" s="51" t="s">
        <v>7</v>
      </c>
      <c r="E12" s="51" t="s">
        <v>8</v>
      </c>
      <c r="F12" s="57" t="s">
        <v>13</v>
      </c>
      <c r="G12" s="22" t="s">
        <v>14</v>
      </c>
      <c r="H12" s="23"/>
      <c r="I12" s="59" t="s">
        <v>11</v>
      </c>
      <c r="J12" s="57" t="s">
        <v>12</v>
      </c>
      <c r="K12" s="57" t="s">
        <v>27</v>
      </c>
      <c r="L12" s="57" t="s">
        <v>15</v>
      </c>
      <c r="M12" s="57" t="s">
        <v>16</v>
      </c>
      <c r="N12" s="57" t="s">
        <v>9</v>
      </c>
      <c r="O12" s="57" t="s">
        <v>10</v>
      </c>
      <c r="P12" s="51" t="s">
        <v>18</v>
      </c>
      <c r="Q12" s="57" t="s">
        <v>19</v>
      </c>
      <c r="R12" s="57" t="s">
        <v>20</v>
      </c>
      <c r="S12" s="57" t="s">
        <v>17</v>
      </c>
      <c r="T12" s="57" t="s">
        <v>21</v>
      </c>
      <c r="U12" s="71" t="s">
        <v>22</v>
      </c>
      <c r="V12" s="71" t="s">
        <v>32</v>
      </c>
      <c r="W12" s="71" t="s">
        <v>34</v>
      </c>
      <c r="X12" s="71" t="s">
        <v>33</v>
      </c>
      <c r="Y12" s="71" t="s">
        <v>33</v>
      </c>
      <c r="Z12" s="93" t="s">
        <v>35</v>
      </c>
      <c r="AA12" s="71" t="s">
        <v>31</v>
      </c>
      <c r="AB12" s="94" t="s">
        <v>3</v>
      </c>
      <c r="AC12" s="22" t="s">
        <v>23</v>
      </c>
      <c r="AD12" s="24"/>
      <c r="AE12" s="72" t="s">
        <v>24</v>
      </c>
      <c r="AF12" s="25" t="s">
        <v>25</v>
      </c>
      <c r="AG12" s="24"/>
      <c r="AH12" s="26" t="s">
        <v>26</v>
      </c>
    </row>
    <row r="13" spans="1:39" ht="13.5" thickBot="1" x14ac:dyDescent="0.25">
      <c r="A13" s="17"/>
      <c r="B13" s="5"/>
      <c r="C13" s="98"/>
      <c r="D13" s="97"/>
      <c r="E13" s="97"/>
      <c r="F13" s="99"/>
      <c r="G13" s="100"/>
      <c r="H13" s="10"/>
      <c r="I13" s="60"/>
      <c r="J13" s="58"/>
      <c r="K13" s="58"/>
      <c r="L13" s="58"/>
      <c r="M13" s="58"/>
      <c r="N13" s="58"/>
      <c r="O13" s="58"/>
      <c r="P13" s="52"/>
      <c r="Q13" s="58"/>
      <c r="R13" s="84"/>
      <c r="S13" s="86">
        <v>2.44</v>
      </c>
      <c r="T13" s="87">
        <v>2.71</v>
      </c>
      <c r="U13" s="87">
        <v>0</v>
      </c>
      <c r="V13" s="92">
        <v>95</v>
      </c>
      <c r="W13" s="92">
        <v>75</v>
      </c>
      <c r="X13" s="92">
        <v>525</v>
      </c>
      <c r="Y13" s="92">
        <v>275</v>
      </c>
      <c r="Z13" s="92">
        <v>60</v>
      </c>
      <c r="AA13" s="95"/>
      <c r="AB13" s="85"/>
      <c r="AC13" s="11"/>
      <c r="AD13"/>
      <c r="AE13" s="50"/>
      <c r="AF13" s="15"/>
      <c r="AG13"/>
      <c r="AH13" s="44"/>
      <c r="AM13"/>
    </row>
    <row r="14" spans="1:39" x14ac:dyDescent="0.2">
      <c r="A14" s="88">
        <f>C2</f>
        <v>37135</v>
      </c>
      <c r="B14" s="104"/>
      <c r="C14" s="101"/>
      <c r="D14" s="101">
        <v>5285.232</v>
      </c>
      <c r="E14" s="55">
        <f t="shared" ref="E14:E44" si="0">D14*(1+$C$7)</f>
        <v>5357.6396783999999</v>
      </c>
      <c r="F14" s="53">
        <f t="shared" ref="F14:F44" si="1">IF(E14&gt;$C$3,$C$3,E14)</f>
        <v>5357.6396783999999</v>
      </c>
      <c r="G14" s="29">
        <f>IF(F14=E14,0,((E14-F14)*(1-0.01372)))</f>
        <v>0</v>
      </c>
      <c r="H14" s="12"/>
      <c r="I14" s="61">
        <v>1135</v>
      </c>
      <c r="J14" s="64">
        <v>0</v>
      </c>
      <c r="K14" s="53">
        <f>IF(G14&gt;J14,0,G14-J14)</f>
        <v>0</v>
      </c>
      <c r="L14" s="55">
        <f t="shared" ref="L14:L44" si="2">F14+K14*(1+$C$7)</f>
        <v>5357.6396783999999</v>
      </c>
      <c r="M14" s="53">
        <f>IF(G14&gt;70,G14-70+70,70)</f>
        <v>70</v>
      </c>
      <c r="N14" s="64">
        <v>1500</v>
      </c>
      <c r="O14" s="96">
        <v>90</v>
      </c>
      <c r="P14" s="55">
        <f t="shared" ref="P14:P44" si="3">E14-(N14+O14)</f>
        <v>3767.6396783999999</v>
      </c>
      <c r="Q14" s="55">
        <f t="shared" ref="Q14:Q44" si="4">L14-N14-I14</f>
        <v>2722.6396783999999</v>
      </c>
      <c r="R14" s="65">
        <f t="shared" ref="R14:R44" si="5">M14-J14-O14</f>
        <v>-20</v>
      </c>
      <c r="S14" s="67">
        <f>Q14*$S$13</f>
        <v>6643.2408152959997</v>
      </c>
      <c r="T14" s="69">
        <f>$T$13*R14</f>
        <v>-54.2</v>
      </c>
      <c r="U14" s="67">
        <f>I14*$U$13</f>
        <v>0</v>
      </c>
      <c r="V14" s="67">
        <f>5.775*$V$13</f>
        <v>548.625</v>
      </c>
      <c r="W14" s="67">
        <f>5.66*$W$13</f>
        <v>424.5</v>
      </c>
      <c r="X14" s="67">
        <f>4.7*$X$13</f>
        <v>2467.5</v>
      </c>
      <c r="Y14" s="67">
        <f>4.7*$Y$13</f>
        <v>1292.5</v>
      </c>
      <c r="Z14" s="67">
        <f>4.7*$Z$13</f>
        <v>282</v>
      </c>
      <c r="AA14" s="67">
        <f>SUM(U14:Z14)</f>
        <v>5015.125</v>
      </c>
      <c r="AB14" s="67">
        <f t="shared" ref="AB14:AB44" si="6">D14*$C$6</f>
        <v>607.80168000000003</v>
      </c>
      <c r="AC14" s="13">
        <f>AB14+AA14+S14+T14+U14</f>
        <v>12211.967495295999</v>
      </c>
      <c r="AD14"/>
      <c r="AE14" s="73">
        <f t="shared" ref="AE14:AE43" si="7">$C$3-L14</f>
        <v>815.79332160000013</v>
      </c>
      <c r="AF14" s="15">
        <f t="shared" ref="AF14:AF44" si="8">AE14*$C$5</f>
        <v>35.894906150400004</v>
      </c>
      <c r="AG14"/>
      <c r="AH14" s="43">
        <f>AC14-AF14</f>
        <v>12176.072589145599</v>
      </c>
      <c r="AI14" s="103">
        <v>12133.695695512521</v>
      </c>
      <c r="AJ14" s="6">
        <f>AH14-AI14</f>
        <v>42.376893633077998</v>
      </c>
      <c r="AM14"/>
    </row>
    <row r="15" spans="1:39" x14ac:dyDescent="0.2">
      <c r="A15" s="88">
        <f>A14+1</f>
        <v>37136</v>
      </c>
      <c r="B15" s="104"/>
      <c r="C15" s="101"/>
      <c r="D15" s="101">
        <v>5134.8640000000005</v>
      </c>
      <c r="E15" s="55">
        <f t="shared" si="0"/>
        <v>5205.2116368000006</v>
      </c>
      <c r="F15" s="53">
        <f t="shared" si="1"/>
        <v>5205.2116368000006</v>
      </c>
      <c r="G15" s="29">
        <f t="shared" ref="G15:G43" si="9">IF(F15&gt;E15,0,((E15-F15)*(1-0.01372)))</f>
        <v>0</v>
      </c>
      <c r="H15" s="12"/>
      <c r="I15" s="62">
        <f>I14</f>
        <v>1135</v>
      </c>
      <c r="J15" s="53">
        <f>J14</f>
        <v>0</v>
      </c>
      <c r="K15" s="53">
        <f t="shared" ref="K15:K44" si="10">IF(G15&gt;J15,0,G15-J15)</f>
        <v>0</v>
      </c>
      <c r="L15" s="55">
        <f t="shared" si="2"/>
        <v>5205.2116368000006</v>
      </c>
      <c r="M15" s="53">
        <f t="shared" ref="M15:M43" si="11">IF(G15&gt;70,G15-70+70,70)</f>
        <v>70</v>
      </c>
      <c r="N15" s="64">
        <v>1500</v>
      </c>
      <c r="O15" s="96">
        <v>90</v>
      </c>
      <c r="P15" s="55">
        <f t="shared" si="3"/>
        <v>3615.2116368000006</v>
      </c>
      <c r="Q15" s="55">
        <f t="shared" si="4"/>
        <v>2570.2116368000006</v>
      </c>
      <c r="R15" s="65">
        <f t="shared" si="5"/>
        <v>-20</v>
      </c>
      <c r="S15" s="67">
        <f t="shared" ref="S15:S44" si="12">Q15*$S$13</f>
        <v>6271.3163937920017</v>
      </c>
      <c r="T15" s="69">
        <f t="shared" ref="T15:T44" si="13">$T$13*R15</f>
        <v>-54.2</v>
      </c>
      <c r="U15" s="67">
        <f t="shared" ref="U15:U44" si="14">I15*$U$13</f>
        <v>0</v>
      </c>
      <c r="V15" s="67">
        <f t="shared" ref="V15:V43" si="15">5.775*$V$13</f>
        <v>548.625</v>
      </c>
      <c r="W15" s="67">
        <f t="shared" ref="W15:W43" si="16">5.66*$W$13</f>
        <v>424.5</v>
      </c>
      <c r="X15" s="67">
        <f t="shared" ref="X15:X43" si="17">4.7*$X$13</f>
        <v>2467.5</v>
      </c>
      <c r="Y15" s="67">
        <f t="shared" ref="Y15:Y43" si="18">4.7*$Y$13</f>
        <v>1292.5</v>
      </c>
      <c r="Z15" s="67">
        <f t="shared" ref="Z15:Z44" si="19">4.7*$Z$13</f>
        <v>282</v>
      </c>
      <c r="AA15" s="67">
        <f t="shared" ref="AA15:AA44" si="20">SUM(U15:Z15)</f>
        <v>5015.125</v>
      </c>
      <c r="AB15" s="67">
        <f t="shared" si="6"/>
        <v>590.50936000000013</v>
      </c>
      <c r="AC15" s="13">
        <f t="shared" ref="AC15:AC43" si="21">AB15+AA15+S15+T15+U15</f>
        <v>11822.750753792001</v>
      </c>
      <c r="AD15"/>
      <c r="AE15" s="73">
        <f t="shared" si="7"/>
        <v>968.22136319999936</v>
      </c>
      <c r="AF15" s="15">
        <f t="shared" si="8"/>
        <v>42.601739980799969</v>
      </c>
      <c r="AG15"/>
      <c r="AH15" s="43">
        <f t="shared" ref="AH15:AH44" si="22">AC15-AF15</f>
        <v>11780.1490138112</v>
      </c>
      <c r="AI15" s="103">
        <v>11744.409134409412</v>
      </c>
      <c r="AJ15" s="6">
        <f t="shared" ref="AJ15:AJ43" si="23">AH15-AI15</f>
        <v>35.73987940178813</v>
      </c>
      <c r="AM15"/>
    </row>
    <row r="16" spans="1:39" x14ac:dyDescent="0.2">
      <c r="A16" s="88">
        <f>A15+1</f>
        <v>37137</v>
      </c>
      <c r="B16" s="104"/>
      <c r="C16" s="101"/>
      <c r="D16" s="101">
        <v>5469.1279999999997</v>
      </c>
      <c r="E16" s="55">
        <f t="shared" si="0"/>
        <v>5544.0550536000001</v>
      </c>
      <c r="F16" s="53">
        <f t="shared" si="1"/>
        <v>5544.0550536000001</v>
      </c>
      <c r="G16" s="29">
        <f t="shared" si="9"/>
        <v>0</v>
      </c>
      <c r="H16" s="12"/>
      <c r="I16" s="62">
        <f t="shared" ref="I16:I44" si="24">I15</f>
        <v>1135</v>
      </c>
      <c r="J16" s="53">
        <f t="shared" ref="J16:J43" si="25">J15</f>
        <v>0</v>
      </c>
      <c r="K16" s="53">
        <f t="shared" si="10"/>
        <v>0</v>
      </c>
      <c r="L16" s="55">
        <f t="shared" si="2"/>
        <v>5544.0550536000001</v>
      </c>
      <c r="M16" s="53">
        <f t="shared" si="11"/>
        <v>70</v>
      </c>
      <c r="N16" s="64">
        <v>1500</v>
      </c>
      <c r="O16" s="96">
        <v>90</v>
      </c>
      <c r="P16" s="55">
        <f t="shared" si="3"/>
        <v>3954.0550536000001</v>
      </c>
      <c r="Q16" s="55">
        <f t="shared" si="4"/>
        <v>2909.0550536000001</v>
      </c>
      <c r="R16" s="65">
        <f t="shared" si="5"/>
        <v>-20</v>
      </c>
      <c r="S16" s="67">
        <f t="shared" si="12"/>
        <v>7098.0943307839998</v>
      </c>
      <c r="T16" s="69">
        <f t="shared" si="13"/>
        <v>-54.2</v>
      </c>
      <c r="U16" s="67">
        <f t="shared" si="14"/>
        <v>0</v>
      </c>
      <c r="V16" s="67">
        <f t="shared" si="15"/>
        <v>548.625</v>
      </c>
      <c r="W16" s="67">
        <f t="shared" si="16"/>
        <v>424.5</v>
      </c>
      <c r="X16" s="67">
        <f t="shared" si="17"/>
        <v>2467.5</v>
      </c>
      <c r="Y16" s="67">
        <f t="shared" si="18"/>
        <v>1292.5</v>
      </c>
      <c r="Z16" s="67">
        <f t="shared" si="19"/>
        <v>282</v>
      </c>
      <c r="AA16" s="67">
        <f t="shared" si="20"/>
        <v>5015.125</v>
      </c>
      <c r="AB16" s="67">
        <f t="shared" si="6"/>
        <v>628.94971999999996</v>
      </c>
      <c r="AC16" s="13">
        <f t="shared" si="21"/>
        <v>12687.969050783999</v>
      </c>
      <c r="AD16"/>
      <c r="AE16" s="73">
        <f t="shared" si="7"/>
        <v>629.37794639999993</v>
      </c>
      <c r="AF16" s="15">
        <f t="shared" si="8"/>
        <v>27.692629641599996</v>
      </c>
      <c r="AG16"/>
      <c r="AH16" s="43">
        <f t="shared" si="22"/>
        <v>12660.276421142398</v>
      </c>
      <c r="AI16" s="103">
        <v>12609.782638483221</v>
      </c>
      <c r="AJ16" s="6">
        <f t="shared" si="23"/>
        <v>50.493782659177668</v>
      </c>
      <c r="AM16"/>
    </row>
    <row r="17" spans="1:39" x14ac:dyDescent="0.2">
      <c r="A17" s="88">
        <f t="shared" ref="A17:A40" si="26">A16+1</f>
        <v>37138</v>
      </c>
      <c r="B17" s="104"/>
      <c r="C17" s="101"/>
      <c r="D17" s="101">
        <v>5632.7039999999997</v>
      </c>
      <c r="E17" s="55">
        <f t="shared" si="0"/>
        <v>5709.8720448000004</v>
      </c>
      <c r="F17" s="53">
        <f t="shared" si="1"/>
        <v>5709.8720448000004</v>
      </c>
      <c r="G17" s="29">
        <f t="shared" si="9"/>
        <v>0</v>
      </c>
      <c r="H17" s="12"/>
      <c r="I17" s="62">
        <f t="shared" si="24"/>
        <v>1135</v>
      </c>
      <c r="J17" s="53">
        <f t="shared" si="25"/>
        <v>0</v>
      </c>
      <c r="K17" s="53">
        <f t="shared" si="10"/>
        <v>0</v>
      </c>
      <c r="L17" s="55">
        <f t="shared" si="2"/>
        <v>5709.8720448000004</v>
      </c>
      <c r="M17" s="53">
        <f t="shared" si="11"/>
        <v>70</v>
      </c>
      <c r="N17" s="64">
        <v>1500</v>
      </c>
      <c r="O17" s="53">
        <f t="shared" ref="O17:O43" si="27">O16</f>
        <v>90</v>
      </c>
      <c r="P17" s="55">
        <f t="shared" si="3"/>
        <v>4119.8720448000004</v>
      </c>
      <c r="Q17" s="55">
        <f t="shared" si="4"/>
        <v>3074.8720448000004</v>
      </c>
      <c r="R17" s="65">
        <f t="shared" si="5"/>
        <v>-20</v>
      </c>
      <c r="S17" s="67">
        <f t="shared" si="12"/>
        <v>7502.6877893120009</v>
      </c>
      <c r="T17" s="69">
        <f t="shared" si="13"/>
        <v>-54.2</v>
      </c>
      <c r="U17" s="67">
        <f t="shared" si="14"/>
        <v>0</v>
      </c>
      <c r="V17" s="67">
        <f t="shared" si="15"/>
        <v>548.625</v>
      </c>
      <c r="W17" s="67">
        <f t="shared" si="16"/>
        <v>424.5</v>
      </c>
      <c r="X17" s="67">
        <f t="shared" si="17"/>
        <v>2467.5</v>
      </c>
      <c r="Y17" s="67">
        <f t="shared" si="18"/>
        <v>1292.5</v>
      </c>
      <c r="Z17" s="67">
        <f t="shared" si="19"/>
        <v>282</v>
      </c>
      <c r="AA17" s="67">
        <f t="shared" si="20"/>
        <v>5015.125</v>
      </c>
      <c r="AB17" s="67">
        <f t="shared" si="6"/>
        <v>647.76095999999995</v>
      </c>
      <c r="AC17" s="13">
        <f t="shared" si="21"/>
        <v>13111.373749311999</v>
      </c>
      <c r="AD17"/>
      <c r="AE17" s="73">
        <f t="shared" si="7"/>
        <v>463.56095519999963</v>
      </c>
      <c r="AF17" s="15">
        <f t="shared" si="8"/>
        <v>20.396682028799983</v>
      </c>
      <c r="AG17"/>
      <c r="AH17" s="43">
        <f t="shared" si="22"/>
        <v>13090.977067283198</v>
      </c>
      <c r="AI17" s="103">
        <v>13033.263289412957</v>
      </c>
      <c r="AJ17" s="6">
        <f t="shared" si="23"/>
        <v>57.713777870241756</v>
      </c>
      <c r="AM17"/>
    </row>
    <row r="18" spans="1:39" x14ac:dyDescent="0.2">
      <c r="A18" s="88">
        <f t="shared" si="26"/>
        <v>37139</v>
      </c>
      <c r="B18" s="104"/>
      <c r="C18" s="101"/>
      <c r="D18" s="101">
        <v>5877.56</v>
      </c>
      <c r="E18" s="55">
        <f t="shared" si="0"/>
        <v>5958.0825720000003</v>
      </c>
      <c r="F18" s="53">
        <f t="shared" si="1"/>
        <v>5958.0825720000003</v>
      </c>
      <c r="G18" s="29">
        <f t="shared" si="9"/>
        <v>0</v>
      </c>
      <c r="H18" s="12"/>
      <c r="I18" s="62">
        <f t="shared" si="24"/>
        <v>1135</v>
      </c>
      <c r="J18" s="53">
        <f t="shared" si="25"/>
        <v>0</v>
      </c>
      <c r="K18" s="53">
        <f t="shared" si="10"/>
        <v>0</v>
      </c>
      <c r="L18" s="55">
        <f t="shared" si="2"/>
        <v>5958.0825720000003</v>
      </c>
      <c r="M18" s="53">
        <f t="shared" si="11"/>
        <v>70</v>
      </c>
      <c r="N18" s="53">
        <f>N17</f>
        <v>1500</v>
      </c>
      <c r="O18" s="53">
        <f t="shared" si="27"/>
        <v>90</v>
      </c>
      <c r="P18" s="55">
        <f t="shared" si="3"/>
        <v>4368.0825720000003</v>
      </c>
      <c r="Q18" s="55">
        <f t="shared" si="4"/>
        <v>3323.0825720000003</v>
      </c>
      <c r="R18" s="65">
        <f t="shared" si="5"/>
        <v>-20</v>
      </c>
      <c r="S18" s="67">
        <f t="shared" si="12"/>
        <v>8108.3214756800007</v>
      </c>
      <c r="T18" s="69">
        <f t="shared" si="13"/>
        <v>-54.2</v>
      </c>
      <c r="U18" s="67">
        <f t="shared" si="14"/>
        <v>0</v>
      </c>
      <c r="V18" s="67">
        <f t="shared" si="15"/>
        <v>548.625</v>
      </c>
      <c r="W18" s="67">
        <f t="shared" si="16"/>
        <v>424.5</v>
      </c>
      <c r="X18" s="67">
        <f t="shared" si="17"/>
        <v>2467.5</v>
      </c>
      <c r="Y18" s="67">
        <f t="shared" si="18"/>
        <v>1292.5</v>
      </c>
      <c r="Z18" s="67">
        <f t="shared" si="19"/>
        <v>282</v>
      </c>
      <c r="AA18" s="67">
        <f t="shared" si="20"/>
        <v>5015.125</v>
      </c>
      <c r="AB18" s="67">
        <f t="shared" si="6"/>
        <v>675.91940000000011</v>
      </c>
      <c r="AC18" s="13">
        <f t="shared" si="21"/>
        <v>13745.165875679999</v>
      </c>
      <c r="AD18"/>
      <c r="AE18" s="73">
        <f t="shared" si="7"/>
        <v>215.35042799999974</v>
      </c>
      <c r="AF18" s="15">
        <f t="shared" si="8"/>
        <v>9.4754188319999884</v>
      </c>
      <c r="AG18"/>
      <c r="AH18" s="43">
        <f t="shared" si="22"/>
        <v>13735.690456847999</v>
      </c>
      <c r="AI18" s="103">
        <v>13667.169108506543</v>
      </c>
      <c r="AJ18" s="6">
        <f t="shared" si="23"/>
        <v>68.52134834145545</v>
      </c>
      <c r="AM18"/>
    </row>
    <row r="19" spans="1:39" x14ac:dyDescent="0.2">
      <c r="A19" s="88">
        <f t="shared" si="26"/>
        <v>37140</v>
      </c>
      <c r="B19" s="104"/>
      <c r="C19" s="101"/>
      <c r="D19" s="101">
        <v>6086.8559999999998</v>
      </c>
      <c r="E19" s="55">
        <f t="shared" si="0"/>
        <v>6170.2459271999996</v>
      </c>
      <c r="F19" s="53">
        <f t="shared" si="1"/>
        <v>6170.2459271999996</v>
      </c>
      <c r="G19" s="29">
        <f t="shared" si="9"/>
        <v>0</v>
      </c>
      <c r="H19" s="12"/>
      <c r="I19" s="62">
        <f t="shared" si="24"/>
        <v>1135</v>
      </c>
      <c r="J19" s="53">
        <f t="shared" si="25"/>
        <v>0</v>
      </c>
      <c r="K19" s="53">
        <f t="shared" si="10"/>
        <v>0</v>
      </c>
      <c r="L19" s="55">
        <f t="shared" si="2"/>
        <v>6170.2459271999996</v>
      </c>
      <c r="M19" s="53">
        <f t="shared" si="11"/>
        <v>70</v>
      </c>
      <c r="N19" s="53">
        <f t="shared" ref="N19:N43" si="28">N18</f>
        <v>1500</v>
      </c>
      <c r="O19" s="53">
        <f t="shared" si="27"/>
        <v>90</v>
      </c>
      <c r="P19" s="55">
        <f t="shared" si="3"/>
        <v>4580.2459271999996</v>
      </c>
      <c r="Q19" s="55">
        <f t="shared" si="4"/>
        <v>3535.2459271999996</v>
      </c>
      <c r="R19" s="65">
        <f t="shared" si="5"/>
        <v>-20</v>
      </c>
      <c r="S19" s="67">
        <f t="shared" si="12"/>
        <v>8626.0000623679989</v>
      </c>
      <c r="T19" s="69">
        <f t="shared" si="13"/>
        <v>-54.2</v>
      </c>
      <c r="U19" s="67">
        <f t="shared" si="14"/>
        <v>0</v>
      </c>
      <c r="V19" s="67">
        <f t="shared" si="15"/>
        <v>548.625</v>
      </c>
      <c r="W19" s="67">
        <f t="shared" si="16"/>
        <v>424.5</v>
      </c>
      <c r="X19" s="67">
        <f t="shared" si="17"/>
        <v>2467.5</v>
      </c>
      <c r="Y19" s="67">
        <f t="shared" si="18"/>
        <v>1292.5</v>
      </c>
      <c r="Z19" s="67">
        <f t="shared" si="19"/>
        <v>282</v>
      </c>
      <c r="AA19" s="67">
        <f t="shared" si="20"/>
        <v>5015.125</v>
      </c>
      <c r="AB19" s="67">
        <f t="shared" si="6"/>
        <v>699.98843999999997</v>
      </c>
      <c r="AC19" s="13">
        <f t="shared" si="21"/>
        <v>14286.913502367999</v>
      </c>
      <c r="AD19"/>
      <c r="AE19" s="73">
        <f t="shared" si="7"/>
        <v>3.187072800000351</v>
      </c>
      <c r="AF19" s="15">
        <f t="shared" si="8"/>
        <v>0.14023120320001545</v>
      </c>
      <c r="AG19"/>
      <c r="AH19" s="43">
        <f t="shared" si="22"/>
        <v>14286.773271164799</v>
      </c>
      <c r="AI19" s="103">
        <v>14209.013916528438</v>
      </c>
      <c r="AJ19" s="6">
        <f t="shared" si="23"/>
        <v>77.759354636360513</v>
      </c>
      <c r="AM19"/>
    </row>
    <row r="20" spans="1:39" x14ac:dyDescent="0.2">
      <c r="A20" s="88">
        <f t="shared" si="26"/>
        <v>37141</v>
      </c>
      <c r="B20" s="104"/>
      <c r="C20" s="101"/>
      <c r="D20" s="101">
        <v>5945.6320000000005</v>
      </c>
      <c r="E20" s="55">
        <f t="shared" si="0"/>
        <v>6027.0871584000006</v>
      </c>
      <c r="F20" s="53">
        <f t="shared" si="1"/>
        <v>6027.0871584000006</v>
      </c>
      <c r="G20" s="29">
        <f t="shared" si="9"/>
        <v>0</v>
      </c>
      <c r="H20" s="12"/>
      <c r="I20" s="62">
        <f t="shared" si="24"/>
        <v>1135</v>
      </c>
      <c r="J20" s="53">
        <f t="shared" si="25"/>
        <v>0</v>
      </c>
      <c r="K20" s="53">
        <f t="shared" si="10"/>
        <v>0</v>
      </c>
      <c r="L20" s="55">
        <f t="shared" si="2"/>
        <v>6027.0871584000006</v>
      </c>
      <c r="M20" s="53">
        <f t="shared" si="11"/>
        <v>70</v>
      </c>
      <c r="N20" s="53">
        <f t="shared" si="28"/>
        <v>1500</v>
      </c>
      <c r="O20" s="53">
        <f t="shared" si="27"/>
        <v>90</v>
      </c>
      <c r="P20" s="55">
        <f t="shared" si="3"/>
        <v>4437.0871584000006</v>
      </c>
      <c r="Q20" s="55">
        <f t="shared" si="4"/>
        <v>3392.0871584000006</v>
      </c>
      <c r="R20" s="65">
        <f t="shared" si="5"/>
        <v>-20</v>
      </c>
      <c r="S20" s="67">
        <f t="shared" si="12"/>
        <v>8276.692666496001</v>
      </c>
      <c r="T20" s="69">
        <f t="shared" si="13"/>
        <v>-54.2</v>
      </c>
      <c r="U20" s="67">
        <f t="shared" si="14"/>
        <v>0</v>
      </c>
      <c r="V20" s="67">
        <f t="shared" si="15"/>
        <v>548.625</v>
      </c>
      <c r="W20" s="67">
        <f t="shared" si="16"/>
        <v>424.5</v>
      </c>
      <c r="X20" s="67">
        <f t="shared" si="17"/>
        <v>2467.5</v>
      </c>
      <c r="Y20" s="67">
        <f t="shared" si="18"/>
        <v>1292.5</v>
      </c>
      <c r="Z20" s="67">
        <f t="shared" si="19"/>
        <v>282</v>
      </c>
      <c r="AA20" s="67">
        <f t="shared" si="20"/>
        <v>5015.125</v>
      </c>
      <c r="AB20" s="67">
        <f t="shared" si="6"/>
        <v>683.74768000000006</v>
      </c>
      <c r="AC20" s="13">
        <f t="shared" si="21"/>
        <v>13921.365346496001</v>
      </c>
      <c r="AD20"/>
      <c r="AE20" s="73">
        <f t="shared" si="7"/>
        <v>146.3458415999994</v>
      </c>
      <c r="AF20" s="15">
        <f t="shared" si="8"/>
        <v>6.4392170303999734</v>
      </c>
      <c r="AG20"/>
      <c r="AH20" s="43">
        <f t="shared" si="22"/>
        <v>13914.926129465601</v>
      </c>
      <c r="AI20" s="103">
        <v>13843.400186843763</v>
      </c>
      <c r="AJ20" s="6">
        <f t="shared" si="23"/>
        <v>71.525942621838112</v>
      </c>
      <c r="AM20"/>
    </row>
    <row r="21" spans="1:39" x14ac:dyDescent="0.2">
      <c r="A21" s="88">
        <f t="shared" si="26"/>
        <v>37142</v>
      </c>
      <c r="B21" s="104"/>
      <c r="C21" s="101"/>
      <c r="D21" s="101">
        <v>5534.152</v>
      </c>
      <c r="E21" s="55">
        <f t="shared" si="0"/>
        <v>5609.9698824000006</v>
      </c>
      <c r="F21" s="53">
        <f t="shared" si="1"/>
        <v>5609.9698824000006</v>
      </c>
      <c r="G21" s="29">
        <f t="shared" si="9"/>
        <v>0</v>
      </c>
      <c r="H21" s="12"/>
      <c r="I21" s="62">
        <f t="shared" si="24"/>
        <v>1135</v>
      </c>
      <c r="J21" s="53">
        <f t="shared" si="25"/>
        <v>0</v>
      </c>
      <c r="K21" s="53">
        <f t="shared" si="10"/>
        <v>0</v>
      </c>
      <c r="L21" s="55">
        <f t="shared" si="2"/>
        <v>5609.9698824000006</v>
      </c>
      <c r="M21" s="53">
        <f t="shared" si="11"/>
        <v>70</v>
      </c>
      <c r="N21" s="53">
        <f t="shared" si="28"/>
        <v>1500</v>
      </c>
      <c r="O21" s="53">
        <f t="shared" si="27"/>
        <v>90</v>
      </c>
      <c r="P21" s="55">
        <f t="shared" si="3"/>
        <v>4019.9698824000006</v>
      </c>
      <c r="Q21" s="55">
        <f t="shared" si="4"/>
        <v>2974.9698824000006</v>
      </c>
      <c r="R21" s="65">
        <f t="shared" si="5"/>
        <v>-20</v>
      </c>
      <c r="S21" s="67">
        <f t="shared" si="12"/>
        <v>7258.9265130560016</v>
      </c>
      <c r="T21" s="69">
        <f t="shared" si="13"/>
        <v>-54.2</v>
      </c>
      <c r="U21" s="67">
        <f t="shared" si="14"/>
        <v>0</v>
      </c>
      <c r="V21" s="67">
        <f t="shared" si="15"/>
        <v>548.625</v>
      </c>
      <c r="W21" s="67">
        <f t="shared" si="16"/>
        <v>424.5</v>
      </c>
      <c r="X21" s="67">
        <f t="shared" si="17"/>
        <v>2467.5</v>
      </c>
      <c r="Y21" s="67">
        <f t="shared" si="18"/>
        <v>1292.5</v>
      </c>
      <c r="Z21" s="67">
        <f t="shared" si="19"/>
        <v>282</v>
      </c>
      <c r="AA21" s="67">
        <f t="shared" si="20"/>
        <v>5015.125</v>
      </c>
      <c r="AB21" s="67">
        <f t="shared" si="6"/>
        <v>636.42748000000006</v>
      </c>
      <c r="AC21" s="13">
        <f t="shared" si="21"/>
        <v>12856.278993056001</v>
      </c>
      <c r="AD21"/>
      <c r="AE21" s="73">
        <f t="shared" si="7"/>
        <v>563.46311759999935</v>
      </c>
      <c r="AF21" s="15">
        <f t="shared" si="8"/>
        <v>24.79237717439997</v>
      </c>
      <c r="AG21"/>
      <c r="AH21" s="43">
        <f t="shared" si="22"/>
        <v>12831.4866158816</v>
      </c>
      <c r="AI21" s="103">
        <v>12778.122773014296</v>
      </c>
      <c r="AJ21" s="6">
        <f t="shared" si="23"/>
        <v>53.363842867303902</v>
      </c>
      <c r="AM21"/>
    </row>
    <row r="22" spans="1:39" x14ac:dyDescent="0.2">
      <c r="A22" s="88">
        <f t="shared" si="26"/>
        <v>37143</v>
      </c>
      <c r="B22" s="104"/>
      <c r="C22" s="101"/>
      <c r="D22" s="101">
        <v>5704.84</v>
      </c>
      <c r="E22" s="55">
        <f t="shared" si="0"/>
        <v>5782.9963080000007</v>
      </c>
      <c r="F22" s="53">
        <f t="shared" si="1"/>
        <v>5782.9963080000007</v>
      </c>
      <c r="G22" s="29">
        <f t="shared" si="9"/>
        <v>0</v>
      </c>
      <c r="H22" s="12"/>
      <c r="I22" s="62">
        <f t="shared" si="24"/>
        <v>1135</v>
      </c>
      <c r="J22" s="53">
        <f t="shared" si="25"/>
        <v>0</v>
      </c>
      <c r="K22" s="53">
        <f t="shared" si="10"/>
        <v>0</v>
      </c>
      <c r="L22" s="55">
        <f t="shared" si="2"/>
        <v>5782.9963080000007</v>
      </c>
      <c r="M22" s="53">
        <f t="shared" si="11"/>
        <v>70</v>
      </c>
      <c r="N22" s="53">
        <f t="shared" si="28"/>
        <v>1500</v>
      </c>
      <c r="O22" s="53">
        <f t="shared" si="27"/>
        <v>90</v>
      </c>
      <c r="P22" s="55">
        <f t="shared" si="3"/>
        <v>4192.9963080000007</v>
      </c>
      <c r="Q22" s="55">
        <f t="shared" si="4"/>
        <v>3147.9963080000007</v>
      </c>
      <c r="R22" s="65">
        <f t="shared" si="5"/>
        <v>-20</v>
      </c>
      <c r="S22" s="67">
        <f t="shared" si="12"/>
        <v>7681.1109915200013</v>
      </c>
      <c r="T22" s="69">
        <f t="shared" si="13"/>
        <v>-54.2</v>
      </c>
      <c r="U22" s="67">
        <f t="shared" si="14"/>
        <v>0</v>
      </c>
      <c r="V22" s="67">
        <f t="shared" si="15"/>
        <v>548.625</v>
      </c>
      <c r="W22" s="67">
        <f t="shared" si="16"/>
        <v>424.5</v>
      </c>
      <c r="X22" s="67">
        <f t="shared" si="17"/>
        <v>2467.5</v>
      </c>
      <c r="Y22" s="67">
        <f t="shared" si="18"/>
        <v>1292.5</v>
      </c>
      <c r="Z22" s="67">
        <f t="shared" si="19"/>
        <v>282</v>
      </c>
      <c r="AA22" s="67">
        <f t="shared" si="20"/>
        <v>5015.125</v>
      </c>
      <c r="AB22" s="67">
        <f t="shared" si="6"/>
        <v>656.0566</v>
      </c>
      <c r="AC22" s="13">
        <f t="shared" si="21"/>
        <v>13298.09259152</v>
      </c>
      <c r="AD22"/>
      <c r="AE22" s="73">
        <f t="shared" si="7"/>
        <v>390.43669199999931</v>
      </c>
      <c r="AF22" s="15">
        <f t="shared" si="8"/>
        <v>17.179214447999968</v>
      </c>
      <c r="AG22"/>
      <c r="AH22" s="43">
        <f t="shared" si="22"/>
        <v>13280.913377072</v>
      </c>
      <c r="AI22" s="103">
        <v>13220.015626158372</v>
      </c>
      <c r="AJ22" s="6">
        <f t="shared" si="23"/>
        <v>60.897750913627533</v>
      </c>
      <c r="AM22"/>
    </row>
    <row r="23" spans="1:39" x14ac:dyDescent="0.2">
      <c r="A23" s="88">
        <f t="shared" si="26"/>
        <v>37144</v>
      </c>
      <c r="B23" s="104"/>
      <c r="C23" s="101"/>
      <c r="D23" s="101">
        <v>6038.0879999999997</v>
      </c>
      <c r="E23" s="55">
        <f t="shared" si="0"/>
        <v>6120.8098055999999</v>
      </c>
      <c r="F23" s="53">
        <f t="shared" si="1"/>
        <v>6120.8098055999999</v>
      </c>
      <c r="G23" s="29">
        <f t="shared" si="9"/>
        <v>0</v>
      </c>
      <c r="H23" s="12"/>
      <c r="I23" s="62">
        <f t="shared" si="24"/>
        <v>1135</v>
      </c>
      <c r="J23" s="53">
        <f t="shared" si="25"/>
        <v>0</v>
      </c>
      <c r="K23" s="53">
        <f t="shared" si="10"/>
        <v>0</v>
      </c>
      <c r="L23" s="55">
        <f t="shared" si="2"/>
        <v>6120.8098055999999</v>
      </c>
      <c r="M23" s="53">
        <f t="shared" si="11"/>
        <v>70</v>
      </c>
      <c r="N23" s="53">
        <f t="shared" si="28"/>
        <v>1500</v>
      </c>
      <c r="O23" s="53">
        <f t="shared" si="27"/>
        <v>90</v>
      </c>
      <c r="P23" s="55">
        <f t="shared" si="3"/>
        <v>4530.8098055999999</v>
      </c>
      <c r="Q23" s="55">
        <f t="shared" si="4"/>
        <v>3485.8098055999999</v>
      </c>
      <c r="R23" s="65">
        <f t="shared" si="5"/>
        <v>-20</v>
      </c>
      <c r="S23" s="67">
        <f t="shared" si="12"/>
        <v>8505.3759256639987</v>
      </c>
      <c r="T23" s="69">
        <f t="shared" si="13"/>
        <v>-54.2</v>
      </c>
      <c r="U23" s="67">
        <f t="shared" si="14"/>
        <v>0</v>
      </c>
      <c r="V23" s="67">
        <f t="shared" si="15"/>
        <v>548.625</v>
      </c>
      <c r="W23" s="67">
        <f t="shared" si="16"/>
        <v>424.5</v>
      </c>
      <c r="X23" s="67">
        <f t="shared" si="17"/>
        <v>2467.5</v>
      </c>
      <c r="Y23" s="67">
        <f t="shared" si="18"/>
        <v>1292.5</v>
      </c>
      <c r="Z23" s="67">
        <f t="shared" si="19"/>
        <v>282</v>
      </c>
      <c r="AA23" s="67">
        <f t="shared" si="20"/>
        <v>5015.125</v>
      </c>
      <c r="AB23" s="67">
        <f t="shared" si="6"/>
        <v>694.38012000000003</v>
      </c>
      <c r="AC23" s="13">
        <f t="shared" si="21"/>
        <v>14160.681045663998</v>
      </c>
      <c r="AD23"/>
      <c r="AE23" s="73">
        <f t="shared" si="7"/>
        <v>52.623194400000102</v>
      </c>
      <c r="AF23" s="15">
        <f t="shared" si="8"/>
        <v>2.3154205536000045</v>
      </c>
      <c r="AG23"/>
      <c r="AH23" s="43">
        <f t="shared" si="22"/>
        <v>14158.365625110398</v>
      </c>
      <c r="AI23" s="103">
        <v>14082.758815630134</v>
      </c>
      <c r="AJ23" s="6">
        <f t="shared" si="23"/>
        <v>75.606809480264928</v>
      </c>
      <c r="AM23"/>
    </row>
    <row r="24" spans="1:39" x14ac:dyDescent="0.2">
      <c r="A24" s="91">
        <f t="shared" si="26"/>
        <v>37145</v>
      </c>
      <c r="B24" s="104"/>
      <c r="C24" s="101"/>
      <c r="D24" s="101">
        <v>5873.4960000000001</v>
      </c>
      <c r="E24" s="55">
        <f t="shared" si="0"/>
        <v>5953.9628952000003</v>
      </c>
      <c r="F24" s="53">
        <f t="shared" si="1"/>
        <v>5953.9628952000003</v>
      </c>
      <c r="G24" s="29">
        <f t="shared" si="9"/>
        <v>0</v>
      </c>
      <c r="H24" s="12"/>
      <c r="I24" s="62">
        <f t="shared" si="24"/>
        <v>1135</v>
      </c>
      <c r="J24" s="53">
        <f t="shared" si="25"/>
        <v>0</v>
      </c>
      <c r="K24" s="53">
        <f t="shared" si="10"/>
        <v>0</v>
      </c>
      <c r="L24" s="55">
        <f t="shared" si="2"/>
        <v>5953.9628952000003</v>
      </c>
      <c r="M24" s="53">
        <f t="shared" si="11"/>
        <v>70</v>
      </c>
      <c r="N24" s="53">
        <f t="shared" si="28"/>
        <v>1500</v>
      </c>
      <c r="O24" s="53">
        <f t="shared" si="27"/>
        <v>90</v>
      </c>
      <c r="P24" s="55">
        <f t="shared" si="3"/>
        <v>4363.9628952000003</v>
      </c>
      <c r="Q24" s="55">
        <f t="shared" si="4"/>
        <v>3318.9628952000003</v>
      </c>
      <c r="R24" s="65">
        <f t="shared" si="5"/>
        <v>-20</v>
      </c>
      <c r="S24" s="67">
        <f t="shared" si="12"/>
        <v>8098.2694642880006</v>
      </c>
      <c r="T24" s="69">
        <f t="shared" si="13"/>
        <v>-54.2</v>
      </c>
      <c r="U24" s="67">
        <f t="shared" si="14"/>
        <v>0</v>
      </c>
      <c r="V24" s="67">
        <f t="shared" si="15"/>
        <v>548.625</v>
      </c>
      <c r="W24" s="67">
        <f t="shared" si="16"/>
        <v>424.5</v>
      </c>
      <c r="X24" s="67">
        <f t="shared" si="17"/>
        <v>2467.5</v>
      </c>
      <c r="Y24" s="67">
        <f t="shared" si="18"/>
        <v>1292.5</v>
      </c>
      <c r="Z24" s="67">
        <f t="shared" si="19"/>
        <v>282</v>
      </c>
      <c r="AA24" s="67">
        <f t="shared" si="20"/>
        <v>5015.125</v>
      </c>
      <c r="AB24" s="67">
        <f t="shared" si="6"/>
        <v>675.45204000000001</v>
      </c>
      <c r="AC24" s="13">
        <f t="shared" si="21"/>
        <v>13734.646504288001</v>
      </c>
      <c r="AD24"/>
      <c r="AE24" s="73">
        <f t="shared" si="7"/>
        <v>219.47010479999972</v>
      </c>
      <c r="AF24" s="15">
        <f t="shared" si="8"/>
        <v>9.6566846111999869</v>
      </c>
      <c r="AG24"/>
      <c r="AH24" s="43">
        <f t="shared" si="22"/>
        <v>13724.989819676801</v>
      </c>
      <c r="AI24" s="103">
        <v>13656.647850098347</v>
      </c>
      <c r="AJ24" s="6">
        <f t="shared" si="23"/>
        <v>68.341969578454155</v>
      </c>
      <c r="AM24"/>
    </row>
    <row r="25" spans="1:39" x14ac:dyDescent="0.2">
      <c r="A25" s="91">
        <f t="shared" si="26"/>
        <v>37146</v>
      </c>
      <c r="B25" s="104"/>
      <c r="C25" s="101"/>
      <c r="D25" s="101">
        <v>6402.8320000000003</v>
      </c>
      <c r="E25" s="55">
        <f t="shared" si="0"/>
        <v>6490.5507984000005</v>
      </c>
      <c r="F25" s="53">
        <f t="shared" si="1"/>
        <v>6173.433</v>
      </c>
      <c r="G25" s="29">
        <f t="shared" si="9"/>
        <v>312.76694220595255</v>
      </c>
      <c r="H25" s="12"/>
      <c r="I25" s="62">
        <f t="shared" si="24"/>
        <v>1135</v>
      </c>
      <c r="J25" s="53">
        <f t="shared" si="25"/>
        <v>0</v>
      </c>
      <c r="K25" s="53">
        <f t="shared" si="10"/>
        <v>0</v>
      </c>
      <c r="L25" s="55">
        <f t="shared" si="2"/>
        <v>6173.433</v>
      </c>
      <c r="M25" s="53">
        <f t="shared" si="11"/>
        <v>312.76694220595255</v>
      </c>
      <c r="N25" s="53">
        <f t="shared" si="28"/>
        <v>1500</v>
      </c>
      <c r="O25" s="53">
        <f t="shared" si="27"/>
        <v>90</v>
      </c>
      <c r="P25" s="55">
        <f t="shared" si="3"/>
        <v>4900.5507984000005</v>
      </c>
      <c r="Q25" s="55">
        <f t="shared" si="4"/>
        <v>3538.433</v>
      </c>
      <c r="R25" s="65">
        <f t="shared" si="5"/>
        <v>222.76694220595255</v>
      </c>
      <c r="S25" s="67">
        <f t="shared" si="12"/>
        <v>8633.7765199999994</v>
      </c>
      <c r="T25" s="69">
        <f t="shared" si="13"/>
        <v>603.69841337813136</v>
      </c>
      <c r="U25" s="67">
        <f t="shared" si="14"/>
        <v>0</v>
      </c>
      <c r="V25" s="67">
        <f t="shared" si="15"/>
        <v>548.625</v>
      </c>
      <c r="W25" s="67">
        <f t="shared" si="16"/>
        <v>424.5</v>
      </c>
      <c r="X25" s="67">
        <f t="shared" si="17"/>
        <v>2467.5</v>
      </c>
      <c r="Y25" s="67">
        <f t="shared" si="18"/>
        <v>1292.5</v>
      </c>
      <c r="Z25" s="67">
        <f t="shared" si="19"/>
        <v>282</v>
      </c>
      <c r="AA25" s="67">
        <f t="shared" si="20"/>
        <v>5015.125</v>
      </c>
      <c r="AB25" s="67">
        <f t="shared" si="6"/>
        <v>736.32568000000003</v>
      </c>
      <c r="AC25" s="13">
        <f t="shared" si="21"/>
        <v>14988.925613378131</v>
      </c>
      <c r="AD25"/>
      <c r="AE25" s="73">
        <f t="shared" si="7"/>
        <v>0</v>
      </c>
      <c r="AF25" s="15">
        <f t="shared" si="8"/>
        <v>0</v>
      </c>
      <c r="AG25"/>
      <c r="AH25" s="43">
        <f t="shared" si="22"/>
        <v>14988.925613378131</v>
      </c>
      <c r="AI25" s="103">
        <v>15027.041757765388</v>
      </c>
      <c r="AJ25" s="6">
        <f t="shared" si="23"/>
        <v>-38.116144387257009</v>
      </c>
      <c r="AM25"/>
    </row>
    <row r="26" spans="1:39" x14ac:dyDescent="0.2">
      <c r="A26" s="88">
        <f t="shared" si="26"/>
        <v>37147</v>
      </c>
      <c r="B26" s="104"/>
      <c r="C26" s="101"/>
      <c r="D26" s="101">
        <v>6270.7520000000004</v>
      </c>
      <c r="E26" s="55">
        <f t="shared" si="0"/>
        <v>6356.6613024000007</v>
      </c>
      <c r="F26" s="53">
        <f t="shared" si="1"/>
        <v>6173.433</v>
      </c>
      <c r="G26" s="29">
        <f t="shared" si="9"/>
        <v>180.71441009107275</v>
      </c>
      <c r="H26" s="12"/>
      <c r="I26" s="62">
        <f t="shared" si="24"/>
        <v>1135</v>
      </c>
      <c r="J26" s="53">
        <f t="shared" si="25"/>
        <v>0</v>
      </c>
      <c r="K26" s="53">
        <f t="shared" si="10"/>
        <v>0</v>
      </c>
      <c r="L26" s="55">
        <f t="shared" si="2"/>
        <v>6173.433</v>
      </c>
      <c r="M26" s="53">
        <f t="shared" si="11"/>
        <v>180.71441009107275</v>
      </c>
      <c r="N26" s="53">
        <f t="shared" si="28"/>
        <v>1500</v>
      </c>
      <c r="O26" s="53">
        <f t="shared" si="27"/>
        <v>90</v>
      </c>
      <c r="P26" s="55">
        <f t="shared" si="3"/>
        <v>4766.6613024000007</v>
      </c>
      <c r="Q26" s="55">
        <f t="shared" si="4"/>
        <v>3538.433</v>
      </c>
      <c r="R26" s="65">
        <f t="shared" si="5"/>
        <v>90.71441009107275</v>
      </c>
      <c r="S26" s="67">
        <f t="shared" si="12"/>
        <v>8633.7765199999994</v>
      </c>
      <c r="T26" s="69">
        <f t="shared" si="13"/>
        <v>245.83605134680715</v>
      </c>
      <c r="U26" s="67">
        <f t="shared" si="14"/>
        <v>0</v>
      </c>
      <c r="V26" s="67">
        <f t="shared" si="15"/>
        <v>548.625</v>
      </c>
      <c r="W26" s="67">
        <f t="shared" si="16"/>
        <v>424.5</v>
      </c>
      <c r="X26" s="67">
        <f t="shared" si="17"/>
        <v>2467.5</v>
      </c>
      <c r="Y26" s="67">
        <f t="shared" si="18"/>
        <v>1292.5</v>
      </c>
      <c r="Z26" s="67">
        <f t="shared" si="19"/>
        <v>282</v>
      </c>
      <c r="AA26" s="67">
        <f t="shared" si="20"/>
        <v>5015.125</v>
      </c>
      <c r="AB26" s="67">
        <f t="shared" si="6"/>
        <v>721.13648000000012</v>
      </c>
      <c r="AC26" s="13">
        <f t="shared" si="21"/>
        <v>14615.874051346807</v>
      </c>
      <c r="AD26"/>
      <c r="AE26" s="73">
        <f t="shared" si="7"/>
        <v>0</v>
      </c>
      <c r="AF26" s="15">
        <f t="shared" si="8"/>
        <v>0</v>
      </c>
      <c r="AG26"/>
      <c r="AH26" s="43">
        <f t="shared" si="22"/>
        <v>14615.874051346807</v>
      </c>
      <c r="AI26" s="103">
        <v>14685.10085949914</v>
      </c>
      <c r="AJ26" s="6">
        <f t="shared" si="23"/>
        <v>-69.226808152332524</v>
      </c>
      <c r="AM26"/>
    </row>
    <row r="27" spans="1:39" x14ac:dyDescent="0.2">
      <c r="A27" s="88">
        <f t="shared" si="26"/>
        <v>37148</v>
      </c>
      <c r="B27" s="104"/>
      <c r="C27" s="101"/>
      <c r="D27" s="101">
        <v>6025.8959999999997</v>
      </c>
      <c r="E27" s="55">
        <f t="shared" si="0"/>
        <v>6108.4507752</v>
      </c>
      <c r="F27" s="53">
        <f t="shared" si="1"/>
        <v>6108.4507752</v>
      </c>
      <c r="G27" s="29">
        <f t="shared" si="9"/>
        <v>0</v>
      </c>
      <c r="H27" s="12"/>
      <c r="I27" s="62">
        <f t="shared" si="24"/>
        <v>1135</v>
      </c>
      <c r="J27" s="53">
        <f t="shared" si="25"/>
        <v>0</v>
      </c>
      <c r="K27" s="53">
        <f t="shared" si="10"/>
        <v>0</v>
      </c>
      <c r="L27" s="55">
        <f t="shared" si="2"/>
        <v>6108.4507752</v>
      </c>
      <c r="M27" s="53">
        <f t="shared" si="11"/>
        <v>70</v>
      </c>
      <c r="N27" s="53">
        <f t="shared" si="28"/>
        <v>1500</v>
      </c>
      <c r="O27" s="53">
        <f t="shared" si="27"/>
        <v>90</v>
      </c>
      <c r="P27" s="55">
        <f t="shared" si="3"/>
        <v>4518.4507752</v>
      </c>
      <c r="Q27" s="55">
        <f t="shared" si="4"/>
        <v>3473.4507752</v>
      </c>
      <c r="R27" s="65">
        <f t="shared" si="5"/>
        <v>-20</v>
      </c>
      <c r="S27" s="67">
        <f t="shared" si="12"/>
        <v>8475.2198914879991</v>
      </c>
      <c r="T27" s="69">
        <f t="shared" si="13"/>
        <v>-54.2</v>
      </c>
      <c r="U27" s="67">
        <f t="shared" si="14"/>
        <v>0</v>
      </c>
      <c r="V27" s="67">
        <f t="shared" si="15"/>
        <v>548.625</v>
      </c>
      <c r="W27" s="67">
        <f t="shared" si="16"/>
        <v>424.5</v>
      </c>
      <c r="X27" s="67">
        <f t="shared" si="17"/>
        <v>2467.5</v>
      </c>
      <c r="Y27" s="67">
        <f t="shared" si="18"/>
        <v>1292.5</v>
      </c>
      <c r="Z27" s="67">
        <f t="shared" si="19"/>
        <v>282</v>
      </c>
      <c r="AA27" s="67">
        <f t="shared" si="20"/>
        <v>5015.125</v>
      </c>
      <c r="AB27" s="67">
        <f t="shared" si="6"/>
        <v>692.97803999999996</v>
      </c>
      <c r="AC27" s="13">
        <f t="shared" si="21"/>
        <v>14129.122931487998</v>
      </c>
      <c r="AD27"/>
      <c r="AE27" s="73">
        <f t="shared" si="7"/>
        <v>64.98222480000004</v>
      </c>
      <c r="AF27" s="15">
        <f t="shared" si="8"/>
        <v>2.8592178912000015</v>
      </c>
      <c r="AG27"/>
      <c r="AH27" s="43">
        <f t="shared" si="22"/>
        <v>14126.263713596798</v>
      </c>
      <c r="AI27" s="103">
        <v>14051.195040405557</v>
      </c>
      <c r="AJ27" s="6">
        <f t="shared" si="23"/>
        <v>75.068673191241032</v>
      </c>
      <c r="AM27"/>
    </row>
    <row r="28" spans="1:39" x14ac:dyDescent="0.2">
      <c r="A28" s="88">
        <f t="shared" si="26"/>
        <v>37149</v>
      </c>
      <c r="B28" s="104"/>
      <c r="C28" s="101"/>
      <c r="D28" s="101">
        <v>5887.72</v>
      </c>
      <c r="E28" s="55">
        <f t="shared" si="0"/>
        <v>5968.3817640000007</v>
      </c>
      <c r="F28" s="53">
        <f t="shared" si="1"/>
        <v>5968.3817640000007</v>
      </c>
      <c r="G28" s="29">
        <f t="shared" si="9"/>
        <v>0</v>
      </c>
      <c r="H28" s="12"/>
      <c r="I28" s="62">
        <f t="shared" si="24"/>
        <v>1135</v>
      </c>
      <c r="J28" s="53">
        <f t="shared" si="25"/>
        <v>0</v>
      </c>
      <c r="K28" s="53">
        <f t="shared" si="10"/>
        <v>0</v>
      </c>
      <c r="L28" s="55">
        <f t="shared" si="2"/>
        <v>5968.3817640000007</v>
      </c>
      <c r="M28" s="53">
        <f t="shared" si="11"/>
        <v>70</v>
      </c>
      <c r="N28" s="53">
        <f t="shared" si="28"/>
        <v>1500</v>
      </c>
      <c r="O28" s="53">
        <f t="shared" si="27"/>
        <v>90</v>
      </c>
      <c r="P28" s="55">
        <f t="shared" si="3"/>
        <v>4378.3817640000007</v>
      </c>
      <c r="Q28" s="55">
        <f t="shared" si="4"/>
        <v>3333.3817640000007</v>
      </c>
      <c r="R28" s="65">
        <f t="shared" si="5"/>
        <v>-20</v>
      </c>
      <c r="S28" s="67">
        <f t="shared" si="12"/>
        <v>8133.4515041600016</v>
      </c>
      <c r="T28" s="69">
        <f t="shared" si="13"/>
        <v>-54.2</v>
      </c>
      <c r="U28" s="67">
        <f t="shared" si="14"/>
        <v>0</v>
      </c>
      <c r="V28" s="67">
        <f t="shared" si="15"/>
        <v>548.625</v>
      </c>
      <c r="W28" s="67">
        <f t="shared" si="16"/>
        <v>424.5</v>
      </c>
      <c r="X28" s="67">
        <f t="shared" si="17"/>
        <v>2467.5</v>
      </c>
      <c r="Y28" s="67">
        <f t="shared" si="18"/>
        <v>1292.5</v>
      </c>
      <c r="Z28" s="67">
        <f t="shared" si="19"/>
        <v>282</v>
      </c>
      <c r="AA28" s="67">
        <f t="shared" si="20"/>
        <v>5015.125</v>
      </c>
      <c r="AB28" s="67">
        <f t="shared" si="6"/>
        <v>677.08780000000002</v>
      </c>
      <c r="AC28" s="13">
        <f t="shared" si="21"/>
        <v>13771.464304160001</v>
      </c>
      <c r="AD28"/>
      <c r="AE28" s="73">
        <f t="shared" si="7"/>
        <v>205.05123599999934</v>
      </c>
      <c r="AF28" s="15">
        <f t="shared" si="8"/>
        <v>9.0222543839999698</v>
      </c>
      <c r="AG28"/>
      <c r="AH28" s="43">
        <f t="shared" si="22"/>
        <v>13762.442049776002</v>
      </c>
      <c r="AI28" s="103">
        <v>13693.47225452702</v>
      </c>
      <c r="AJ28" s="6">
        <f t="shared" si="23"/>
        <v>68.969795248982336</v>
      </c>
      <c r="AM28"/>
    </row>
    <row r="29" spans="1:39" x14ac:dyDescent="0.2">
      <c r="A29" s="91">
        <f t="shared" si="26"/>
        <v>37150</v>
      </c>
      <c r="B29" s="104"/>
      <c r="C29" s="101"/>
      <c r="D29" s="101">
        <v>5971.0320000000002</v>
      </c>
      <c r="E29" s="55">
        <f t="shared" si="0"/>
        <v>6052.8351384000007</v>
      </c>
      <c r="F29" s="53">
        <f t="shared" si="1"/>
        <v>6052.8351384000007</v>
      </c>
      <c r="G29" s="29">
        <f t="shared" si="9"/>
        <v>0</v>
      </c>
      <c r="H29" s="12"/>
      <c r="I29" s="62">
        <f t="shared" si="24"/>
        <v>1135</v>
      </c>
      <c r="J29" s="53">
        <f t="shared" si="25"/>
        <v>0</v>
      </c>
      <c r="K29" s="53">
        <f t="shared" si="10"/>
        <v>0</v>
      </c>
      <c r="L29" s="55">
        <f t="shared" si="2"/>
        <v>6052.8351384000007</v>
      </c>
      <c r="M29" s="53">
        <f t="shared" si="11"/>
        <v>70</v>
      </c>
      <c r="N29" s="53">
        <f t="shared" si="28"/>
        <v>1500</v>
      </c>
      <c r="O29" s="53">
        <f t="shared" si="27"/>
        <v>90</v>
      </c>
      <c r="P29" s="55">
        <f t="shared" si="3"/>
        <v>4462.8351384000007</v>
      </c>
      <c r="Q29" s="55">
        <f t="shared" si="4"/>
        <v>3417.8351384000007</v>
      </c>
      <c r="R29" s="65">
        <f t="shared" si="5"/>
        <v>-20</v>
      </c>
      <c r="S29" s="67">
        <f t="shared" si="12"/>
        <v>8339.5177376960019</v>
      </c>
      <c r="T29" s="69">
        <f t="shared" si="13"/>
        <v>-54.2</v>
      </c>
      <c r="U29" s="67">
        <f t="shared" si="14"/>
        <v>0</v>
      </c>
      <c r="V29" s="67">
        <f t="shared" si="15"/>
        <v>548.625</v>
      </c>
      <c r="W29" s="67">
        <f t="shared" si="16"/>
        <v>424.5</v>
      </c>
      <c r="X29" s="67">
        <f t="shared" si="17"/>
        <v>2467.5</v>
      </c>
      <c r="Y29" s="67">
        <f t="shared" si="18"/>
        <v>1292.5</v>
      </c>
      <c r="Z29" s="67">
        <f t="shared" si="19"/>
        <v>282</v>
      </c>
      <c r="AA29" s="67">
        <f t="shared" si="20"/>
        <v>5015.125</v>
      </c>
      <c r="AB29" s="67">
        <f t="shared" si="6"/>
        <v>686.66867999999999</v>
      </c>
      <c r="AC29" s="13">
        <f t="shared" si="21"/>
        <v>13987.111417696</v>
      </c>
      <c r="AD29"/>
      <c r="AE29" s="73">
        <f t="shared" si="7"/>
        <v>120.59786159999931</v>
      </c>
      <c r="AF29" s="15">
        <f t="shared" si="8"/>
        <v>5.3063059103999688</v>
      </c>
      <c r="AG29"/>
      <c r="AH29" s="43">
        <f t="shared" si="22"/>
        <v>13981.805111785599</v>
      </c>
      <c r="AI29" s="103">
        <v>13909.158051894963</v>
      </c>
      <c r="AJ29" s="6">
        <f t="shared" si="23"/>
        <v>72.647059890636228</v>
      </c>
      <c r="AM29"/>
    </row>
    <row r="30" spans="1:39" x14ac:dyDescent="0.2">
      <c r="A30" s="91">
        <f t="shared" si="26"/>
        <v>37151</v>
      </c>
      <c r="B30" s="104"/>
      <c r="C30" s="101"/>
      <c r="D30" s="101">
        <v>6587.7439999999997</v>
      </c>
      <c r="E30" s="55">
        <f t="shared" si="0"/>
        <v>6677.9960928</v>
      </c>
      <c r="F30" s="53">
        <f t="shared" si="1"/>
        <v>6173.433</v>
      </c>
      <c r="G30" s="29">
        <f t="shared" si="9"/>
        <v>497.64048716678406</v>
      </c>
      <c r="H30" s="12"/>
      <c r="I30" s="62">
        <f t="shared" si="24"/>
        <v>1135</v>
      </c>
      <c r="J30" s="53">
        <f t="shared" si="25"/>
        <v>0</v>
      </c>
      <c r="K30" s="53">
        <f t="shared" si="10"/>
        <v>0</v>
      </c>
      <c r="L30" s="55">
        <f t="shared" si="2"/>
        <v>6173.433</v>
      </c>
      <c r="M30" s="53">
        <f t="shared" si="11"/>
        <v>497.64048716678406</v>
      </c>
      <c r="N30" s="53">
        <f t="shared" si="28"/>
        <v>1500</v>
      </c>
      <c r="O30" s="53">
        <f t="shared" si="27"/>
        <v>90</v>
      </c>
      <c r="P30" s="55">
        <f t="shared" si="3"/>
        <v>5087.9960928</v>
      </c>
      <c r="Q30" s="55">
        <f t="shared" si="4"/>
        <v>3538.433</v>
      </c>
      <c r="R30" s="65">
        <f t="shared" si="5"/>
        <v>407.64048716678406</v>
      </c>
      <c r="S30" s="67">
        <f t="shared" si="12"/>
        <v>8633.7765199999994</v>
      </c>
      <c r="T30" s="69">
        <f t="shared" si="13"/>
        <v>1104.7057202219848</v>
      </c>
      <c r="U30" s="67">
        <f t="shared" si="14"/>
        <v>0</v>
      </c>
      <c r="V30" s="67">
        <f t="shared" si="15"/>
        <v>548.625</v>
      </c>
      <c r="W30" s="67">
        <f t="shared" si="16"/>
        <v>424.5</v>
      </c>
      <c r="X30" s="67">
        <f t="shared" si="17"/>
        <v>2467.5</v>
      </c>
      <c r="Y30" s="67">
        <f t="shared" si="18"/>
        <v>1292.5</v>
      </c>
      <c r="Z30" s="67">
        <f t="shared" si="19"/>
        <v>282</v>
      </c>
      <c r="AA30" s="67">
        <f t="shared" si="20"/>
        <v>5015.125</v>
      </c>
      <c r="AB30" s="67">
        <f t="shared" si="6"/>
        <v>757.59055999999998</v>
      </c>
      <c r="AC30" s="13">
        <f t="shared" si="21"/>
        <v>15511.197800221984</v>
      </c>
      <c r="AD30"/>
      <c r="AE30" s="73">
        <f t="shared" si="7"/>
        <v>0</v>
      </c>
      <c r="AF30" s="15">
        <f t="shared" si="8"/>
        <v>0</v>
      </c>
      <c r="AG30"/>
      <c r="AH30" s="43">
        <f t="shared" si="22"/>
        <v>15511.197800221984</v>
      </c>
      <c r="AI30" s="103">
        <v>15505.759015338133</v>
      </c>
      <c r="AJ30" s="6">
        <f t="shared" si="23"/>
        <v>5.4387848838505306</v>
      </c>
      <c r="AM30"/>
    </row>
    <row r="31" spans="1:39" x14ac:dyDescent="0.2">
      <c r="A31" s="91">
        <f t="shared" si="26"/>
        <v>37152</v>
      </c>
      <c r="B31" s="104"/>
      <c r="C31" s="101"/>
      <c r="D31" s="101">
        <v>6465.8240000000005</v>
      </c>
      <c r="E31" s="55">
        <f t="shared" si="0"/>
        <v>6554.4057888000007</v>
      </c>
      <c r="F31" s="53">
        <f t="shared" si="1"/>
        <v>6173.433</v>
      </c>
      <c r="G31" s="29">
        <f t="shared" si="9"/>
        <v>375.74584213766468</v>
      </c>
      <c r="H31" s="12"/>
      <c r="I31" s="62">
        <f t="shared" si="24"/>
        <v>1135</v>
      </c>
      <c r="J31" s="53">
        <f t="shared" si="25"/>
        <v>0</v>
      </c>
      <c r="K31" s="53">
        <f t="shared" si="10"/>
        <v>0</v>
      </c>
      <c r="L31" s="55">
        <f t="shared" si="2"/>
        <v>6173.433</v>
      </c>
      <c r="M31" s="53">
        <f t="shared" si="11"/>
        <v>375.74584213766468</v>
      </c>
      <c r="N31" s="53">
        <f t="shared" si="28"/>
        <v>1500</v>
      </c>
      <c r="O31" s="53">
        <f t="shared" si="27"/>
        <v>90</v>
      </c>
      <c r="P31" s="55">
        <f t="shared" si="3"/>
        <v>4964.4057888000007</v>
      </c>
      <c r="Q31" s="55">
        <f t="shared" si="4"/>
        <v>3538.433</v>
      </c>
      <c r="R31" s="65">
        <f t="shared" si="5"/>
        <v>285.74584213766468</v>
      </c>
      <c r="S31" s="67">
        <f t="shared" si="12"/>
        <v>8633.7765199999994</v>
      </c>
      <c r="T31" s="69">
        <f t="shared" si="13"/>
        <v>774.37123219307125</v>
      </c>
      <c r="U31" s="67">
        <f t="shared" si="14"/>
        <v>0</v>
      </c>
      <c r="V31" s="67">
        <f t="shared" si="15"/>
        <v>548.625</v>
      </c>
      <c r="W31" s="67">
        <f t="shared" si="16"/>
        <v>424.5</v>
      </c>
      <c r="X31" s="67">
        <f t="shared" si="17"/>
        <v>2467.5</v>
      </c>
      <c r="Y31" s="67">
        <f t="shared" si="18"/>
        <v>1292.5</v>
      </c>
      <c r="Z31" s="67">
        <f t="shared" si="19"/>
        <v>282</v>
      </c>
      <c r="AA31" s="67">
        <f t="shared" si="20"/>
        <v>5015.125</v>
      </c>
      <c r="AB31" s="67">
        <f t="shared" si="6"/>
        <v>743.56976000000009</v>
      </c>
      <c r="AC31" s="13">
        <f t="shared" si="21"/>
        <v>15166.84251219307</v>
      </c>
      <c r="AD31"/>
      <c r="AE31" s="73">
        <f t="shared" si="7"/>
        <v>0</v>
      </c>
      <c r="AF31" s="15">
        <f t="shared" si="8"/>
        <v>0</v>
      </c>
      <c r="AG31"/>
      <c r="AH31" s="43">
        <f t="shared" si="22"/>
        <v>15166.84251219307</v>
      </c>
      <c r="AI31" s="103">
        <v>15209.641263092368</v>
      </c>
      <c r="AJ31" s="6">
        <f t="shared" si="23"/>
        <v>-42.798750899297374</v>
      </c>
      <c r="AM31"/>
    </row>
    <row r="32" spans="1:39" x14ac:dyDescent="0.2">
      <c r="A32" s="91">
        <f t="shared" si="26"/>
        <v>37153</v>
      </c>
      <c r="B32" s="104"/>
      <c r="C32" s="101"/>
      <c r="D32" s="101">
        <v>6435.3440000000001</v>
      </c>
      <c r="E32" s="55">
        <f t="shared" si="0"/>
        <v>6523.5082128000004</v>
      </c>
      <c r="F32" s="53">
        <f t="shared" si="1"/>
        <v>6173.433</v>
      </c>
      <c r="G32" s="29">
        <f t="shared" si="9"/>
        <v>345.27218088038438</v>
      </c>
      <c r="H32" s="12"/>
      <c r="I32" s="62">
        <f t="shared" si="24"/>
        <v>1135</v>
      </c>
      <c r="J32" s="53">
        <f t="shared" si="25"/>
        <v>0</v>
      </c>
      <c r="K32" s="53">
        <f t="shared" si="10"/>
        <v>0</v>
      </c>
      <c r="L32" s="55">
        <f t="shared" si="2"/>
        <v>6173.433</v>
      </c>
      <c r="M32" s="53">
        <f t="shared" si="11"/>
        <v>345.27218088038438</v>
      </c>
      <c r="N32" s="53">
        <f t="shared" si="28"/>
        <v>1500</v>
      </c>
      <c r="O32" s="53">
        <f t="shared" si="27"/>
        <v>90</v>
      </c>
      <c r="P32" s="55">
        <f t="shared" si="3"/>
        <v>4933.5082128000004</v>
      </c>
      <c r="Q32" s="55">
        <f t="shared" si="4"/>
        <v>3538.433</v>
      </c>
      <c r="R32" s="65">
        <f t="shared" si="5"/>
        <v>255.27218088038438</v>
      </c>
      <c r="S32" s="67">
        <f t="shared" si="12"/>
        <v>8633.7765199999994</v>
      </c>
      <c r="T32" s="69">
        <f t="shared" si="13"/>
        <v>691.78761018584169</v>
      </c>
      <c r="U32" s="67">
        <f t="shared" si="14"/>
        <v>0</v>
      </c>
      <c r="V32" s="67">
        <f t="shared" si="15"/>
        <v>548.625</v>
      </c>
      <c r="W32" s="67">
        <f t="shared" si="16"/>
        <v>424.5</v>
      </c>
      <c r="X32" s="67">
        <f t="shared" si="17"/>
        <v>2467.5</v>
      </c>
      <c r="Y32" s="67">
        <f t="shared" si="18"/>
        <v>1292.5</v>
      </c>
      <c r="Z32" s="67">
        <f t="shared" si="19"/>
        <v>282</v>
      </c>
      <c r="AA32" s="67">
        <f t="shared" si="20"/>
        <v>5015.125</v>
      </c>
      <c r="AB32" s="67">
        <f t="shared" si="6"/>
        <v>740.06456000000003</v>
      </c>
      <c r="AC32" s="13">
        <f t="shared" si="21"/>
        <v>15080.75369018584</v>
      </c>
      <c r="AD32"/>
      <c r="AE32" s="73">
        <f t="shared" si="7"/>
        <v>0</v>
      </c>
      <c r="AF32" s="15">
        <f t="shared" si="8"/>
        <v>0</v>
      </c>
      <c r="AG32"/>
      <c r="AH32" s="43">
        <f t="shared" si="22"/>
        <v>15080.75369018584</v>
      </c>
      <c r="AI32" s="103">
        <v>15191.731825030925</v>
      </c>
      <c r="AJ32" s="6">
        <f t="shared" si="23"/>
        <v>-110.97813484508515</v>
      </c>
      <c r="AM32"/>
    </row>
    <row r="33" spans="1:43" x14ac:dyDescent="0.2">
      <c r="A33" s="91">
        <f t="shared" si="26"/>
        <v>37154</v>
      </c>
      <c r="B33" s="104"/>
      <c r="C33" s="101"/>
      <c r="D33" s="101">
        <v>6340.8559999999998</v>
      </c>
      <c r="E33" s="55">
        <f t="shared" si="0"/>
        <v>6427.7257271999997</v>
      </c>
      <c r="F33" s="53">
        <f t="shared" si="1"/>
        <v>6173.433</v>
      </c>
      <c r="G33" s="29">
        <f t="shared" si="9"/>
        <v>250.80383098281573</v>
      </c>
      <c r="H33" s="12"/>
      <c r="I33" s="62">
        <f t="shared" si="24"/>
        <v>1135</v>
      </c>
      <c r="J33" s="53">
        <f t="shared" si="25"/>
        <v>0</v>
      </c>
      <c r="K33" s="53">
        <f t="shared" si="10"/>
        <v>0</v>
      </c>
      <c r="L33" s="55">
        <f t="shared" si="2"/>
        <v>6173.433</v>
      </c>
      <c r="M33" s="53">
        <f t="shared" si="11"/>
        <v>250.80383098281573</v>
      </c>
      <c r="N33" s="53">
        <f t="shared" si="28"/>
        <v>1500</v>
      </c>
      <c r="O33" s="53">
        <f t="shared" si="27"/>
        <v>90</v>
      </c>
      <c r="P33" s="55">
        <f t="shared" si="3"/>
        <v>4837.7257271999997</v>
      </c>
      <c r="Q33" s="55">
        <f t="shared" si="4"/>
        <v>3538.433</v>
      </c>
      <c r="R33" s="65">
        <f t="shared" si="5"/>
        <v>160.80383098281573</v>
      </c>
      <c r="S33" s="67">
        <f t="shared" si="12"/>
        <v>8633.7765199999994</v>
      </c>
      <c r="T33" s="69">
        <f t="shared" si="13"/>
        <v>435.7783819634306</v>
      </c>
      <c r="U33" s="67">
        <f t="shared" si="14"/>
        <v>0</v>
      </c>
      <c r="V33" s="67">
        <f t="shared" si="15"/>
        <v>548.625</v>
      </c>
      <c r="W33" s="67">
        <f t="shared" si="16"/>
        <v>424.5</v>
      </c>
      <c r="X33" s="67">
        <f t="shared" si="17"/>
        <v>2467.5</v>
      </c>
      <c r="Y33" s="67">
        <f t="shared" si="18"/>
        <v>1292.5</v>
      </c>
      <c r="Z33" s="67">
        <f t="shared" si="19"/>
        <v>282</v>
      </c>
      <c r="AA33" s="67">
        <f t="shared" si="20"/>
        <v>5015.125</v>
      </c>
      <c r="AB33" s="67">
        <f t="shared" si="6"/>
        <v>729.19844000000001</v>
      </c>
      <c r="AC33" s="13">
        <f t="shared" si="21"/>
        <v>14813.878341963431</v>
      </c>
      <c r="AD33"/>
      <c r="AE33" s="73">
        <f t="shared" si="7"/>
        <v>0</v>
      </c>
      <c r="AF33" s="15">
        <f t="shared" si="8"/>
        <v>0</v>
      </c>
      <c r="AG33"/>
      <c r="AH33" s="43">
        <f t="shared" si="22"/>
        <v>14813.878341963431</v>
      </c>
      <c r="AI33" s="103">
        <v>14905.632567040455</v>
      </c>
      <c r="AJ33" s="6">
        <f t="shared" si="23"/>
        <v>-91.754225077023875</v>
      </c>
      <c r="AM33"/>
    </row>
    <row r="34" spans="1:43" x14ac:dyDescent="0.2">
      <c r="A34" s="88">
        <f t="shared" si="26"/>
        <v>37155</v>
      </c>
      <c r="B34" s="104"/>
      <c r="C34" s="101"/>
      <c r="D34" s="101">
        <v>6586.7280000000001</v>
      </c>
      <c r="E34" s="55">
        <f t="shared" si="0"/>
        <v>6676.9661736000007</v>
      </c>
      <c r="F34" s="53">
        <f t="shared" si="1"/>
        <v>6173.433</v>
      </c>
      <c r="G34" s="29">
        <f t="shared" si="9"/>
        <v>496.62469845820874</v>
      </c>
      <c r="H34" s="12"/>
      <c r="I34" s="62">
        <f t="shared" si="24"/>
        <v>1135</v>
      </c>
      <c r="J34" s="53">
        <f t="shared" si="25"/>
        <v>0</v>
      </c>
      <c r="K34" s="53">
        <f t="shared" si="10"/>
        <v>0</v>
      </c>
      <c r="L34" s="55">
        <f t="shared" si="2"/>
        <v>6173.433</v>
      </c>
      <c r="M34" s="53">
        <f t="shared" si="11"/>
        <v>496.62469845820874</v>
      </c>
      <c r="N34" s="53">
        <f t="shared" si="28"/>
        <v>1500</v>
      </c>
      <c r="O34" s="53">
        <f t="shared" si="27"/>
        <v>90</v>
      </c>
      <c r="P34" s="55">
        <f t="shared" si="3"/>
        <v>5086.9661736000007</v>
      </c>
      <c r="Q34" s="55">
        <f t="shared" si="4"/>
        <v>3538.433</v>
      </c>
      <c r="R34" s="65">
        <f t="shared" si="5"/>
        <v>406.62469845820874</v>
      </c>
      <c r="S34" s="67">
        <f t="shared" si="12"/>
        <v>8633.7765199999994</v>
      </c>
      <c r="T34" s="69">
        <f t="shared" si="13"/>
        <v>1101.9529328217457</v>
      </c>
      <c r="U34" s="67">
        <f t="shared" si="14"/>
        <v>0</v>
      </c>
      <c r="V34" s="67">
        <f t="shared" si="15"/>
        <v>548.625</v>
      </c>
      <c r="W34" s="67">
        <f t="shared" si="16"/>
        <v>424.5</v>
      </c>
      <c r="X34" s="67">
        <f t="shared" si="17"/>
        <v>2467.5</v>
      </c>
      <c r="Y34" s="67">
        <f t="shared" si="18"/>
        <v>1292.5</v>
      </c>
      <c r="Z34" s="67">
        <f t="shared" si="19"/>
        <v>282</v>
      </c>
      <c r="AA34" s="67">
        <f t="shared" si="20"/>
        <v>5015.125</v>
      </c>
      <c r="AB34" s="67">
        <f t="shared" si="6"/>
        <v>757.47372000000007</v>
      </c>
      <c r="AC34" s="13">
        <f t="shared" si="21"/>
        <v>15508.328172821744</v>
      </c>
      <c r="AD34"/>
      <c r="AE34" s="73">
        <f t="shared" si="7"/>
        <v>0</v>
      </c>
      <c r="AF34" s="15">
        <f t="shared" si="8"/>
        <v>0</v>
      </c>
      <c r="AG34"/>
      <c r="AH34" s="43">
        <f t="shared" si="22"/>
        <v>15508.328172821744</v>
      </c>
      <c r="AI34" s="103">
        <v>15503.128700736084</v>
      </c>
      <c r="AJ34" s="6">
        <f t="shared" si="23"/>
        <v>5.1994720856600907</v>
      </c>
      <c r="AM34"/>
    </row>
    <row r="35" spans="1:43" x14ac:dyDescent="0.2">
      <c r="A35" s="88">
        <f t="shared" si="26"/>
        <v>37156</v>
      </c>
      <c r="B35" s="104"/>
      <c r="C35" s="101"/>
      <c r="D35" s="101">
        <v>6117.3360000000002</v>
      </c>
      <c r="E35" s="55">
        <f t="shared" si="0"/>
        <v>6201.1435032000009</v>
      </c>
      <c r="F35" s="53">
        <f t="shared" si="1"/>
        <v>6173.433</v>
      </c>
      <c r="G35" s="29">
        <f t="shared" si="9"/>
        <v>27.330315096096847</v>
      </c>
      <c r="H35" s="12"/>
      <c r="I35" s="62">
        <f t="shared" si="24"/>
        <v>1135</v>
      </c>
      <c r="J35" s="53">
        <f t="shared" si="25"/>
        <v>0</v>
      </c>
      <c r="K35" s="53">
        <f t="shared" si="10"/>
        <v>0</v>
      </c>
      <c r="L35" s="55">
        <f t="shared" si="2"/>
        <v>6173.433</v>
      </c>
      <c r="M35" s="53">
        <f t="shared" si="11"/>
        <v>70</v>
      </c>
      <c r="N35" s="53">
        <f t="shared" si="28"/>
        <v>1500</v>
      </c>
      <c r="O35" s="53">
        <f t="shared" si="27"/>
        <v>90</v>
      </c>
      <c r="P35" s="55">
        <f t="shared" si="3"/>
        <v>4611.1435032000009</v>
      </c>
      <c r="Q35" s="55">
        <f t="shared" si="4"/>
        <v>3538.433</v>
      </c>
      <c r="R35" s="65">
        <f t="shared" si="5"/>
        <v>-20</v>
      </c>
      <c r="S35" s="67">
        <f t="shared" si="12"/>
        <v>8633.7765199999994</v>
      </c>
      <c r="T35" s="69">
        <f t="shared" si="13"/>
        <v>-54.2</v>
      </c>
      <c r="U35" s="67">
        <f t="shared" si="14"/>
        <v>0</v>
      </c>
      <c r="V35" s="67">
        <f t="shared" si="15"/>
        <v>548.625</v>
      </c>
      <c r="W35" s="67">
        <f t="shared" si="16"/>
        <v>424.5</v>
      </c>
      <c r="X35" s="67">
        <f t="shared" si="17"/>
        <v>2467.5</v>
      </c>
      <c r="Y35" s="67">
        <f t="shared" si="18"/>
        <v>1292.5</v>
      </c>
      <c r="Z35" s="67">
        <f t="shared" si="19"/>
        <v>282</v>
      </c>
      <c r="AA35" s="67">
        <f t="shared" si="20"/>
        <v>5015.125</v>
      </c>
      <c r="AB35" s="67">
        <f t="shared" si="6"/>
        <v>703.49364000000003</v>
      </c>
      <c r="AC35" s="13">
        <f t="shared" si="21"/>
        <v>14298.195159999999</v>
      </c>
      <c r="AD35"/>
      <c r="AE35" s="73">
        <f t="shared" si="7"/>
        <v>0</v>
      </c>
      <c r="AF35" s="15">
        <f t="shared" si="8"/>
        <v>0</v>
      </c>
      <c r="AG35"/>
      <c r="AH35" s="43">
        <f t="shared" si="22"/>
        <v>14298.195159999999</v>
      </c>
      <c r="AI35" s="103">
        <v>14287.923354589882</v>
      </c>
      <c r="AJ35" s="6">
        <f t="shared" si="23"/>
        <v>10.27180541011694</v>
      </c>
      <c r="AM35"/>
    </row>
    <row r="36" spans="1:43" x14ac:dyDescent="0.2">
      <c r="A36" s="88">
        <f t="shared" si="26"/>
        <v>37157</v>
      </c>
      <c r="B36" s="104"/>
      <c r="C36" s="101"/>
      <c r="D36" s="101">
        <v>6201.6639999999998</v>
      </c>
      <c r="E36" s="55">
        <f t="shared" si="0"/>
        <v>6286.6267968000002</v>
      </c>
      <c r="F36" s="53">
        <f t="shared" si="1"/>
        <v>6173.433</v>
      </c>
      <c r="G36" s="29">
        <f t="shared" si="9"/>
        <v>111.64077790790421</v>
      </c>
      <c r="H36" s="12"/>
      <c r="I36" s="62">
        <f t="shared" si="24"/>
        <v>1135</v>
      </c>
      <c r="J36" s="53">
        <f t="shared" si="25"/>
        <v>0</v>
      </c>
      <c r="K36" s="53">
        <f t="shared" si="10"/>
        <v>0</v>
      </c>
      <c r="L36" s="55">
        <f t="shared" si="2"/>
        <v>6173.433</v>
      </c>
      <c r="M36" s="53">
        <f t="shared" si="11"/>
        <v>111.64077790790421</v>
      </c>
      <c r="N36" s="53">
        <f t="shared" si="28"/>
        <v>1500</v>
      </c>
      <c r="O36" s="53">
        <f t="shared" si="27"/>
        <v>90</v>
      </c>
      <c r="P36" s="55">
        <f t="shared" si="3"/>
        <v>4696.6267968000002</v>
      </c>
      <c r="Q36" s="55">
        <f t="shared" si="4"/>
        <v>3538.433</v>
      </c>
      <c r="R36" s="65">
        <f t="shared" si="5"/>
        <v>21.640777907904209</v>
      </c>
      <c r="S36" s="67">
        <f t="shared" si="12"/>
        <v>8633.7765199999994</v>
      </c>
      <c r="T36" s="69">
        <f t="shared" si="13"/>
        <v>58.646508130420408</v>
      </c>
      <c r="U36" s="67">
        <f t="shared" si="14"/>
        <v>0</v>
      </c>
      <c r="V36" s="67">
        <f t="shared" si="15"/>
        <v>548.625</v>
      </c>
      <c r="W36" s="67">
        <f t="shared" si="16"/>
        <v>424.5</v>
      </c>
      <c r="X36" s="67">
        <f t="shared" si="17"/>
        <v>2467.5</v>
      </c>
      <c r="Y36" s="67">
        <f t="shared" si="18"/>
        <v>1292.5</v>
      </c>
      <c r="Z36" s="67">
        <f t="shared" si="19"/>
        <v>282</v>
      </c>
      <c r="AA36" s="67">
        <f t="shared" si="20"/>
        <v>5015.125</v>
      </c>
      <c r="AB36" s="67">
        <f t="shared" si="6"/>
        <v>713.19136000000003</v>
      </c>
      <c r="AC36" s="13">
        <f t="shared" si="21"/>
        <v>14420.73938813042</v>
      </c>
      <c r="AD36"/>
      <c r="AE36" s="73">
        <f t="shared" si="7"/>
        <v>0</v>
      </c>
      <c r="AF36" s="15">
        <f t="shared" si="8"/>
        <v>0</v>
      </c>
      <c r="AG36"/>
      <c r="AH36" s="43">
        <f t="shared" si="22"/>
        <v>14420.73938813042</v>
      </c>
      <c r="AI36" s="103">
        <v>14506.239466559869</v>
      </c>
      <c r="AJ36" s="6">
        <f t="shared" si="23"/>
        <v>-85.500078429449786</v>
      </c>
      <c r="AM36"/>
    </row>
    <row r="37" spans="1:43" x14ac:dyDescent="0.2">
      <c r="A37" s="88">
        <f t="shared" si="26"/>
        <v>37158</v>
      </c>
      <c r="B37" s="104"/>
      <c r="C37" s="101"/>
      <c r="D37" s="101">
        <v>6638.5439999999999</v>
      </c>
      <c r="E37" s="55">
        <f t="shared" si="0"/>
        <v>6729.4920528000002</v>
      </c>
      <c r="F37" s="53">
        <f t="shared" si="1"/>
        <v>6173.433</v>
      </c>
      <c r="G37" s="29">
        <f t="shared" si="9"/>
        <v>548.42992259558423</v>
      </c>
      <c r="H37" s="12"/>
      <c r="I37" s="62">
        <f t="shared" si="24"/>
        <v>1135</v>
      </c>
      <c r="J37" s="53">
        <f t="shared" si="25"/>
        <v>0</v>
      </c>
      <c r="K37" s="53">
        <f t="shared" si="10"/>
        <v>0</v>
      </c>
      <c r="L37" s="55">
        <f t="shared" si="2"/>
        <v>6173.433</v>
      </c>
      <c r="M37" s="53">
        <f t="shared" si="11"/>
        <v>548.42992259558423</v>
      </c>
      <c r="N37" s="53">
        <f t="shared" si="28"/>
        <v>1500</v>
      </c>
      <c r="O37" s="53">
        <f t="shared" si="27"/>
        <v>90</v>
      </c>
      <c r="P37" s="55">
        <f t="shared" si="3"/>
        <v>5139.4920528000002</v>
      </c>
      <c r="Q37" s="55">
        <f t="shared" si="4"/>
        <v>3538.433</v>
      </c>
      <c r="R37" s="65">
        <f t="shared" si="5"/>
        <v>458.42992259558423</v>
      </c>
      <c r="S37" s="67">
        <f t="shared" si="12"/>
        <v>8633.7765199999994</v>
      </c>
      <c r="T37" s="69">
        <f t="shared" si="13"/>
        <v>1242.3450902340333</v>
      </c>
      <c r="U37" s="67">
        <f t="shared" si="14"/>
        <v>0</v>
      </c>
      <c r="V37" s="67">
        <f t="shared" si="15"/>
        <v>548.625</v>
      </c>
      <c r="W37" s="67">
        <f t="shared" si="16"/>
        <v>424.5</v>
      </c>
      <c r="X37" s="67">
        <f t="shared" si="17"/>
        <v>2467.5</v>
      </c>
      <c r="Y37" s="67">
        <f t="shared" si="18"/>
        <v>1292.5</v>
      </c>
      <c r="Z37" s="67">
        <f t="shared" si="19"/>
        <v>282</v>
      </c>
      <c r="AA37" s="67">
        <f t="shared" si="20"/>
        <v>5015.125</v>
      </c>
      <c r="AB37" s="67">
        <f t="shared" si="6"/>
        <v>763.43255999999997</v>
      </c>
      <c r="AC37" s="13">
        <f t="shared" si="21"/>
        <v>15654.679170234034</v>
      </c>
      <c r="AD37"/>
      <c r="AE37" s="73">
        <f t="shared" si="7"/>
        <v>0</v>
      </c>
      <c r="AF37" s="15">
        <f t="shared" si="8"/>
        <v>0</v>
      </c>
      <c r="AG37"/>
      <c r="AH37" s="43">
        <f t="shared" si="22"/>
        <v>15654.679170234034</v>
      </c>
      <c r="AI37" s="103">
        <v>15637.274745440534</v>
      </c>
      <c r="AJ37" s="6">
        <f t="shared" si="23"/>
        <v>17.404424793499857</v>
      </c>
      <c r="AM37"/>
    </row>
    <row r="38" spans="1:43" x14ac:dyDescent="0.2">
      <c r="A38" s="88">
        <f t="shared" si="26"/>
        <v>37159</v>
      </c>
      <c r="B38" s="104"/>
      <c r="C38" s="101"/>
      <c r="D38" s="101">
        <v>6252.4639999999999</v>
      </c>
      <c r="E38" s="55">
        <f t="shared" si="0"/>
        <v>6338.1227568000004</v>
      </c>
      <c r="F38" s="53">
        <f t="shared" si="1"/>
        <v>6173.433</v>
      </c>
      <c r="G38" s="29">
        <f t="shared" si="9"/>
        <v>162.43021333670438</v>
      </c>
      <c r="H38" s="12"/>
      <c r="I38" s="62">
        <f t="shared" si="24"/>
        <v>1135</v>
      </c>
      <c r="J38" s="53">
        <f t="shared" si="25"/>
        <v>0</v>
      </c>
      <c r="K38" s="53">
        <f t="shared" si="10"/>
        <v>0</v>
      </c>
      <c r="L38" s="55">
        <f t="shared" si="2"/>
        <v>6173.433</v>
      </c>
      <c r="M38" s="53">
        <f t="shared" si="11"/>
        <v>162.43021333670438</v>
      </c>
      <c r="N38" s="53">
        <f t="shared" si="28"/>
        <v>1500</v>
      </c>
      <c r="O38" s="53">
        <f t="shared" si="27"/>
        <v>90</v>
      </c>
      <c r="P38" s="55">
        <f t="shared" si="3"/>
        <v>4748.1227568000004</v>
      </c>
      <c r="Q38" s="55">
        <f t="shared" si="4"/>
        <v>3538.433</v>
      </c>
      <c r="R38" s="65">
        <f t="shared" si="5"/>
        <v>72.430213336704384</v>
      </c>
      <c r="S38" s="67">
        <f t="shared" si="12"/>
        <v>8633.7765199999994</v>
      </c>
      <c r="T38" s="69">
        <f t="shared" si="13"/>
        <v>196.28587814246887</v>
      </c>
      <c r="U38" s="67">
        <f t="shared" si="14"/>
        <v>0</v>
      </c>
      <c r="V38" s="67">
        <f t="shared" si="15"/>
        <v>548.625</v>
      </c>
      <c r="W38" s="67">
        <f t="shared" si="16"/>
        <v>424.5</v>
      </c>
      <c r="X38" s="67">
        <f t="shared" si="17"/>
        <v>2467.5</v>
      </c>
      <c r="Y38" s="67">
        <f t="shared" si="18"/>
        <v>1292.5</v>
      </c>
      <c r="Z38" s="67">
        <f t="shared" si="19"/>
        <v>282</v>
      </c>
      <c r="AA38" s="67">
        <f t="shared" si="20"/>
        <v>5015.125</v>
      </c>
      <c r="AB38" s="67">
        <f t="shared" si="6"/>
        <v>719.03336000000002</v>
      </c>
      <c r="AC38" s="13">
        <f t="shared" si="21"/>
        <v>14564.22075814247</v>
      </c>
      <c r="AD38"/>
      <c r="AE38" s="73">
        <f t="shared" si="7"/>
        <v>0</v>
      </c>
      <c r="AF38" s="15">
        <f t="shared" si="8"/>
        <v>0</v>
      </c>
      <c r="AG38"/>
      <c r="AH38" s="43">
        <f t="shared" si="22"/>
        <v>14564.22075814247</v>
      </c>
      <c r="AI38" s="103">
        <v>14637.755196662272</v>
      </c>
      <c r="AJ38" s="6">
        <f t="shared" si="23"/>
        <v>-73.534438519802279</v>
      </c>
      <c r="AM38"/>
    </row>
    <row r="39" spans="1:43" x14ac:dyDescent="0.2">
      <c r="A39" s="88">
        <f t="shared" si="26"/>
        <v>37160</v>
      </c>
      <c r="B39" s="104"/>
      <c r="C39" s="101"/>
      <c r="D39" s="101">
        <v>6296.152</v>
      </c>
      <c r="E39" s="55">
        <f t="shared" si="0"/>
        <v>6382.4092823999999</v>
      </c>
      <c r="F39" s="53">
        <f t="shared" si="1"/>
        <v>6173.433</v>
      </c>
      <c r="G39" s="29">
        <f t="shared" si="9"/>
        <v>206.10912780547196</v>
      </c>
      <c r="H39" s="12"/>
      <c r="I39" s="62">
        <f t="shared" si="24"/>
        <v>1135</v>
      </c>
      <c r="J39" s="53">
        <f t="shared" si="25"/>
        <v>0</v>
      </c>
      <c r="K39" s="53">
        <f t="shared" si="10"/>
        <v>0</v>
      </c>
      <c r="L39" s="55">
        <f t="shared" si="2"/>
        <v>6173.433</v>
      </c>
      <c r="M39" s="53">
        <f t="shared" si="11"/>
        <v>206.10912780547196</v>
      </c>
      <c r="N39" s="53">
        <f t="shared" si="28"/>
        <v>1500</v>
      </c>
      <c r="O39" s="53">
        <f t="shared" si="27"/>
        <v>90</v>
      </c>
      <c r="P39" s="55">
        <f t="shared" si="3"/>
        <v>4792.4092823999999</v>
      </c>
      <c r="Q39" s="55">
        <f t="shared" si="4"/>
        <v>3538.433</v>
      </c>
      <c r="R39" s="65">
        <f t="shared" si="5"/>
        <v>116.10912780547196</v>
      </c>
      <c r="S39" s="67">
        <f t="shared" si="12"/>
        <v>8633.7765199999994</v>
      </c>
      <c r="T39" s="69">
        <f t="shared" si="13"/>
        <v>314.65573635282902</v>
      </c>
      <c r="U39" s="67">
        <f t="shared" si="14"/>
        <v>0</v>
      </c>
      <c r="V39" s="67">
        <f t="shared" si="15"/>
        <v>548.625</v>
      </c>
      <c r="W39" s="67">
        <f t="shared" si="16"/>
        <v>424.5</v>
      </c>
      <c r="X39" s="67">
        <f t="shared" si="17"/>
        <v>2467.5</v>
      </c>
      <c r="Y39" s="67">
        <f t="shared" si="18"/>
        <v>1292.5</v>
      </c>
      <c r="Z39" s="67">
        <f t="shared" si="19"/>
        <v>282</v>
      </c>
      <c r="AA39" s="67">
        <f t="shared" si="20"/>
        <v>5015.125</v>
      </c>
      <c r="AB39" s="67">
        <f t="shared" si="6"/>
        <v>724.05748000000006</v>
      </c>
      <c r="AC39" s="13">
        <f t="shared" si="21"/>
        <v>14687.614736352827</v>
      </c>
      <c r="AD39"/>
      <c r="AE39" s="73">
        <f t="shared" si="7"/>
        <v>0</v>
      </c>
      <c r="AF39" s="15">
        <f t="shared" si="8"/>
        <v>0</v>
      </c>
      <c r="AG39"/>
      <c r="AH39" s="43">
        <f t="shared" si="22"/>
        <v>14687.614736352827</v>
      </c>
      <c r="AI39" s="103">
        <v>14870.41872455034</v>
      </c>
      <c r="AJ39" s="6">
        <f t="shared" si="23"/>
        <v>-182.80398819751281</v>
      </c>
      <c r="AM39"/>
    </row>
    <row r="40" spans="1:43" x14ac:dyDescent="0.2">
      <c r="A40" s="88">
        <f t="shared" si="26"/>
        <v>37161</v>
      </c>
      <c r="B40" s="104"/>
      <c r="C40" s="101"/>
      <c r="D40" s="101">
        <v>6371.3360000000002</v>
      </c>
      <c r="E40" s="55">
        <f t="shared" si="0"/>
        <v>6458.6233032000009</v>
      </c>
      <c r="F40" s="53">
        <f t="shared" si="1"/>
        <v>6173.433</v>
      </c>
      <c r="G40" s="29">
        <f t="shared" si="9"/>
        <v>281.27749224009693</v>
      </c>
      <c r="H40" s="12"/>
      <c r="I40" s="62">
        <f t="shared" si="24"/>
        <v>1135</v>
      </c>
      <c r="J40" s="53">
        <f t="shared" si="25"/>
        <v>0</v>
      </c>
      <c r="K40" s="53">
        <f t="shared" si="10"/>
        <v>0</v>
      </c>
      <c r="L40" s="55">
        <f t="shared" si="2"/>
        <v>6173.433</v>
      </c>
      <c r="M40" s="53">
        <f t="shared" si="11"/>
        <v>281.27749224009693</v>
      </c>
      <c r="N40" s="53">
        <f t="shared" si="28"/>
        <v>1500</v>
      </c>
      <c r="O40" s="53">
        <f t="shared" si="27"/>
        <v>90</v>
      </c>
      <c r="P40" s="55">
        <f t="shared" si="3"/>
        <v>4868.6233032000009</v>
      </c>
      <c r="Q40" s="55">
        <f t="shared" si="4"/>
        <v>3538.433</v>
      </c>
      <c r="R40" s="65">
        <f t="shared" si="5"/>
        <v>191.27749224009693</v>
      </c>
      <c r="S40" s="67">
        <f t="shared" si="12"/>
        <v>8633.7765199999994</v>
      </c>
      <c r="T40" s="69">
        <f t="shared" si="13"/>
        <v>518.36200397066273</v>
      </c>
      <c r="U40" s="67">
        <f t="shared" si="14"/>
        <v>0</v>
      </c>
      <c r="V40" s="67">
        <f t="shared" si="15"/>
        <v>548.625</v>
      </c>
      <c r="W40" s="67">
        <f t="shared" si="16"/>
        <v>424.5</v>
      </c>
      <c r="X40" s="67">
        <f t="shared" si="17"/>
        <v>2467.5</v>
      </c>
      <c r="Y40" s="67">
        <f t="shared" si="18"/>
        <v>1292.5</v>
      </c>
      <c r="Z40" s="67">
        <f t="shared" si="19"/>
        <v>282</v>
      </c>
      <c r="AA40" s="67">
        <f t="shared" si="20"/>
        <v>5015.125</v>
      </c>
      <c r="AB40" s="67">
        <f t="shared" si="6"/>
        <v>732.70364000000006</v>
      </c>
      <c r="AC40" s="13">
        <f t="shared" si="21"/>
        <v>14899.967163970661</v>
      </c>
      <c r="AD40"/>
      <c r="AE40" s="73">
        <f t="shared" si="7"/>
        <v>0</v>
      </c>
      <c r="AF40" s="15">
        <f t="shared" si="8"/>
        <v>0</v>
      </c>
      <c r="AG40"/>
      <c r="AH40" s="43">
        <f t="shared" si="22"/>
        <v>14899.967163970661</v>
      </c>
      <c r="AI40" s="103">
        <v>14996.742005101896</v>
      </c>
      <c r="AJ40" s="6">
        <f t="shared" si="23"/>
        <v>-96.774841131235007</v>
      </c>
      <c r="AM40"/>
    </row>
    <row r="41" spans="1:43" x14ac:dyDescent="0.2">
      <c r="A41" s="88">
        <f>A40+1</f>
        <v>37162</v>
      </c>
      <c r="B41" s="104"/>
      <c r="C41" s="101"/>
      <c r="D41" s="101">
        <v>6972.808</v>
      </c>
      <c r="E41" s="55">
        <f t="shared" si="0"/>
        <v>7068.3354696000006</v>
      </c>
      <c r="F41" s="53">
        <f t="shared" si="1"/>
        <v>6173.433</v>
      </c>
      <c r="G41" s="29">
        <f t="shared" si="9"/>
        <v>882.62440771708862</v>
      </c>
      <c r="H41" s="12"/>
      <c r="I41" s="62">
        <f t="shared" si="24"/>
        <v>1135</v>
      </c>
      <c r="J41" s="53">
        <f t="shared" si="25"/>
        <v>0</v>
      </c>
      <c r="K41" s="53">
        <f t="shared" si="10"/>
        <v>0</v>
      </c>
      <c r="L41" s="55">
        <f t="shared" si="2"/>
        <v>6173.433</v>
      </c>
      <c r="M41" s="53">
        <f t="shared" si="11"/>
        <v>882.62440771708862</v>
      </c>
      <c r="N41" s="53">
        <f t="shared" si="28"/>
        <v>1500</v>
      </c>
      <c r="O41" s="53">
        <f t="shared" si="27"/>
        <v>90</v>
      </c>
      <c r="P41" s="55">
        <f t="shared" si="3"/>
        <v>5478.3354696000006</v>
      </c>
      <c r="Q41" s="55">
        <f t="shared" si="4"/>
        <v>3538.433</v>
      </c>
      <c r="R41" s="65">
        <f t="shared" si="5"/>
        <v>792.62440771708862</v>
      </c>
      <c r="S41" s="67">
        <f t="shared" si="12"/>
        <v>8633.7765199999994</v>
      </c>
      <c r="T41" s="69">
        <f t="shared" si="13"/>
        <v>2148.0121449133103</v>
      </c>
      <c r="U41" s="67">
        <f t="shared" si="14"/>
        <v>0</v>
      </c>
      <c r="V41" s="67">
        <f t="shared" si="15"/>
        <v>548.625</v>
      </c>
      <c r="W41" s="67">
        <f t="shared" si="16"/>
        <v>424.5</v>
      </c>
      <c r="X41" s="67">
        <f t="shared" si="17"/>
        <v>2467.5</v>
      </c>
      <c r="Y41" s="67">
        <f t="shared" si="18"/>
        <v>1292.5</v>
      </c>
      <c r="Z41" s="67">
        <f t="shared" si="19"/>
        <v>282</v>
      </c>
      <c r="AA41" s="67">
        <f t="shared" si="20"/>
        <v>5015.125</v>
      </c>
      <c r="AB41" s="67">
        <f t="shared" si="6"/>
        <v>801.87292000000002</v>
      </c>
      <c r="AC41" s="13">
        <f t="shared" si="21"/>
        <v>16598.786584913309</v>
      </c>
      <c r="AD41"/>
      <c r="AE41" s="73">
        <f t="shared" si="7"/>
        <v>0</v>
      </c>
      <c r="AF41" s="15">
        <f t="shared" si="8"/>
        <v>0</v>
      </c>
      <c r="AG41"/>
      <c r="AH41" s="43">
        <f t="shared" si="22"/>
        <v>16598.786584913309</v>
      </c>
      <c r="AI41" s="103">
        <v>16502.648249514346</v>
      </c>
      <c r="AJ41" s="6">
        <f t="shared" si="23"/>
        <v>96.138335398962226</v>
      </c>
      <c r="AM41"/>
    </row>
    <row r="42" spans="1:43" x14ac:dyDescent="0.2">
      <c r="A42" s="88">
        <f>A41+1</f>
        <v>37163</v>
      </c>
      <c r="B42" s="104"/>
      <c r="C42" s="101"/>
      <c r="D42" s="101">
        <v>6299.2</v>
      </c>
      <c r="E42" s="55">
        <f t="shared" si="0"/>
        <v>6385.4990399999997</v>
      </c>
      <c r="F42" s="53">
        <f t="shared" si="1"/>
        <v>6173.433</v>
      </c>
      <c r="G42" s="29">
        <f t="shared" si="9"/>
        <v>209.15649393119972</v>
      </c>
      <c r="H42" s="12"/>
      <c r="I42" s="62">
        <f t="shared" si="24"/>
        <v>1135</v>
      </c>
      <c r="J42" s="53">
        <f t="shared" si="25"/>
        <v>0</v>
      </c>
      <c r="K42" s="53">
        <f t="shared" si="10"/>
        <v>0</v>
      </c>
      <c r="L42" s="55">
        <f t="shared" si="2"/>
        <v>6173.433</v>
      </c>
      <c r="M42" s="53">
        <f t="shared" si="11"/>
        <v>209.15649393119972</v>
      </c>
      <c r="N42" s="53">
        <f t="shared" si="28"/>
        <v>1500</v>
      </c>
      <c r="O42" s="53">
        <f t="shared" si="27"/>
        <v>90</v>
      </c>
      <c r="P42" s="55">
        <f t="shared" si="3"/>
        <v>4795.4990399999997</v>
      </c>
      <c r="Q42" s="55">
        <f t="shared" si="4"/>
        <v>3538.433</v>
      </c>
      <c r="R42" s="65">
        <f t="shared" si="5"/>
        <v>119.15649393119972</v>
      </c>
      <c r="S42" s="67">
        <f t="shared" si="12"/>
        <v>8633.7765199999994</v>
      </c>
      <c r="T42" s="69">
        <f t="shared" si="13"/>
        <v>322.91409855355124</v>
      </c>
      <c r="U42" s="67">
        <f t="shared" si="14"/>
        <v>0</v>
      </c>
      <c r="V42" s="67">
        <f t="shared" si="15"/>
        <v>548.625</v>
      </c>
      <c r="W42" s="67">
        <f t="shared" si="16"/>
        <v>424.5</v>
      </c>
      <c r="X42" s="67">
        <f t="shared" si="17"/>
        <v>2467.5</v>
      </c>
      <c r="Y42" s="67">
        <f t="shared" si="18"/>
        <v>1292.5</v>
      </c>
      <c r="Z42" s="67">
        <f t="shared" si="19"/>
        <v>282</v>
      </c>
      <c r="AA42" s="67">
        <f t="shared" si="20"/>
        <v>5015.125</v>
      </c>
      <c r="AB42" s="67">
        <f t="shared" si="6"/>
        <v>724.40800000000002</v>
      </c>
      <c r="AC42" s="13">
        <f t="shared" si="21"/>
        <v>14696.223618553549</v>
      </c>
      <c r="AD42"/>
      <c r="AE42" s="73">
        <f t="shared" si="7"/>
        <v>0</v>
      </c>
      <c r="AF42" s="15">
        <f t="shared" si="8"/>
        <v>0</v>
      </c>
      <c r="AG42"/>
      <c r="AH42" s="43">
        <f t="shared" si="22"/>
        <v>14696.223618553549</v>
      </c>
      <c r="AI42" s="103">
        <v>14758.749668356484</v>
      </c>
      <c r="AJ42" s="6">
        <f t="shared" si="23"/>
        <v>-62.526049802934722</v>
      </c>
      <c r="AM42"/>
    </row>
    <row r="43" spans="1:43" x14ac:dyDescent="0.2">
      <c r="A43" s="88">
        <f>A42+1</f>
        <v>37164</v>
      </c>
      <c r="B43" s="104"/>
      <c r="C43" s="101"/>
      <c r="D43" s="101">
        <v>5543.2960000000003</v>
      </c>
      <c r="E43" s="55">
        <f t="shared" si="0"/>
        <v>5619.2391552000008</v>
      </c>
      <c r="F43" s="53">
        <f t="shared" si="1"/>
        <v>5619.2391552000008</v>
      </c>
      <c r="G43" s="29">
        <f t="shared" si="9"/>
        <v>0</v>
      </c>
      <c r="H43" s="12"/>
      <c r="I43" s="62">
        <f t="shared" si="24"/>
        <v>1135</v>
      </c>
      <c r="J43" s="53">
        <f t="shared" si="25"/>
        <v>0</v>
      </c>
      <c r="K43" s="53">
        <f t="shared" si="10"/>
        <v>0</v>
      </c>
      <c r="L43" s="55">
        <f t="shared" si="2"/>
        <v>5619.2391552000008</v>
      </c>
      <c r="M43" s="53">
        <f t="shared" si="11"/>
        <v>70</v>
      </c>
      <c r="N43" s="53">
        <f t="shared" si="28"/>
        <v>1500</v>
      </c>
      <c r="O43" s="53">
        <f t="shared" si="27"/>
        <v>90</v>
      </c>
      <c r="P43" s="55">
        <f t="shared" si="3"/>
        <v>4029.2391552000008</v>
      </c>
      <c r="Q43" s="55">
        <f t="shared" si="4"/>
        <v>2984.2391552000008</v>
      </c>
      <c r="R43" s="65">
        <f t="shared" si="5"/>
        <v>-20</v>
      </c>
      <c r="S43" s="67">
        <f t="shared" si="12"/>
        <v>7281.5435386880017</v>
      </c>
      <c r="T43" s="69">
        <f t="shared" si="13"/>
        <v>-54.2</v>
      </c>
      <c r="U43" s="67">
        <f t="shared" si="14"/>
        <v>0</v>
      </c>
      <c r="V43" s="67">
        <f t="shared" si="15"/>
        <v>548.625</v>
      </c>
      <c r="W43" s="67">
        <f t="shared" si="16"/>
        <v>424.5</v>
      </c>
      <c r="X43" s="67">
        <f t="shared" si="17"/>
        <v>2467.5</v>
      </c>
      <c r="Y43" s="67">
        <f t="shared" si="18"/>
        <v>1292.5</v>
      </c>
      <c r="Z43" s="67">
        <f t="shared" si="19"/>
        <v>282</v>
      </c>
      <c r="AA43" s="67">
        <f t="shared" si="20"/>
        <v>5015.125</v>
      </c>
      <c r="AB43" s="67">
        <f t="shared" si="6"/>
        <v>637.47904000000005</v>
      </c>
      <c r="AC43" s="13">
        <f t="shared" si="21"/>
        <v>12879.947578688001</v>
      </c>
      <c r="AD43"/>
      <c r="AE43" s="73">
        <f t="shared" si="7"/>
        <v>554.19384479999917</v>
      </c>
      <c r="AF43" s="15">
        <f t="shared" si="8"/>
        <v>24.384529171199961</v>
      </c>
      <c r="AG43"/>
      <c r="AH43" s="80">
        <f t="shared" si="22"/>
        <v>12855.563049516801</v>
      </c>
      <c r="AI43" s="103">
        <v>12801.795604432729</v>
      </c>
      <c r="AJ43" s="6">
        <f t="shared" si="23"/>
        <v>53.767445084071369</v>
      </c>
      <c r="AM43"/>
    </row>
    <row r="44" spans="1:43" ht="13.5" thickBot="1" x14ac:dyDescent="0.25">
      <c r="A44" s="89"/>
      <c r="B44" s="5"/>
      <c r="C44" s="102"/>
      <c r="D44" s="102"/>
      <c r="E44" s="56">
        <f t="shared" si="0"/>
        <v>0</v>
      </c>
      <c r="F44" s="54">
        <f t="shared" si="1"/>
        <v>0</v>
      </c>
      <c r="G44" s="30">
        <f>IF(F44=E44,0,((E44-F44)*(1-0.01372)))</f>
        <v>0</v>
      </c>
      <c r="H44" s="12"/>
      <c r="I44" s="63">
        <f t="shared" si="24"/>
        <v>1135</v>
      </c>
      <c r="J44" s="54"/>
      <c r="K44" s="54">
        <f t="shared" si="10"/>
        <v>0</v>
      </c>
      <c r="L44" s="56">
        <f t="shared" si="2"/>
        <v>0</v>
      </c>
      <c r="M44" s="54"/>
      <c r="N44" s="54"/>
      <c r="O44" s="54"/>
      <c r="P44" s="56">
        <f t="shared" si="3"/>
        <v>0</v>
      </c>
      <c r="Q44" s="56">
        <f t="shared" si="4"/>
        <v>-1135</v>
      </c>
      <c r="R44" s="66">
        <f t="shared" si="5"/>
        <v>0</v>
      </c>
      <c r="S44" s="68">
        <f t="shared" si="12"/>
        <v>-2769.4</v>
      </c>
      <c r="T44" s="70">
        <f t="shared" si="13"/>
        <v>0</v>
      </c>
      <c r="U44" s="68">
        <f t="shared" si="14"/>
        <v>0</v>
      </c>
      <c r="V44" s="67"/>
      <c r="W44" s="67"/>
      <c r="X44" s="67"/>
      <c r="Y44" s="67"/>
      <c r="Z44" s="67">
        <f t="shared" si="19"/>
        <v>282</v>
      </c>
      <c r="AA44" s="67">
        <f t="shared" si="20"/>
        <v>282</v>
      </c>
      <c r="AB44" s="68">
        <f t="shared" si="6"/>
        <v>0</v>
      </c>
      <c r="AC44" s="14"/>
      <c r="AD44"/>
      <c r="AE44" s="74"/>
      <c r="AF44" s="16">
        <f t="shared" si="8"/>
        <v>0</v>
      </c>
      <c r="AG44"/>
      <c r="AH44" s="81">
        <f t="shared" si="22"/>
        <v>0</v>
      </c>
      <c r="AI44" s="7"/>
      <c r="AJ44" s="6"/>
      <c r="AM44"/>
    </row>
    <row r="45" spans="1:43" ht="16.5" thickBot="1" x14ac:dyDescent="0.3">
      <c r="A45" s="9"/>
      <c r="B45" s="48" t="s">
        <v>28</v>
      </c>
      <c r="C45" s="45"/>
      <c r="D45" s="47">
        <f t="shared" ref="D45:AH45" si="29">SUM(D14:D44)</f>
        <v>182250.08000000002</v>
      </c>
      <c r="E45" s="47">
        <f t="shared" si="29"/>
        <v>184746.90609600002</v>
      </c>
      <c r="F45" s="47">
        <f t="shared" si="29"/>
        <v>179790.33479519997</v>
      </c>
      <c r="G45" s="46">
        <f t="shared" si="29"/>
        <v>4888.567142553029</v>
      </c>
      <c r="H45" s="28"/>
      <c r="I45" s="45">
        <f t="shared" si="29"/>
        <v>35185</v>
      </c>
      <c r="J45" s="75">
        <f t="shared" si="29"/>
        <v>0</v>
      </c>
      <c r="K45" s="75">
        <f t="shared" si="29"/>
        <v>0</v>
      </c>
      <c r="L45" s="47">
        <f t="shared" si="29"/>
        <v>179790.33479519997</v>
      </c>
      <c r="M45" s="47">
        <f t="shared" si="29"/>
        <v>5981.2368274569326</v>
      </c>
      <c r="N45" s="47">
        <f t="shared" si="29"/>
        <v>45000</v>
      </c>
      <c r="O45" s="47">
        <f t="shared" si="29"/>
        <v>2700</v>
      </c>
      <c r="P45" s="47">
        <f t="shared" si="29"/>
        <v>137046.90609599999</v>
      </c>
      <c r="Q45" s="47">
        <f t="shared" si="29"/>
        <v>99605.334795200033</v>
      </c>
      <c r="R45" s="49">
        <f t="shared" si="29"/>
        <v>3281.236827456933</v>
      </c>
      <c r="S45" s="76">
        <f t="shared" si="29"/>
        <v>243037.01690028817</v>
      </c>
      <c r="T45" s="76">
        <f t="shared" si="29"/>
        <v>8892.1518024082889</v>
      </c>
      <c r="U45" s="76">
        <f t="shared" si="29"/>
        <v>0</v>
      </c>
      <c r="V45" s="76">
        <f>SUM(V14:V44)</f>
        <v>16458.75</v>
      </c>
      <c r="W45" s="76">
        <f>SUM(W14:W44)</f>
        <v>12735</v>
      </c>
      <c r="X45" s="76">
        <f>SUM(X14:X44)</f>
        <v>74025</v>
      </c>
      <c r="Y45" s="76">
        <f>SUM(Y14:Y44)</f>
        <v>38775</v>
      </c>
      <c r="Z45" s="76">
        <f>SUM(Z14:Z44)</f>
        <v>8742</v>
      </c>
      <c r="AA45" s="77">
        <f t="shared" si="29"/>
        <v>150735.75</v>
      </c>
      <c r="AB45" s="76">
        <f t="shared" si="29"/>
        <v>20958.759200000004</v>
      </c>
      <c r="AC45" s="79">
        <f t="shared" si="29"/>
        <v>426111.07790269621</v>
      </c>
      <c r="AD45" s="28"/>
      <c r="AE45" s="45">
        <f t="shared" si="29"/>
        <v>5412.6552047999949</v>
      </c>
      <c r="AF45" s="78">
        <f t="shared" si="29"/>
        <v>238.15682901119976</v>
      </c>
      <c r="AG45" s="28"/>
      <c r="AH45" s="82">
        <f t="shared" si="29"/>
        <v>425872.92107368505</v>
      </c>
      <c r="AJ45" s="6"/>
      <c r="AM45"/>
    </row>
    <row r="46" spans="1:43" x14ac:dyDescent="0.2">
      <c r="AP46" s="90"/>
      <c r="AQ46" s="6"/>
    </row>
  </sheetData>
  <mergeCells count="1">
    <mergeCell ref="F3:G3"/>
  </mergeCells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mbronst2</dc:creator>
  <cp:lastModifiedBy>Jan Havlíček</cp:lastModifiedBy>
  <cp:lastPrinted>2001-10-31T19:20:25Z</cp:lastPrinted>
  <dcterms:created xsi:type="dcterms:W3CDTF">2001-10-02T19:56:17Z</dcterms:created>
  <dcterms:modified xsi:type="dcterms:W3CDTF">2023-09-17T13:54:15Z</dcterms:modified>
</cp:coreProperties>
</file>