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2C6708-2897-41C8-BD48-4FBB18522EA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" r:id="rId1"/>
    <sheet name="Sheet2" sheetId="7" r:id="rId2"/>
    <sheet name="Sheet3" sheetId="8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A16" i="4"/>
  <c r="C16" i="4"/>
  <c r="E16" i="4"/>
  <c r="G16" i="4"/>
  <c r="H16" i="4"/>
  <c r="I16" i="4"/>
  <c r="J16" i="4"/>
  <c r="K16" i="4"/>
  <c r="L16" i="4"/>
  <c r="M16" i="4"/>
  <c r="N16" i="4"/>
  <c r="O16" i="4"/>
  <c r="P16" i="4"/>
  <c r="S16" i="4"/>
  <c r="T16" i="4"/>
  <c r="U16" i="4"/>
  <c r="V16" i="4"/>
  <c r="W16" i="4"/>
  <c r="X16" i="4"/>
  <c r="Z16" i="4"/>
  <c r="AA16" i="4"/>
  <c r="AC16" i="4"/>
  <c r="A17" i="4"/>
  <c r="C17" i="4"/>
  <c r="E17" i="4"/>
  <c r="G17" i="4"/>
  <c r="H17" i="4"/>
  <c r="I17" i="4"/>
  <c r="J17" i="4"/>
  <c r="K17" i="4"/>
  <c r="L17" i="4"/>
  <c r="M17" i="4"/>
  <c r="N17" i="4"/>
  <c r="O17" i="4"/>
  <c r="P17" i="4"/>
  <c r="S17" i="4"/>
  <c r="T17" i="4"/>
  <c r="U17" i="4"/>
  <c r="V17" i="4"/>
  <c r="W17" i="4"/>
  <c r="X17" i="4"/>
  <c r="Z17" i="4"/>
  <c r="AA17" i="4"/>
  <c r="AC17" i="4"/>
  <c r="A18" i="4"/>
  <c r="C18" i="4"/>
  <c r="E18" i="4"/>
  <c r="G18" i="4"/>
  <c r="H18" i="4"/>
  <c r="I18" i="4"/>
  <c r="J18" i="4"/>
  <c r="K18" i="4"/>
  <c r="L18" i="4"/>
  <c r="M18" i="4"/>
  <c r="N18" i="4"/>
  <c r="O18" i="4"/>
  <c r="P18" i="4"/>
  <c r="S18" i="4"/>
  <c r="T18" i="4"/>
  <c r="U18" i="4"/>
  <c r="V18" i="4"/>
  <c r="W18" i="4"/>
  <c r="X18" i="4"/>
  <c r="Z18" i="4"/>
  <c r="AA18" i="4"/>
  <c r="AC18" i="4"/>
  <c r="A19" i="4"/>
  <c r="C19" i="4"/>
  <c r="E19" i="4"/>
  <c r="G19" i="4"/>
  <c r="H19" i="4"/>
  <c r="I19" i="4"/>
  <c r="J19" i="4"/>
  <c r="K19" i="4"/>
  <c r="L19" i="4"/>
  <c r="M19" i="4"/>
  <c r="N19" i="4"/>
  <c r="O19" i="4"/>
  <c r="P19" i="4"/>
  <c r="S19" i="4"/>
  <c r="T19" i="4"/>
  <c r="U19" i="4"/>
  <c r="V19" i="4"/>
  <c r="W19" i="4"/>
  <c r="X19" i="4"/>
  <c r="Z19" i="4"/>
  <c r="AA19" i="4"/>
  <c r="AC19" i="4"/>
  <c r="A20" i="4"/>
  <c r="C20" i="4"/>
  <c r="E20" i="4"/>
  <c r="G20" i="4"/>
  <c r="H20" i="4"/>
  <c r="I20" i="4"/>
  <c r="J20" i="4"/>
  <c r="K20" i="4"/>
  <c r="L20" i="4"/>
  <c r="M20" i="4"/>
  <c r="N20" i="4"/>
  <c r="O20" i="4"/>
  <c r="P20" i="4"/>
  <c r="S20" i="4"/>
  <c r="T20" i="4"/>
  <c r="U20" i="4"/>
  <c r="V20" i="4"/>
  <c r="W20" i="4"/>
  <c r="X20" i="4"/>
  <c r="Z20" i="4"/>
  <c r="AA20" i="4"/>
  <c r="AC20" i="4"/>
  <c r="A21" i="4"/>
  <c r="C21" i="4"/>
  <c r="E21" i="4"/>
  <c r="G21" i="4"/>
  <c r="H21" i="4"/>
  <c r="I21" i="4"/>
  <c r="J21" i="4"/>
  <c r="K21" i="4"/>
  <c r="L21" i="4"/>
  <c r="M21" i="4"/>
  <c r="N21" i="4"/>
  <c r="O21" i="4"/>
  <c r="P21" i="4"/>
  <c r="S21" i="4"/>
  <c r="T21" i="4"/>
  <c r="U21" i="4"/>
  <c r="V21" i="4"/>
  <c r="W21" i="4"/>
  <c r="X21" i="4"/>
  <c r="Z21" i="4"/>
  <c r="AA21" i="4"/>
  <c r="AC21" i="4"/>
  <c r="A22" i="4"/>
  <c r="C22" i="4"/>
  <c r="E22" i="4"/>
  <c r="G22" i="4"/>
  <c r="H22" i="4"/>
  <c r="I22" i="4"/>
  <c r="J22" i="4"/>
  <c r="K22" i="4"/>
  <c r="L22" i="4"/>
  <c r="M22" i="4"/>
  <c r="N22" i="4"/>
  <c r="O22" i="4"/>
  <c r="P22" i="4"/>
  <c r="S22" i="4"/>
  <c r="T22" i="4"/>
  <c r="U22" i="4"/>
  <c r="V22" i="4"/>
  <c r="W22" i="4"/>
  <c r="X22" i="4"/>
  <c r="Z22" i="4"/>
  <c r="AA22" i="4"/>
  <c r="AC22" i="4"/>
  <c r="A23" i="4"/>
  <c r="C23" i="4"/>
  <c r="E23" i="4"/>
  <c r="G23" i="4"/>
  <c r="H23" i="4"/>
  <c r="I23" i="4"/>
  <c r="J23" i="4"/>
  <c r="K23" i="4"/>
  <c r="L23" i="4"/>
  <c r="M23" i="4"/>
  <c r="N23" i="4"/>
  <c r="O23" i="4"/>
  <c r="P23" i="4"/>
  <c r="S23" i="4"/>
  <c r="T23" i="4"/>
  <c r="U23" i="4"/>
  <c r="V23" i="4"/>
  <c r="W23" i="4"/>
  <c r="X23" i="4"/>
  <c r="Z23" i="4"/>
  <c r="AA23" i="4"/>
  <c r="AC23" i="4"/>
  <c r="A24" i="4"/>
  <c r="C24" i="4"/>
  <c r="E24" i="4"/>
  <c r="G24" i="4"/>
  <c r="H24" i="4"/>
  <c r="I24" i="4"/>
  <c r="J24" i="4"/>
  <c r="K24" i="4"/>
  <c r="L24" i="4"/>
  <c r="M24" i="4"/>
  <c r="N24" i="4"/>
  <c r="O24" i="4"/>
  <c r="P24" i="4"/>
  <c r="S24" i="4"/>
  <c r="T24" i="4"/>
  <c r="U24" i="4"/>
  <c r="V24" i="4"/>
  <c r="W24" i="4"/>
  <c r="X24" i="4"/>
  <c r="Z24" i="4"/>
  <c r="AA24" i="4"/>
  <c r="AC24" i="4"/>
  <c r="A25" i="4"/>
  <c r="C25" i="4"/>
  <c r="E25" i="4"/>
  <c r="G25" i="4"/>
  <c r="H25" i="4"/>
  <c r="I25" i="4"/>
  <c r="J25" i="4"/>
  <c r="K25" i="4"/>
  <c r="L25" i="4"/>
  <c r="M25" i="4"/>
  <c r="N25" i="4"/>
  <c r="O25" i="4"/>
  <c r="P25" i="4"/>
  <c r="S25" i="4"/>
  <c r="T25" i="4"/>
  <c r="U25" i="4"/>
  <c r="V25" i="4"/>
  <c r="W25" i="4"/>
  <c r="X25" i="4"/>
  <c r="Z25" i="4"/>
  <c r="AA25" i="4"/>
  <c r="AC25" i="4"/>
  <c r="A26" i="4"/>
  <c r="C26" i="4"/>
  <c r="E26" i="4"/>
  <c r="G26" i="4"/>
  <c r="H26" i="4"/>
  <c r="I26" i="4"/>
  <c r="J26" i="4"/>
  <c r="K26" i="4"/>
  <c r="L26" i="4"/>
  <c r="M26" i="4"/>
  <c r="N26" i="4"/>
  <c r="O26" i="4"/>
  <c r="P26" i="4"/>
  <c r="S26" i="4"/>
  <c r="T26" i="4"/>
  <c r="U26" i="4"/>
  <c r="V26" i="4"/>
  <c r="W26" i="4"/>
  <c r="X26" i="4"/>
  <c r="Z26" i="4"/>
  <c r="AA26" i="4"/>
  <c r="AC26" i="4"/>
  <c r="A27" i="4"/>
  <c r="C27" i="4"/>
  <c r="E27" i="4"/>
  <c r="G27" i="4"/>
  <c r="H27" i="4"/>
  <c r="I27" i="4"/>
  <c r="J27" i="4"/>
  <c r="K27" i="4"/>
  <c r="L27" i="4"/>
  <c r="M27" i="4"/>
  <c r="N27" i="4"/>
  <c r="O27" i="4"/>
  <c r="P27" i="4"/>
  <c r="S27" i="4"/>
  <c r="T27" i="4"/>
  <c r="U27" i="4"/>
  <c r="V27" i="4"/>
  <c r="W27" i="4"/>
  <c r="X27" i="4"/>
  <c r="Z27" i="4"/>
  <c r="AA27" i="4"/>
  <c r="AC27" i="4"/>
  <c r="A28" i="4"/>
  <c r="C28" i="4"/>
  <c r="E28" i="4"/>
  <c r="G28" i="4"/>
  <c r="H28" i="4"/>
  <c r="I28" i="4"/>
  <c r="J28" i="4"/>
  <c r="K28" i="4"/>
  <c r="L28" i="4"/>
  <c r="M28" i="4"/>
  <c r="N28" i="4"/>
  <c r="O28" i="4"/>
  <c r="P28" i="4"/>
  <c r="S28" i="4"/>
  <c r="T28" i="4"/>
  <c r="U28" i="4"/>
  <c r="V28" i="4"/>
  <c r="W28" i="4"/>
  <c r="X28" i="4"/>
  <c r="Z28" i="4"/>
  <c r="AA28" i="4"/>
  <c r="AC28" i="4"/>
  <c r="A29" i="4"/>
  <c r="C29" i="4"/>
  <c r="E29" i="4"/>
  <c r="G29" i="4"/>
  <c r="H29" i="4"/>
  <c r="I29" i="4"/>
  <c r="J29" i="4"/>
  <c r="K29" i="4"/>
  <c r="L29" i="4"/>
  <c r="M29" i="4"/>
  <c r="N29" i="4"/>
  <c r="O29" i="4"/>
  <c r="P29" i="4"/>
  <c r="S29" i="4"/>
  <c r="T29" i="4"/>
  <c r="U29" i="4"/>
  <c r="V29" i="4"/>
  <c r="W29" i="4"/>
  <c r="X29" i="4"/>
  <c r="Z29" i="4"/>
  <c r="AA29" i="4"/>
  <c r="AC29" i="4"/>
  <c r="A30" i="4"/>
  <c r="C30" i="4"/>
  <c r="E30" i="4"/>
  <c r="G30" i="4"/>
  <c r="H30" i="4"/>
  <c r="I30" i="4"/>
  <c r="J30" i="4"/>
  <c r="K30" i="4"/>
  <c r="L30" i="4"/>
  <c r="M30" i="4"/>
  <c r="N30" i="4"/>
  <c r="O30" i="4"/>
  <c r="P30" i="4"/>
  <c r="S30" i="4"/>
  <c r="T30" i="4"/>
  <c r="U30" i="4"/>
  <c r="V30" i="4"/>
  <c r="W30" i="4"/>
  <c r="X30" i="4"/>
  <c r="Z30" i="4"/>
  <c r="AA30" i="4"/>
  <c r="AC30" i="4"/>
  <c r="A31" i="4"/>
  <c r="C31" i="4"/>
  <c r="E31" i="4"/>
  <c r="G31" i="4"/>
  <c r="H31" i="4"/>
  <c r="I31" i="4"/>
  <c r="J31" i="4"/>
  <c r="K31" i="4"/>
  <c r="L31" i="4"/>
  <c r="M31" i="4"/>
  <c r="N31" i="4"/>
  <c r="O31" i="4"/>
  <c r="P31" i="4"/>
  <c r="S31" i="4"/>
  <c r="T31" i="4"/>
  <c r="U31" i="4"/>
  <c r="V31" i="4"/>
  <c r="W31" i="4"/>
  <c r="X31" i="4"/>
  <c r="Z31" i="4"/>
  <c r="AA31" i="4"/>
  <c r="AC31" i="4"/>
  <c r="A32" i="4"/>
  <c r="C32" i="4"/>
  <c r="E32" i="4"/>
  <c r="G32" i="4"/>
  <c r="H32" i="4"/>
  <c r="I32" i="4"/>
  <c r="J32" i="4"/>
  <c r="K32" i="4"/>
  <c r="L32" i="4"/>
  <c r="M32" i="4"/>
  <c r="N32" i="4"/>
  <c r="O32" i="4"/>
  <c r="P32" i="4"/>
  <c r="S32" i="4"/>
  <c r="T32" i="4"/>
  <c r="U32" i="4"/>
  <c r="V32" i="4"/>
  <c r="W32" i="4"/>
  <c r="X32" i="4"/>
  <c r="Z32" i="4"/>
  <c r="AA32" i="4"/>
  <c r="AC32" i="4"/>
  <c r="A33" i="4"/>
  <c r="C33" i="4"/>
  <c r="E33" i="4"/>
  <c r="G33" i="4"/>
  <c r="H33" i="4"/>
  <c r="I33" i="4"/>
  <c r="J33" i="4"/>
  <c r="K33" i="4"/>
  <c r="L33" i="4"/>
  <c r="M33" i="4"/>
  <c r="N33" i="4"/>
  <c r="O33" i="4"/>
  <c r="P33" i="4"/>
  <c r="S33" i="4"/>
  <c r="T33" i="4"/>
  <c r="U33" i="4"/>
  <c r="V33" i="4"/>
  <c r="W33" i="4"/>
  <c r="X33" i="4"/>
  <c r="Z33" i="4"/>
  <c r="AA33" i="4"/>
  <c r="AC33" i="4"/>
  <c r="A34" i="4"/>
  <c r="C34" i="4"/>
  <c r="E34" i="4"/>
  <c r="G34" i="4"/>
  <c r="H34" i="4"/>
  <c r="I34" i="4"/>
  <c r="J34" i="4"/>
  <c r="K34" i="4"/>
  <c r="L34" i="4"/>
  <c r="M34" i="4"/>
  <c r="N34" i="4"/>
  <c r="O34" i="4"/>
  <c r="P34" i="4"/>
  <c r="S34" i="4"/>
  <c r="T34" i="4"/>
  <c r="U34" i="4"/>
  <c r="V34" i="4"/>
  <c r="W34" i="4"/>
  <c r="X34" i="4"/>
  <c r="Z34" i="4"/>
  <c r="AA34" i="4"/>
  <c r="AC34" i="4"/>
  <c r="A35" i="4"/>
  <c r="C35" i="4"/>
  <c r="E35" i="4"/>
  <c r="G35" i="4"/>
  <c r="H35" i="4"/>
  <c r="I35" i="4"/>
  <c r="J35" i="4"/>
  <c r="K35" i="4"/>
  <c r="L35" i="4"/>
  <c r="M35" i="4"/>
  <c r="N35" i="4"/>
  <c r="O35" i="4"/>
  <c r="P35" i="4"/>
  <c r="S35" i="4"/>
  <c r="T35" i="4"/>
  <c r="U35" i="4"/>
  <c r="V35" i="4"/>
  <c r="W35" i="4"/>
  <c r="X35" i="4"/>
  <c r="Z35" i="4"/>
  <c r="AA35" i="4"/>
  <c r="AC35" i="4"/>
  <c r="A36" i="4"/>
  <c r="C36" i="4"/>
  <c r="E36" i="4"/>
  <c r="G36" i="4"/>
  <c r="H36" i="4"/>
  <c r="I36" i="4"/>
  <c r="J36" i="4"/>
  <c r="K36" i="4"/>
  <c r="L36" i="4"/>
  <c r="M36" i="4"/>
  <c r="N36" i="4"/>
  <c r="O36" i="4"/>
  <c r="P36" i="4"/>
  <c r="S36" i="4"/>
  <c r="T36" i="4"/>
  <c r="U36" i="4"/>
  <c r="V36" i="4"/>
  <c r="W36" i="4"/>
  <c r="X36" i="4"/>
  <c r="Z36" i="4"/>
  <c r="AA36" i="4"/>
  <c r="AC36" i="4"/>
  <c r="A37" i="4"/>
  <c r="C37" i="4"/>
  <c r="E37" i="4"/>
  <c r="G37" i="4"/>
  <c r="H37" i="4"/>
  <c r="I37" i="4"/>
  <c r="J37" i="4"/>
  <c r="K37" i="4"/>
  <c r="L37" i="4"/>
  <c r="M37" i="4"/>
  <c r="N37" i="4"/>
  <c r="O37" i="4"/>
  <c r="P37" i="4"/>
  <c r="S37" i="4"/>
  <c r="T37" i="4"/>
  <c r="U37" i="4"/>
  <c r="V37" i="4"/>
  <c r="W37" i="4"/>
  <c r="X37" i="4"/>
  <c r="Z37" i="4"/>
  <c r="AA37" i="4"/>
  <c r="AC37" i="4"/>
  <c r="A38" i="4"/>
  <c r="C38" i="4"/>
  <c r="E38" i="4"/>
  <c r="G38" i="4"/>
  <c r="H38" i="4"/>
  <c r="I38" i="4"/>
  <c r="J38" i="4"/>
  <c r="K38" i="4"/>
  <c r="L38" i="4"/>
  <c r="M38" i="4"/>
  <c r="N38" i="4"/>
  <c r="O38" i="4"/>
  <c r="P38" i="4"/>
  <c r="S38" i="4"/>
  <c r="T38" i="4"/>
  <c r="U38" i="4"/>
  <c r="V38" i="4"/>
  <c r="W38" i="4"/>
  <c r="X38" i="4"/>
  <c r="Z38" i="4"/>
  <c r="AA38" i="4"/>
  <c r="AC38" i="4"/>
  <c r="A39" i="4"/>
  <c r="B39" i="4"/>
  <c r="C39" i="4"/>
  <c r="D39" i="4"/>
  <c r="E39" i="4"/>
  <c r="G39" i="4"/>
  <c r="H39" i="4"/>
  <c r="I39" i="4"/>
  <c r="J39" i="4"/>
  <c r="K39" i="4"/>
  <c r="L39" i="4"/>
  <c r="M39" i="4"/>
  <c r="N39" i="4"/>
  <c r="O39" i="4"/>
  <c r="P39" i="4"/>
  <c r="S39" i="4"/>
  <c r="T39" i="4"/>
  <c r="U39" i="4"/>
  <c r="V39" i="4"/>
  <c r="W39" i="4"/>
  <c r="X39" i="4"/>
  <c r="Z39" i="4"/>
  <c r="AA39" i="4"/>
  <c r="AC39" i="4"/>
  <c r="A40" i="4"/>
  <c r="C40" i="4"/>
  <c r="E40" i="4"/>
  <c r="G40" i="4"/>
  <c r="H40" i="4"/>
  <c r="I40" i="4"/>
  <c r="J40" i="4"/>
  <c r="K40" i="4"/>
  <c r="L40" i="4"/>
  <c r="M40" i="4"/>
  <c r="N40" i="4"/>
  <c r="O40" i="4"/>
  <c r="P40" i="4"/>
  <c r="S40" i="4"/>
  <c r="T40" i="4"/>
  <c r="U40" i="4"/>
  <c r="V40" i="4"/>
  <c r="W40" i="4"/>
  <c r="X40" i="4"/>
  <c r="Z40" i="4"/>
  <c r="AA40" i="4"/>
  <c r="AC40" i="4"/>
  <c r="A41" i="4"/>
  <c r="C41" i="4"/>
  <c r="E41" i="4"/>
  <c r="G41" i="4"/>
  <c r="H41" i="4"/>
  <c r="I41" i="4"/>
  <c r="J41" i="4"/>
  <c r="K41" i="4"/>
  <c r="L41" i="4"/>
  <c r="M41" i="4"/>
  <c r="N41" i="4"/>
  <c r="O41" i="4"/>
  <c r="P41" i="4"/>
  <c r="S41" i="4"/>
  <c r="T41" i="4"/>
  <c r="U41" i="4"/>
  <c r="V41" i="4"/>
  <c r="W41" i="4"/>
  <c r="X41" i="4"/>
  <c r="Z41" i="4"/>
  <c r="AA41" i="4"/>
  <c r="AC41" i="4"/>
  <c r="A42" i="4"/>
  <c r="C42" i="4"/>
  <c r="E42" i="4"/>
  <c r="G42" i="4"/>
  <c r="H42" i="4"/>
  <c r="I42" i="4"/>
  <c r="J42" i="4"/>
  <c r="K42" i="4"/>
  <c r="L42" i="4"/>
  <c r="M42" i="4"/>
  <c r="N42" i="4"/>
  <c r="O42" i="4"/>
  <c r="P42" i="4"/>
  <c r="S42" i="4"/>
  <c r="T42" i="4"/>
  <c r="U42" i="4"/>
  <c r="V42" i="4"/>
  <c r="W42" i="4"/>
  <c r="X42" i="4"/>
  <c r="Z42" i="4"/>
  <c r="AA42" i="4"/>
  <c r="AC42" i="4"/>
  <c r="A43" i="4"/>
  <c r="C43" i="4"/>
  <c r="E43" i="4"/>
  <c r="G43" i="4"/>
  <c r="H43" i="4"/>
  <c r="I43" i="4"/>
  <c r="J43" i="4"/>
  <c r="K43" i="4"/>
  <c r="L43" i="4"/>
  <c r="M43" i="4"/>
  <c r="N43" i="4"/>
  <c r="O43" i="4"/>
  <c r="P43" i="4"/>
  <c r="S43" i="4"/>
  <c r="T43" i="4"/>
  <c r="U43" i="4"/>
  <c r="V43" i="4"/>
  <c r="W43" i="4"/>
  <c r="X43" i="4"/>
  <c r="Z43" i="4"/>
  <c r="AA43" i="4"/>
  <c r="AC43" i="4"/>
  <c r="A44" i="4"/>
  <c r="C44" i="4"/>
  <c r="E44" i="4"/>
  <c r="G44" i="4"/>
  <c r="H44" i="4"/>
  <c r="I44" i="4"/>
  <c r="J44" i="4"/>
  <c r="K44" i="4"/>
  <c r="L44" i="4"/>
  <c r="M44" i="4"/>
  <c r="N44" i="4"/>
  <c r="O44" i="4"/>
  <c r="P44" i="4"/>
  <c r="S44" i="4"/>
  <c r="T44" i="4"/>
  <c r="U44" i="4"/>
  <c r="V44" i="4"/>
  <c r="W44" i="4"/>
  <c r="X44" i="4"/>
  <c r="Z44" i="4"/>
  <c r="AA44" i="4"/>
  <c r="AC44" i="4"/>
  <c r="A45" i="4"/>
  <c r="C45" i="4"/>
  <c r="E45" i="4"/>
  <c r="G45" i="4"/>
  <c r="H45" i="4"/>
  <c r="I45" i="4"/>
  <c r="J45" i="4"/>
  <c r="K45" i="4"/>
  <c r="L45" i="4"/>
  <c r="M45" i="4"/>
  <c r="N45" i="4"/>
  <c r="O45" i="4"/>
  <c r="P45" i="4"/>
  <c r="S45" i="4"/>
  <c r="T45" i="4"/>
  <c r="U45" i="4"/>
  <c r="V45" i="4"/>
  <c r="W45" i="4"/>
  <c r="X45" i="4"/>
  <c r="Z45" i="4"/>
  <c r="AA45" i="4"/>
  <c r="AC45" i="4"/>
  <c r="A46" i="4"/>
  <c r="C46" i="4"/>
  <c r="E46" i="4"/>
  <c r="G46" i="4"/>
  <c r="H46" i="4"/>
  <c r="I46" i="4"/>
  <c r="J46" i="4"/>
  <c r="K46" i="4"/>
  <c r="L46" i="4"/>
  <c r="M46" i="4"/>
  <c r="N46" i="4"/>
  <c r="O46" i="4"/>
  <c r="P46" i="4"/>
  <c r="S46" i="4"/>
  <c r="T46" i="4"/>
  <c r="U46" i="4"/>
  <c r="V46" i="4"/>
  <c r="W46" i="4"/>
  <c r="X46" i="4"/>
  <c r="Z46" i="4"/>
  <c r="AA46" i="4"/>
  <c r="AC46" i="4"/>
  <c r="B47" i="4"/>
  <c r="C47" i="4"/>
  <c r="D47" i="4"/>
  <c r="G47" i="4"/>
  <c r="U47" i="4"/>
  <c r="V47" i="4"/>
  <c r="W47" i="4"/>
  <c r="X47" i="4"/>
  <c r="Z47" i="4"/>
  <c r="AA47" i="4"/>
  <c r="AC47" i="4"/>
  <c r="W48" i="4"/>
  <c r="AA48" i="4"/>
</calcChain>
</file>

<file path=xl/comments1.xml><?xml version="1.0" encoding="utf-8"?>
<comments xmlns="http://schemas.openxmlformats.org/spreadsheetml/2006/main">
  <authors>
    <author>kward</author>
  </authors>
  <commentList>
    <comment ref="C7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 
</t>
        </r>
      </text>
    </comment>
    <comment ref="C8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9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1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2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
</t>
        </r>
      </text>
    </comment>
    <comment ref="C13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F15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Sitara for alternate pricing
</t>
        </r>
      </text>
    </comment>
  </commentList>
</comments>
</file>

<file path=xl/sharedStrings.xml><?xml version="1.0" encoding="utf-8"?>
<sst xmlns="http://schemas.openxmlformats.org/spreadsheetml/2006/main" count="49" uniqueCount="46">
  <si>
    <t>Date</t>
  </si>
  <si>
    <t>Transportation Charges</t>
  </si>
  <si>
    <t>San Juan Lateral</t>
  </si>
  <si>
    <t>Mainline</t>
  </si>
  <si>
    <t>Additional Charge</t>
  </si>
  <si>
    <t>PG&amp;E Topock Gas Daily Mid</t>
  </si>
  <si>
    <t>San Juan Gas Daily Mid</t>
  </si>
  <si>
    <t>Contract Price (San Juan Gas Daily Mid or Negotiated Fixed Price)</t>
  </si>
  <si>
    <t>Total San Juan Lateral Transport Charge</t>
  </si>
  <si>
    <t>Total Mainline Transport Charge</t>
  </si>
  <si>
    <t>Citizens Utilities- Griffith Plant Deliveries</t>
  </si>
  <si>
    <t>Inputs:</t>
  </si>
  <si>
    <t>Delivery Month</t>
  </si>
  <si>
    <t>Delivery Demand Quantity (DDQ)</t>
  </si>
  <si>
    <t>Transportation (San Juan Lateral):</t>
  </si>
  <si>
    <t xml:space="preserve">       Reservation Charge</t>
  </si>
  <si>
    <t xml:space="preserve">       Commodity Charge</t>
  </si>
  <si>
    <t xml:space="preserve">       Fuel Charge</t>
  </si>
  <si>
    <t>Transportation (Mainline):</t>
  </si>
  <si>
    <t>Scheduled Delivery Volume (MMBtu)</t>
  </si>
  <si>
    <t>Total</t>
  </si>
  <si>
    <t>Reciept Volume including Fuel</t>
  </si>
  <si>
    <t xml:space="preserve">Spread </t>
  </si>
  <si>
    <t>3+4</t>
  </si>
  <si>
    <t>add formula so that if</t>
  </si>
  <si>
    <t xml:space="preserve">1)we don’t' sell phys gas or </t>
  </si>
  <si>
    <t>2)spread &lt; 0</t>
  </si>
  <si>
    <t>this space is zero</t>
  </si>
  <si>
    <t>Lateral Demand Charge</t>
  </si>
  <si>
    <t>Deal Demand Charge = $.09</t>
  </si>
  <si>
    <t>Lateral Commodity Charge</t>
  </si>
  <si>
    <t>Lateral Fuel</t>
  </si>
  <si>
    <t>Lateral Fuel /MMBtu</t>
  </si>
  <si>
    <t>Mainline Commodity Charge</t>
  </si>
  <si>
    <t>Mainline Fuel</t>
  </si>
  <si>
    <t>MainlineFuel /MMBtu</t>
  </si>
  <si>
    <t>Sales Spread Value</t>
  </si>
  <si>
    <t>8.5% of Sales Spread Value</t>
  </si>
  <si>
    <t>8.5% of Demand Spread Value</t>
  </si>
  <si>
    <t>Transport Only Volume</t>
  </si>
  <si>
    <t>Enron (7.5%) (Origination for Kim &amp; Chris)</t>
  </si>
  <si>
    <t>Citizens (1%) (Paid to John Cogan)</t>
  </si>
  <si>
    <t>Total Daily Charge to be billed to Citizens</t>
  </si>
  <si>
    <t>$.02 of Deal Demand charge to EARMS</t>
  </si>
  <si>
    <t>Commodity Sales to Citizens</t>
  </si>
  <si>
    <t>Total Transport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</si>
</sst>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9" formatCode="_(* #,##0_);_(* \(#,##0\);_(* &quot;-&quot;??_);_(@_)"/>
    <numFmt numFmtId="171" formatCode="_(* #,##0.0000_);_(* \(#,##0.0000\);_(* &quot;-&quot;??_);_(@_)"/>
    <numFmt numFmtId="177" formatCode="_(&quot;$&quot;* #,##0.0000_);_(&quot;$&quot;* \(#,##0.000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8">
    <xf numFmtId="0" fontId="0" fillId="0" borderId="0" xfId="0"/>
    <xf numFmtId="44" fontId="0" fillId="0" borderId="0" xfId="2" applyFont="1"/>
    <xf numFmtId="166" fontId="0" fillId="0" borderId="0" xfId="2" applyNumberFormat="1" applyFont="1"/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44" fontId="0" fillId="3" borderId="6" xfId="0" applyNumberFormat="1" applyFill="1" applyBorder="1"/>
    <xf numFmtId="0" fontId="0" fillId="0" borderId="0" xfId="0" applyBorder="1" applyAlignment="1">
      <alignment horizontal="center"/>
    </xf>
    <xf numFmtId="0" fontId="2" fillId="4" borderId="3" xfId="0" applyFont="1" applyFill="1" applyBorder="1"/>
    <xf numFmtId="0" fontId="2" fillId="4" borderId="7" xfId="0" applyFont="1" applyFill="1" applyBorder="1" applyAlignment="1">
      <alignment horizontal="center" wrapText="1"/>
    </xf>
    <xf numFmtId="44" fontId="2" fillId="4" borderId="7" xfId="2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6" fontId="0" fillId="0" borderId="10" xfId="2" applyNumberFormat="1" applyFont="1" applyBorder="1" applyAlignment="1">
      <alignment horizontal="center"/>
    </xf>
    <xf numFmtId="44" fontId="0" fillId="0" borderId="10" xfId="2" applyFont="1" applyBorder="1"/>
    <xf numFmtId="44" fontId="0" fillId="0" borderId="11" xfId="2" applyFont="1" applyBorder="1"/>
    <xf numFmtId="16" fontId="0" fillId="0" borderId="8" xfId="0" applyNumberFormat="1" applyBorder="1"/>
    <xf numFmtId="0" fontId="0" fillId="0" borderId="12" xfId="0" applyBorder="1"/>
    <xf numFmtId="166" fontId="0" fillId="0" borderId="12" xfId="2" applyNumberFormat="1" applyFont="1" applyBorder="1" applyAlignment="1">
      <alignment horizontal="center"/>
    </xf>
    <xf numFmtId="166" fontId="0" fillId="0" borderId="12" xfId="2" applyNumberFormat="1" applyFont="1" applyBorder="1"/>
    <xf numFmtId="44" fontId="0" fillId="0" borderId="12" xfId="2" applyFont="1" applyBorder="1"/>
    <xf numFmtId="169" fontId="0" fillId="0" borderId="13" xfId="1" applyNumberFormat="1" applyFont="1" applyBorder="1"/>
    <xf numFmtId="169" fontId="0" fillId="0" borderId="10" xfId="1" applyNumberFormat="1" applyFont="1" applyBorder="1" applyAlignment="1">
      <alignment horizontal="center"/>
    </xf>
    <xf numFmtId="169" fontId="0" fillId="0" borderId="12" xfId="1" applyNumberFormat="1" applyFont="1" applyBorder="1" applyAlignment="1">
      <alignment horizontal="center"/>
    </xf>
    <xf numFmtId="44" fontId="0" fillId="0" borderId="4" xfId="0" applyNumberFormat="1" applyBorder="1"/>
    <xf numFmtId="44" fontId="0" fillId="0" borderId="9" xfId="0" applyNumberFormat="1" applyBorder="1"/>
    <xf numFmtId="0" fontId="2" fillId="4" borderId="14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  <xf numFmtId="44" fontId="0" fillId="0" borderId="16" xfId="0" applyNumberFormat="1" applyBorder="1"/>
    <xf numFmtId="44" fontId="0" fillId="0" borderId="17" xfId="0" applyNumberFormat="1" applyBorder="1"/>
    <xf numFmtId="169" fontId="3" fillId="0" borderId="0" xfId="1" applyNumberFormat="1" applyFont="1"/>
    <xf numFmtId="166" fontId="0" fillId="0" borderId="10" xfId="2" applyNumberFormat="1" applyFont="1" applyBorder="1"/>
    <xf numFmtId="0" fontId="2" fillId="4" borderId="18" xfId="0" applyFont="1" applyFill="1" applyBorder="1" applyAlignment="1">
      <alignment horizontal="center" wrapText="1"/>
    </xf>
    <xf numFmtId="44" fontId="0" fillId="0" borderId="0" xfId="2" applyNumberFormat="1" applyFont="1" applyBorder="1"/>
    <xf numFmtId="16" fontId="0" fillId="0" borderId="4" xfId="0" applyNumberFormat="1" applyBorder="1"/>
    <xf numFmtId="16" fontId="0" fillId="0" borderId="5" xfId="0" applyNumberFormat="1" applyBorder="1"/>
    <xf numFmtId="44" fontId="0" fillId="0" borderId="8" xfId="0" applyNumberFormat="1" applyBorder="1"/>
    <xf numFmtId="0" fontId="2" fillId="3" borderId="19" xfId="0" applyFont="1" applyFill="1" applyBorder="1" applyAlignment="1">
      <alignment horizontal="center" wrapText="1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/>
    <xf numFmtId="169" fontId="0" fillId="0" borderId="0" xfId="1" applyNumberFormat="1" applyFont="1"/>
    <xf numFmtId="169" fontId="0" fillId="0" borderId="12" xfId="1" applyNumberFormat="1" applyFont="1" applyBorder="1"/>
    <xf numFmtId="177" fontId="0" fillId="0" borderId="10" xfId="2" applyNumberFormat="1" applyFont="1" applyBorder="1"/>
    <xf numFmtId="171" fontId="0" fillId="0" borderId="10" xfId="2" applyNumberFormat="1" applyFont="1" applyBorder="1"/>
    <xf numFmtId="0" fontId="2" fillId="5" borderId="14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169" fontId="4" fillId="0" borderId="21" xfId="1" applyNumberFormat="1" applyFont="1" applyBorder="1" applyAlignment="1"/>
    <xf numFmtId="169" fontId="4" fillId="0" borderId="21" xfId="1" applyNumberFormat="1" applyFont="1" applyBorder="1"/>
    <xf numFmtId="166" fontId="2" fillId="4" borderId="7" xfId="2" applyNumberFormat="1" applyFont="1" applyFill="1" applyBorder="1" applyAlignment="1">
      <alignment horizontal="center" wrapText="1"/>
    </xf>
    <xf numFmtId="44" fontId="0" fillId="0" borderId="16" xfId="2" applyNumberFormat="1" applyFont="1" applyBorder="1"/>
    <xf numFmtId="171" fontId="4" fillId="0" borderId="21" xfId="1" applyNumberFormat="1" applyFont="1" applyBorder="1"/>
    <xf numFmtId="171" fontId="4" fillId="0" borderId="10" xfId="1" applyNumberFormat="1" applyFont="1" applyBorder="1"/>
    <xf numFmtId="171" fontId="4" fillId="0" borderId="10" xfId="1" applyNumberFormat="1" applyFont="1" applyFill="1" applyBorder="1"/>
    <xf numFmtId="171" fontId="4" fillId="0" borderId="22" xfId="1" applyNumberFormat="1" applyFont="1" applyBorder="1"/>
    <xf numFmtId="171" fontId="4" fillId="0" borderId="11" xfId="1" applyNumberFormat="1" applyFont="1" applyBorder="1"/>
    <xf numFmtId="169" fontId="4" fillId="2" borderId="2" xfId="1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0" fontId="4" fillId="2" borderId="2" xfId="0" applyNumberFormat="1" applyFont="1" applyFill="1" applyBorder="1" applyAlignment="1">
      <alignment horizontal="center"/>
    </xf>
    <xf numFmtId="10" fontId="4" fillId="2" borderId="24" xfId="0" applyNumberFormat="1" applyFont="1" applyFill="1" applyBorder="1" applyAlignment="1">
      <alignment horizontal="center"/>
    </xf>
    <xf numFmtId="17" fontId="4" fillId="2" borderId="2" xfId="0" applyNumberFormat="1" applyFont="1" applyFill="1" applyBorder="1" applyAlignment="1">
      <alignment horizontal="center"/>
    </xf>
    <xf numFmtId="44" fontId="0" fillId="0" borderId="12" xfId="0" applyNumberFormat="1" applyBorder="1"/>
    <xf numFmtId="44" fontId="0" fillId="0" borderId="0" xfId="0" applyNumberFormat="1"/>
    <xf numFmtId="0" fontId="2" fillId="2" borderId="19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 wrapText="1"/>
    </xf>
    <xf numFmtId="44" fontId="0" fillId="0" borderId="25" xfId="0" applyNumberFormat="1" applyBorder="1"/>
    <xf numFmtId="44" fontId="0" fillId="0" borderId="26" xfId="0" applyNumberFormat="1" applyBorder="1"/>
    <xf numFmtId="0" fontId="2" fillId="4" borderId="27" xfId="0" applyFont="1" applyFill="1" applyBorder="1" applyAlignment="1">
      <alignment horizontal="center" wrapText="1"/>
    </xf>
    <xf numFmtId="0" fontId="2" fillId="4" borderId="28" xfId="0" applyFont="1" applyFill="1" applyBorder="1" applyAlignment="1">
      <alignment horizontal="center" wrapText="1"/>
    </xf>
    <xf numFmtId="44" fontId="0" fillId="0" borderId="19" xfId="0" applyNumberFormat="1" applyBorder="1"/>
    <xf numFmtId="44" fontId="0" fillId="0" borderId="29" xfId="0" applyNumberFormat="1" applyBorder="1"/>
    <xf numFmtId="166" fontId="0" fillId="0" borderId="12" xfId="0" applyNumberFormat="1" applyBorder="1"/>
    <xf numFmtId="166" fontId="2" fillId="4" borderId="14" xfId="2" applyNumberFormat="1" applyFont="1" applyFill="1" applyBorder="1" applyAlignment="1">
      <alignment horizontal="center" wrapText="1"/>
    </xf>
    <xf numFmtId="166" fontId="0" fillId="0" borderId="21" xfId="2" applyNumberFormat="1" applyFont="1" applyBorder="1"/>
    <xf numFmtId="166" fontId="0" fillId="0" borderId="22" xfId="2" applyNumberFormat="1" applyFont="1" applyBorder="1"/>
    <xf numFmtId="44" fontId="0" fillId="0" borderId="0" xfId="2" applyFont="1" applyBorder="1"/>
    <xf numFmtId="44" fontId="0" fillId="0" borderId="30" xfId="2" applyFont="1" applyBorder="1"/>
    <xf numFmtId="44" fontId="2" fillId="4" borderId="31" xfId="2" applyFont="1" applyFill="1" applyBorder="1" applyAlignment="1">
      <alignment horizontal="center" wrapText="1"/>
    </xf>
    <xf numFmtId="44" fontId="3" fillId="0" borderId="10" xfId="2" applyFont="1" applyBorder="1"/>
    <xf numFmtId="44" fontId="3" fillId="0" borderId="11" xfId="2" applyFont="1" applyBorder="1"/>
    <xf numFmtId="169" fontId="4" fillId="0" borderId="22" xfId="1" applyNumberFormat="1" applyFont="1" applyBorder="1"/>
    <xf numFmtId="171" fontId="4" fillId="0" borderId="0" xfId="1" applyNumberFormat="1" applyFont="1" applyFill="1"/>
    <xf numFmtId="171" fontId="4" fillId="0" borderId="32" xfId="1" applyNumberFormat="1" applyFont="1" applyFill="1" applyBorder="1"/>
    <xf numFmtId="0" fontId="2" fillId="2" borderId="8" xfId="0" applyFont="1" applyFill="1" applyBorder="1" applyAlignment="1">
      <alignment horizontal="center"/>
    </xf>
    <xf numFmtId="0" fontId="0" fillId="0" borderId="12" xfId="0" applyBorder="1"/>
    <xf numFmtId="0" fontId="0" fillId="0" borderId="9" xfId="0" applyBorder="1"/>
    <xf numFmtId="0" fontId="2" fillId="2" borderId="26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914400</xdr:colOff>
      <xdr:row>2</xdr:row>
      <xdr:rowOff>104775</xdr:rowOff>
    </xdr:from>
    <xdr:to>
      <xdr:col>4</xdr:col>
      <xdr:colOff>752475</xdr:colOff>
      <xdr:row>9</xdr:row>
      <xdr:rowOff>123825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5D275335-1100-021F-F710-59891A99933F}"/>
            </a:ext>
          </a:extLst>
        </xdr:cNvPr>
        <xdr:cNvSpPr>
          <a:spLocks noChangeArrowheads="1"/>
        </xdr:cNvSpPr>
      </xdr:nvSpPr>
      <xdr:spPr bwMode="auto">
        <a:xfrm>
          <a:off x="4333875" y="438150"/>
          <a:ext cx="914400" cy="1152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3366FF"/>
              </a:solidFill>
              <a:latin typeface="Arial"/>
              <a:cs typeface="Arial"/>
            </a:rPr>
            <a:t>Note:  All columns with green headings are inputs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1"/>
  <sheetViews>
    <sheetView showGridLines="0" tabSelected="1" zoomScale="75"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T4" sqref="T4"/>
    </sheetView>
  </sheetViews>
  <sheetFormatPr defaultRowHeight="12.75" x14ac:dyDescent="0.2"/>
  <cols>
    <col min="2" max="2" width="28.42578125" customWidth="1"/>
    <col min="3" max="3" width="13.7109375" style="4" customWidth="1"/>
    <col min="4" max="4" width="16.140625" bestFit="1" customWidth="1"/>
    <col min="5" max="5" width="15.140625" style="3" bestFit="1" customWidth="1"/>
    <col min="6" max="6" width="16.28515625" customWidth="1"/>
    <col min="7" max="7" width="16.28515625" style="1" customWidth="1"/>
    <col min="8" max="8" width="9.140625" style="2" bestFit="1"/>
    <col min="9" max="9" width="13" style="1" customWidth="1"/>
    <col min="10" max="10" width="10.28515625" bestFit="1" customWidth="1"/>
    <col min="11" max="11" width="10.28515625" customWidth="1"/>
    <col min="12" max="12" width="10.28515625" bestFit="1" customWidth="1"/>
    <col min="13" max="13" width="13" style="1" customWidth="1"/>
    <col min="14" max="14" width="9.28515625" bestFit="1" customWidth="1"/>
    <col min="15" max="15" width="9.28515625" customWidth="1"/>
    <col min="16" max="16" width="11.140625" customWidth="1"/>
    <col min="17" max="18" width="9.28515625" bestFit="1" customWidth="1"/>
    <col min="19" max="19" width="10.7109375" customWidth="1"/>
    <col min="20" max="20" width="11" bestFit="1" customWidth="1"/>
    <col min="21" max="23" width="11.140625" customWidth="1"/>
    <col min="24" max="24" width="15.140625" bestFit="1" customWidth="1"/>
    <col min="25" max="25" width="7.42578125" customWidth="1"/>
    <col min="26" max="26" width="11.85546875" bestFit="1" customWidth="1"/>
    <col min="27" max="27" width="10.42578125" bestFit="1" customWidth="1"/>
    <col min="28" max="28" width="6.7109375" customWidth="1"/>
    <col min="29" max="29" width="10.42578125" bestFit="1" customWidth="1"/>
  </cols>
  <sheetData>
    <row r="1" spans="1:29" x14ac:dyDescent="0.2">
      <c r="A1" s="5" t="s">
        <v>10</v>
      </c>
    </row>
    <row r="2" spans="1:29" ht="13.5" thickBot="1" x14ac:dyDescent="0.25"/>
    <row r="3" spans="1:29" x14ac:dyDescent="0.2">
      <c r="B3" s="8" t="s">
        <v>11</v>
      </c>
      <c r="C3" s="6"/>
    </row>
    <row r="4" spans="1:29" x14ac:dyDescent="0.2">
      <c r="B4" s="9" t="s">
        <v>12</v>
      </c>
      <c r="C4" s="66">
        <v>37104</v>
      </c>
    </row>
    <row r="5" spans="1:29" x14ac:dyDescent="0.2">
      <c r="B5" s="9" t="s">
        <v>13</v>
      </c>
      <c r="C5" s="62">
        <f>IF(C4&lt;37196,20000,15000)</f>
        <v>20000</v>
      </c>
    </row>
    <row r="6" spans="1:29" x14ac:dyDescent="0.2">
      <c r="B6" s="9" t="s">
        <v>14</v>
      </c>
      <c r="C6" s="7"/>
    </row>
    <row r="7" spans="1:29" x14ac:dyDescent="0.2">
      <c r="B7" s="9" t="s">
        <v>15</v>
      </c>
      <c r="C7" s="63">
        <v>0.1031</v>
      </c>
    </row>
    <row r="8" spans="1:29" x14ac:dyDescent="0.2">
      <c r="B8" s="9" t="s">
        <v>16</v>
      </c>
      <c r="C8" s="63">
        <v>1.1000000000000001E-3</v>
      </c>
    </row>
    <row r="9" spans="1:29" x14ac:dyDescent="0.2">
      <c r="B9" s="9" t="s">
        <v>17</v>
      </c>
      <c r="C9" s="64">
        <v>2.5000000000000001E-3</v>
      </c>
      <c r="P9">
        <v>4</v>
      </c>
      <c r="V9">
        <v>5</v>
      </c>
      <c r="W9">
        <v>5</v>
      </c>
    </row>
    <row r="10" spans="1:29" x14ac:dyDescent="0.2">
      <c r="B10" s="9" t="s">
        <v>18</v>
      </c>
      <c r="C10" s="7"/>
      <c r="I10" s="46"/>
      <c r="L10">
        <v>3</v>
      </c>
    </row>
    <row r="11" spans="1:29" x14ac:dyDescent="0.2">
      <c r="B11" s="9" t="s">
        <v>15</v>
      </c>
      <c r="C11" s="63">
        <v>0.2082</v>
      </c>
      <c r="I11" s="46"/>
    </row>
    <row r="12" spans="1:29" ht="13.5" thickBot="1" x14ac:dyDescent="0.25">
      <c r="B12" s="9" t="s">
        <v>16</v>
      </c>
      <c r="C12" s="63">
        <v>2.3E-2</v>
      </c>
      <c r="S12" t="s">
        <v>23</v>
      </c>
    </row>
    <row r="13" spans="1:29" ht="13.5" thickBot="1" x14ac:dyDescent="0.25">
      <c r="B13" s="10" t="s">
        <v>17</v>
      </c>
      <c r="C13" s="65">
        <v>4.4999999999999998E-2</v>
      </c>
      <c r="H13" s="95" t="s">
        <v>1</v>
      </c>
      <c r="I13" s="96"/>
      <c r="J13" s="96"/>
      <c r="K13" s="96"/>
      <c r="L13" s="96"/>
      <c r="M13" s="96"/>
      <c r="N13" s="96"/>
      <c r="O13" s="96"/>
      <c r="P13" s="97"/>
    </row>
    <row r="14" spans="1:29" ht="13.5" thickBot="1" x14ac:dyDescent="0.25">
      <c r="A14" s="11"/>
      <c r="B14" s="11"/>
      <c r="C14" s="13"/>
      <c r="D14" s="11"/>
      <c r="E14" s="44">
        <v>1</v>
      </c>
      <c r="F14" s="45">
        <v>2</v>
      </c>
      <c r="G14" s="81"/>
      <c r="H14" s="92" t="s">
        <v>2</v>
      </c>
      <c r="I14" s="93"/>
      <c r="J14" s="93"/>
      <c r="K14" s="93"/>
      <c r="L14" s="93"/>
      <c r="M14" s="93" t="s">
        <v>3</v>
      </c>
      <c r="N14" s="93"/>
      <c r="O14" s="93"/>
      <c r="P14" s="94"/>
      <c r="Q14" s="89" t="s">
        <v>4</v>
      </c>
      <c r="R14" s="90"/>
      <c r="S14" s="90"/>
      <c r="T14" s="90"/>
      <c r="U14" s="90"/>
      <c r="V14" s="90"/>
      <c r="W14" s="91"/>
      <c r="X14" s="11"/>
      <c r="Z14" s="17"/>
      <c r="AA14" s="18"/>
      <c r="AC14" s="69"/>
    </row>
    <row r="15" spans="1:29" ht="64.5" thickBot="1" x14ac:dyDescent="0.25">
      <c r="A15" s="14" t="s">
        <v>0</v>
      </c>
      <c r="B15" s="50" t="s">
        <v>19</v>
      </c>
      <c r="C15" s="15" t="s">
        <v>21</v>
      </c>
      <c r="D15" s="51" t="s">
        <v>39</v>
      </c>
      <c r="E15" s="55" t="s">
        <v>29</v>
      </c>
      <c r="F15" s="52" t="s">
        <v>7</v>
      </c>
      <c r="G15" s="83" t="s">
        <v>44</v>
      </c>
      <c r="H15" s="78" t="s">
        <v>28</v>
      </c>
      <c r="I15" s="16" t="s">
        <v>30</v>
      </c>
      <c r="J15" s="15" t="s">
        <v>31</v>
      </c>
      <c r="K15" s="15" t="s">
        <v>32</v>
      </c>
      <c r="L15" s="15" t="s">
        <v>8</v>
      </c>
      <c r="M15" s="16" t="s">
        <v>33</v>
      </c>
      <c r="N15" s="15" t="s">
        <v>34</v>
      </c>
      <c r="O15" s="15" t="s">
        <v>35</v>
      </c>
      <c r="P15" s="33" t="s">
        <v>9</v>
      </c>
      <c r="Q15" s="50" t="s">
        <v>5</v>
      </c>
      <c r="R15" s="51" t="s">
        <v>6</v>
      </c>
      <c r="S15" s="32" t="s">
        <v>45</v>
      </c>
      <c r="T15" s="15" t="s">
        <v>22</v>
      </c>
      <c r="U15" s="15" t="s">
        <v>36</v>
      </c>
      <c r="V15" s="38" t="s">
        <v>37</v>
      </c>
      <c r="W15" s="33" t="s">
        <v>38</v>
      </c>
      <c r="X15" s="43" t="s">
        <v>42</v>
      </c>
      <c r="Z15" s="74" t="s">
        <v>40</v>
      </c>
      <c r="AA15" s="73" t="s">
        <v>41</v>
      </c>
      <c r="AC15" s="70" t="s">
        <v>43</v>
      </c>
    </row>
    <row r="16" spans="1:29" x14ac:dyDescent="0.2">
      <c r="A16" s="40">
        <f>C4</f>
        <v>37104</v>
      </c>
      <c r="B16" s="54">
        <v>14085</v>
      </c>
      <c r="C16" s="28">
        <f>$B16/(1-$C$9)/(1-$C$13)</f>
        <v>14785.655237570365</v>
      </c>
      <c r="D16" s="54">
        <v>14085</v>
      </c>
      <c r="E16" s="19">
        <f>$C$5*0.09</f>
        <v>1800</v>
      </c>
      <c r="F16" s="87">
        <v>3.0150000000000001</v>
      </c>
      <c r="G16" s="84">
        <f>C16*F16</f>
        <v>44578.750541274654</v>
      </c>
      <c r="H16" s="79">
        <f>$C$7*$C$5</f>
        <v>2062</v>
      </c>
      <c r="I16" s="20">
        <f t="shared" ref="I16:I45" si="0">$C$8*D16</f>
        <v>15.493500000000001</v>
      </c>
      <c r="J16" s="20">
        <f>((F16/(1-$C$9)/(1-$C$13))-F16)*D16</f>
        <v>2112.4755412746485</v>
      </c>
      <c r="K16" s="48">
        <f>((F16/(1-$C$9)/(1-$C$13))-F16)</f>
        <v>0.14998051411250612</v>
      </c>
      <c r="L16" s="20">
        <f>SUM(H16:J16)</f>
        <v>4189.9690412746486</v>
      </c>
      <c r="M16" s="20">
        <f t="shared" ref="M16:M45" si="1">$C$12*D16</f>
        <v>323.95499999999998</v>
      </c>
      <c r="N16" s="20">
        <f>((F16/(1-$C$9))-F16)*$D16</f>
        <v>106.43176691729069</v>
      </c>
      <c r="O16" s="48">
        <f>((F16/(1-$C$9))-F16)</f>
        <v>7.5563909774434279E-3</v>
      </c>
      <c r="P16" s="34">
        <f>SUM(M16:N16)</f>
        <v>430.38676691729069</v>
      </c>
      <c r="Q16" s="57">
        <v>3.31</v>
      </c>
      <c r="R16" s="58">
        <v>3.0150000000000001</v>
      </c>
      <c r="S16" s="36">
        <f t="shared" ref="S16:S46" si="2">(L16+P16)</f>
        <v>4620.3558081919391</v>
      </c>
      <c r="T16" s="49">
        <f>IF((((Q16-0.1)-($C$7+$C$8+$C$11+$C$12+K16+O16)-R16)&gt;(-$C$11+-$C$12)),((Q16-0.1)-($C$7+$C$8+$C$11+$C$12+K16+O16)-R16),(-$C$11+-$C$12))</f>
        <v>-0.23119999999999999</v>
      </c>
      <c r="U16" s="37">
        <f>B16*T16</f>
        <v>-3256.4519999999998</v>
      </c>
      <c r="V16" s="39">
        <f>0.085*U16</f>
        <v>-276.79842000000002</v>
      </c>
      <c r="W16" s="56">
        <f>(($C$11-0.09)*$C$5)*0.085</f>
        <v>200.94000000000003</v>
      </c>
      <c r="X16" s="12">
        <f>E16+G16+S16+V16+W16</f>
        <v>50923.247929466597</v>
      </c>
      <c r="Z16" s="71">
        <f>(U16*0.075)+((($C$11-0.09)*$C$5)*0.075)</f>
        <v>-66.933899999999994</v>
      </c>
      <c r="AA16" s="34">
        <f t="shared" ref="AA16:AA46" si="3">(U16*0.01)+((($C$11-0.09)*$C$5)*0.01)</f>
        <v>-8.9245200000000011</v>
      </c>
      <c r="AC16" s="30">
        <f>$C$5*0.02</f>
        <v>400</v>
      </c>
    </row>
    <row r="17" spans="1:29" x14ac:dyDescent="0.2">
      <c r="A17" s="40">
        <f>A16+1</f>
        <v>37105</v>
      </c>
      <c r="B17" s="54">
        <v>13743</v>
      </c>
      <c r="C17" s="28">
        <f t="shared" ref="C17:C46" si="4">$B17/(1-$C$9)/(1-$C$13)</f>
        <v>14426.642522536707</v>
      </c>
      <c r="D17" s="54">
        <v>13743</v>
      </c>
      <c r="E17" s="19">
        <f t="shared" ref="E17:E46" si="5">$C$5*0.09</f>
        <v>1800</v>
      </c>
      <c r="F17" s="87">
        <v>2.915</v>
      </c>
      <c r="G17" s="84">
        <f t="shared" ref="G17:G46" si="6">C17*F17</f>
        <v>42053.6629531945</v>
      </c>
      <c r="H17" s="79">
        <f t="shared" ref="H17:H46" si="7">$C$7*$C$5</f>
        <v>2062</v>
      </c>
      <c r="I17" s="20">
        <f t="shared" si="0"/>
        <v>15.1173</v>
      </c>
      <c r="J17" s="20">
        <f t="shared" ref="J17:J46" si="8">((F17/(1-$C$9)/(1-$C$13))-F17)*D17</f>
        <v>1992.8179531945079</v>
      </c>
      <c r="K17" s="48">
        <f t="shared" ref="K17:K46" si="9">((F17/(1-$C$9)/(1-$C$13))-F17)</f>
        <v>0.14500603603248985</v>
      </c>
      <c r="L17" s="20">
        <f t="shared" ref="L17:L46" si="10">SUM(H17:J17)</f>
        <v>4069.9352531945078</v>
      </c>
      <c r="M17" s="20">
        <f t="shared" si="1"/>
        <v>316.089</v>
      </c>
      <c r="N17" s="20">
        <f t="shared" ref="N17:N46" si="11">((F17/(1-$C$9))-F17)*$D17</f>
        <v>100.40312030075069</v>
      </c>
      <c r="O17" s="48">
        <f t="shared" ref="O17:O46" si="12">((F17/(1-$C$9))-F17)</f>
        <v>7.3057644110274822E-3</v>
      </c>
      <c r="P17" s="34">
        <f t="shared" ref="P17:P46" si="13">SUM(M17:N17)</f>
        <v>416.49212030075068</v>
      </c>
      <c r="Q17" s="57">
        <v>3.53</v>
      </c>
      <c r="R17" s="58">
        <v>2.915</v>
      </c>
      <c r="S17" s="36">
        <f t="shared" si="2"/>
        <v>4486.4273734952585</v>
      </c>
      <c r="T17" s="49">
        <f t="shared" ref="T17:T22" si="14">IF((((Q17-0.1)-($C$7+$C$8+$C$11+$C$12+K17+O17)-R17)&gt;(-$C$11+-$C$12)),((Q17-0.1)-($C$7+$C$8+$C$11+$C$12+K17+O17)-R17),(-$C$11+-$C$12))</f>
        <v>2.7288199556482429E-2</v>
      </c>
      <c r="U17" s="37">
        <f t="shared" ref="U17:U46" si="15">B17*T17</f>
        <v>375.02172650473801</v>
      </c>
      <c r="V17" s="39">
        <f t="shared" ref="V17:V46" si="16">0.085*U17</f>
        <v>31.876846752902733</v>
      </c>
      <c r="W17" s="56">
        <f t="shared" ref="W17:W46" si="17">(($C$11-0.09)*$C$5)*0.085</f>
        <v>200.94000000000003</v>
      </c>
      <c r="X17" s="12">
        <f t="shared" ref="X17:X46" si="18">E17+G17+S17+V17+W17</f>
        <v>48572.907173442662</v>
      </c>
      <c r="Z17" s="71">
        <f t="shared" ref="Z17:Z46" si="19">(U17*0.075)+((($C$11-0.09)*$C$5)*0.075)</f>
        <v>205.42662948785534</v>
      </c>
      <c r="AA17" s="34">
        <f t="shared" si="3"/>
        <v>27.390217265047379</v>
      </c>
      <c r="AC17" s="30">
        <f t="shared" ref="AC17:AC46" si="20">$C$5*0.02</f>
        <v>400</v>
      </c>
    </row>
    <row r="18" spans="1:29" x14ac:dyDescent="0.2">
      <c r="A18" s="40">
        <f t="shared" ref="A18:A46" si="21">A17+1</f>
        <v>37106</v>
      </c>
      <c r="B18" s="54">
        <v>20000</v>
      </c>
      <c r="C18" s="28">
        <f t="shared" si="4"/>
        <v>20994.895616003359</v>
      </c>
      <c r="D18" s="54">
        <v>20000</v>
      </c>
      <c r="E18" s="19">
        <f t="shared" si="5"/>
        <v>1800</v>
      </c>
      <c r="F18" s="87">
        <v>2.6349999999999998</v>
      </c>
      <c r="G18" s="84">
        <f t="shared" si="6"/>
        <v>55321.549948168846</v>
      </c>
      <c r="H18" s="79">
        <f t="shared" si="7"/>
        <v>2062</v>
      </c>
      <c r="I18" s="20">
        <f t="shared" si="0"/>
        <v>22</v>
      </c>
      <c r="J18" s="20">
        <f t="shared" si="8"/>
        <v>2621.5499481688466</v>
      </c>
      <c r="K18" s="48">
        <f t="shared" si="9"/>
        <v>0.13107749740844232</v>
      </c>
      <c r="L18" s="20">
        <f t="shared" si="10"/>
        <v>4705.5499481688466</v>
      </c>
      <c r="M18" s="20">
        <f t="shared" si="1"/>
        <v>460</v>
      </c>
      <c r="N18" s="20">
        <f t="shared" si="11"/>
        <v>132.08020050124782</v>
      </c>
      <c r="O18" s="48">
        <f t="shared" si="12"/>
        <v>6.6040100250623901E-3</v>
      </c>
      <c r="P18" s="34">
        <f t="shared" si="13"/>
        <v>592.08020050124787</v>
      </c>
      <c r="Q18" s="57">
        <v>3.605</v>
      </c>
      <c r="R18" s="58">
        <v>2.6349999999999998</v>
      </c>
      <c r="S18" s="36">
        <f t="shared" si="2"/>
        <v>5297.6301486700941</v>
      </c>
      <c r="T18" s="49">
        <f t="shared" si="14"/>
        <v>0.39691849256649547</v>
      </c>
      <c r="U18" s="37">
        <f t="shared" si="15"/>
        <v>7938.3698513299096</v>
      </c>
      <c r="V18" s="39">
        <f t="shared" si="16"/>
        <v>674.76143736304232</v>
      </c>
      <c r="W18" s="56">
        <f t="shared" si="17"/>
        <v>200.94000000000003</v>
      </c>
      <c r="X18" s="12">
        <f t="shared" si="18"/>
        <v>63294.881534201988</v>
      </c>
      <c r="Z18" s="71">
        <f t="shared" si="19"/>
        <v>772.67773884974315</v>
      </c>
      <c r="AA18" s="34">
        <f t="shared" si="3"/>
        <v>103.0236985132991</v>
      </c>
      <c r="AC18" s="30">
        <f t="shared" si="20"/>
        <v>400</v>
      </c>
    </row>
    <row r="19" spans="1:29" x14ac:dyDescent="0.2">
      <c r="A19" s="40">
        <f t="shared" si="21"/>
        <v>37107</v>
      </c>
      <c r="B19" s="54">
        <v>20000</v>
      </c>
      <c r="C19" s="28">
        <f t="shared" si="4"/>
        <v>20994.895616003359</v>
      </c>
      <c r="D19" s="54">
        <v>20000</v>
      </c>
      <c r="E19" s="19">
        <f t="shared" si="5"/>
        <v>1800</v>
      </c>
      <c r="F19" s="87">
        <v>2.4900000000000002</v>
      </c>
      <c r="G19" s="84">
        <f t="shared" si="6"/>
        <v>52277.290083848369</v>
      </c>
      <c r="H19" s="79">
        <f t="shared" si="7"/>
        <v>2062</v>
      </c>
      <c r="I19" s="20">
        <f t="shared" si="0"/>
        <v>22</v>
      </c>
      <c r="J19" s="20">
        <f t="shared" si="8"/>
        <v>2477.2900838483647</v>
      </c>
      <c r="K19" s="48">
        <f t="shared" si="9"/>
        <v>0.12386450419241823</v>
      </c>
      <c r="L19" s="20">
        <f t="shared" si="10"/>
        <v>4561.2900838483647</v>
      </c>
      <c r="M19" s="20">
        <f t="shared" si="1"/>
        <v>460</v>
      </c>
      <c r="N19" s="20">
        <f t="shared" si="11"/>
        <v>124.81203007518538</v>
      </c>
      <c r="O19" s="48">
        <f t="shared" si="12"/>
        <v>6.2406015037592688E-3</v>
      </c>
      <c r="P19" s="34">
        <f t="shared" si="13"/>
        <v>584.81203007518536</v>
      </c>
      <c r="Q19" s="57">
        <v>3.3050000000000002</v>
      </c>
      <c r="R19" s="58">
        <v>2.4900000000000002</v>
      </c>
      <c r="S19" s="36">
        <f t="shared" si="2"/>
        <v>5146.10211392355</v>
      </c>
      <c r="T19" s="49">
        <f t="shared" si="14"/>
        <v>0.24949489430382243</v>
      </c>
      <c r="U19" s="37">
        <f t="shared" si="15"/>
        <v>4989.8978860764491</v>
      </c>
      <c r="V19" s="39">
        <f t="shared" si="16"/>
        <v>424.1413203164982</v>
      </c>
      <c r="W19" s="56">
        <f t="shared" si="17"/>
        <v>200.94000000000003</v>
      </c>
      <c r="X19" s="12">
        <f t="shared" si="18"/>
        <v>59848.473518088424</v>
      </c>
      <c r="Z19" s="71">
        <f t="shared" si="19"/>
        <v>551.54234145573366</v>
      </c>
      <c r="AA19" s="34">
        <f t="shared" si="3"/>
        <v>73.538978860764502</v>
      </c>
      <c r="AC19" s="30">
        <f t="shared" si="20"/>
        <v>400</v>
      </c>
    </row>
    <row r="20" spans="1:29" x14ac:dyDescent="0.2">
      <c r="A20" s="40">
        <f t="shared" si="21"/>
        <v>37108</v>
      </c>
      <c r="B20" s="54">
        <v>20000</v>
      </c>
      <c r="C20" s="28">
        <f t="shared" si="4"/>
        <v>20994.895616003359</v>
      </c>
      <c r="D20" s="54">
        <v>20000</v>
      </c>
      <c r="E20" s="19">
        <f t="shared" si="5"/>
        <v>1800</v>
      </c>
      <c r="F20" s="87">
        <v>2.4900000000000002</v>
      </c>
      <c r="G20" s="84">
        <f t="shared" si="6"/>
        <v>52277.290083848369</v>
      </c>
      <c r="H20" s="79">
        <f t="shared" si="7"/>
        <v>2062</v>
      </c>
      <c r="I20" s="20">
        <f t="shared" si="0"/>
        <v>22</v>
      </c>
      <c r="J20" s="20">
        <f t="shared" si="8"/>
        <v>2477.2900838483647</v>
      </c>
      <c r="K20" s="48">
        <f t="shared" si="9"/>
        <v>0.12386450419241823</v>
      </c>
      <c r="L20" s="20">
        <f t="shared" si="10"/>
        <v>4561.2900838483647</v>
      </c>
      <c r="M20" s="20">
        <f t="shared" si="1"/>
        <v>460</v>
      </c>
      <c r="N20" s="20">
        <f t="shared" si="11"/>
        <v>124.81203007518538</v>
      </c>
      <c r="O20" s="48">
        <f t="shared" si="12"/>
        <v>6.2406015037592688E-3</v>
      </c>
      <c r="P20" s="34">
        <f t="shared" si="13"/>
        <v>584.81203007518536</v>
      </c>
      <c r="Q20" s="57">
        <v>3.3050000000000002</v>
      </c>
      <c r="R20" s="58">
        <v>2.4900000000000002</v>
      </c>
      <c r="S20" s="36">
        <f t="shared" si="2"/>
        <v>5146.10211392355</v>
      </c>
      <c r="T20" s="49">
        <f>IF((((Q20-0.1)-($C$7+$C$8+$C$11+$C$12+K20+O20)-R20)&gt;(-$C$11+-$C$12)),((Q20-0.1)-($C$7+$C$8+$C$11+$C$12+K20+O20)-R20),(-$C$11+-$C$12))</f>
        <v>0.24949489430382243</v>
      </c>
      <c r="U20" s="37">
        <f t="shared" si="15"/>
        <v>4989.8978860764491</v>
      </c>
      <c r="V20" s="39">
        <f t="shared" si="16"/>
        <v>424.1413203164982</v>
      </c>
      <c r="W20" s="56">
        <f t="shared" si="17"/>
        <v>200.94000000000003</v>
      </c>
      <c r="X20" s="12">
        <f t="shared" si="18"/>
        <v>59848.473518088424</v>
      </c>
      <c r="Z20" s="71">
        <f t="shared" si="19"/>
        <v>551.54234145573366</v>
      </c>
      <c r="AA20" s="34">
        <f t="shared" si="3"/>
        <v>73.538978860764502</v>
      </c>
      <c r="AC20" s="30">
        <f t="shared" si="20"/>
        <v>400</v>
      </c>
    </row>
    <row r="21" spans="1:29" x14ac:dyDescent="0.2">
      <c r="A21" s="40">
        <f t="shared" si="21"/>
        <v>37109</v>
      </c>
      <c r="B21" s="54">
        <v>20000</v>
      </c>
      <c r="C21" s="28">
        <f t="shared" si="4"/>
        <v>20994.895616003359</v>
      </c>
      <c r="D21" s="54">
        <v>20000</v>
      </c>
      <c r="E21" s="19">
        <f t="shared" si="5"/>
        <v>1800</v>
      </c>
      <c r="F21" s="87">
        <v>2.4900000000000002</v>
      </c>
      <c r="G21" s="84">
        <f t="shared" si="6"/>
        <v>52277.290083848369</v>
      </c>
      <c r="H21" s="79">
        <f t="shared" si="7"/>
        <v>2062</v>
      </c>
      <c r="I21" s="20">
        <f t="shared" si="0"/>
        <v>22</v>
      </c>
      <c r="J21" s="20">
        <f t="shared" si="8"/>
        <v>2477.2900838483647</v>
      </c>
      <c r="K21" s="48">
        <f t="shared" si="9"/>
        <v>0.12386450419241823</v>
      </c>
      <c r="L21" s="20">
        <f t="shared" si="10"/>
        <v>4561.2900838483647</v>
      </c>
      <c r="M21" s="20">
        <f t="shared" si="1"/>
        <v>460</v>
      </c>
      <c r="N21" s="20">
        <f t="shared" si="11"/>
        <v>124.81203007518538</v>
      </c>
      <c r="O21" s="48">
        <f t="shared" si="12"/>
        <v>6.2406015037592688E-3</v>
      </c>
      <c r="P21" s="34">
        <f t="shared" si="13"/>
        <v>584.81203007518536</v>
      </c>
      <c r="Q21" s="57">
        <v>3.3050000000000002</v>
      </c>
      <c r="R21" s="58">
        <v>2.4900000000000002</v>
      </c>
      <c r="S21" s="36">
        <f t="shared" si="2"/>
        <v>5146.10211392355</v>
      </c>
      <c r="T21" s="49">
        <f t="shared" si="14"/>
        <v>0.24949489430382243</v>
      </c>
      <c r="U21" s="37">
        <f t="shared" si="15"/>
        <v>4989.8978860764491</v>
      </c>
      <c r="V21" s="39">
        <f t="shared" si="16"/>
        <v>424.1413203164982</v>
      </c>
      <c r="W21" s="56">
        <f t="shared" si="17"/>
        <v>200.94000000000003</v>
      </c>
      <c r="X21" s="12">
        <f t="shared" si="18"/>
        <v>59848.473518088424</v>
      </c>
      <c r="Z21" s="71">
        <f t="shared" si="19"/>
        <v>551.54234145573366</v>
      </c>
      <c r="AA21" s="34">
        <f t="shared" si="3"/>
        <v>73.538978860764502</v>
      </c>
      <c r="AC21" s="30">
        <f t="shared" si="20"/>
        <v>400</v>
      </c>
    </row>
    <row r="22" spans="1:29" x14ac:dyDescent="0.2">
      <c r="A22" s="40">
        <f t="shared" si="21"/>
        <v>37110</v>
      </c>
      <c r="B22" s="54">
        <v>20000</v>
      </c>
      <c r="C22" s="28">
        <f t="shared" si="4"/>
        <v>20994.895616003359</v>
      </c>
      <c r="D22" s="54">
        <v>20000</v>
      </c>
      <c r="E22" s="19">
        <f t="shared" si="5"/>
        <v>1800</v>
      </c>
      <c r="F22" s="87">
        <v>2.5499999999999998</v>
      </c>
      <c r="G22" s="84">
        <f t="shared" si="6"/>
        <v>53536.983820808564</v>
      </c>
      <c r="H22" s="79">
        <f t="shared" si="7"/>
        <v>2062</v>
      </c>
      <c r="I22" s="20">
        <f t="shared" si="0"/>
        <v>22</v>
      </c>
      <c r="J22" s="20">
        <f t="shared" si="8"/>
        <v>2536.9838208085671</v>
      </c>
      <c r="K22" s="48">
        <f t="shared" si="9"/>
        <v>0.12684919104042836</v>
      </c>
      <c r="L22" s="20">
        <f t="shared" si="10"/>
        <v>4620.9838208085675</v>
      </c>
      <c r="M22" s="20">
        <f t="shared" si="1"/>
        <v>460</v>
      </c>
      <c r="N22" s="20">
        <f t="shared" si="11"/>
        <v>127.81954887217672</v>
      </c>
      <c r="O22" s="48">
        <f t="shared" si="12"/>
        <v>6.3909774436088362E-3</v>
      </c>
      <c r="P22" s="34">
        <f t="shared" si="13"/>
        <v>587.81954887217671</v>
      </c>
      <c r="Q22" s="57">
        <v>3.38</v>
      </c>
      <c r="R22" s="58">
        <v>2.5499999999999998</v>
      </c>
      <c r="S22" s="36">
        <f t="shared" si="2"/>
        <v>5208.8033696807443</v>
      </c>
      <c r="T22" s="49">
        <f t="shared" si="14"/>
        <v>0.26135983151596287</v>
      </c>
      <c r="U22" s="37">
        <f t="shared" si="15"/>
        <v>5227.1966303192576</v>
      </c>
      <c r="V22" s="39">
        <f t="shared" si="16"/>
        <v>444.31171357713691</v>
      </c>
      <c r="W22" s="56">
        <f t="shared" si="17"/>
        <v>200.94000000000003</v>
      </c>
      <c r="X22" s="12">
        <f t="shared" si="18"/>
        <v>61191.038904066452</v>
      </c>
      <c r="Z22" s="71">
        <f t="shared" si="19"/>
        <v>569.33974727394434</v>
      </c>
      <c r="AA22" s="34">
        <f t="shared" si="3"/>
        <v>75.911966303192571</v>
      </c>
      <c r="AC22" s="30">
        <f t="shared" si="20"/>
        <v>400</v>
      </c>
    </row>
    <row r="23" spans="1:29" x14ac:dyDescent="0.2">
      <c r="A23" s="40">
        <f t="shared" si="21"/>
        <v>37111</v>
      </c>
      <c r="B23" s="54">
        <v>20000</v>
      </c>
      <c r="C23" s="28">
        <f t="shared" si="4"/>
        <v>20994.895616003359</v>
      </c>
      <c r="D23" s="54">
        <v>20000</v>
      </c>
      <c r="E23" s="19">
        <f t="shared" si="5"/>
        <v>1800</v>
      </c>
      <c r="F23" s="87">
        <v>2.5950000000000002</v>
      </c>
      <c r="G23" s="84">
        <f t="shared" si="6"/>
        <v>54481.754123528721</v>
      </c>
      <c r="H23" s="79">
        <f t="shared" si="7"/>
        <v>2062</v>
      </c>
      <c r="I23" s="20">
        <f t="shared" si="0"/>
        <v>22</v>
      </c>
      <c r="J23" s="20">
        <f t="shared" si="8"/>
        <v>2581.7541235287144</v>
      </c>
      <c r="K23" s="48">
        <f t="shared" si="9"/>
        <v>0.12908770617643572</v>
      </c>
      <c r="L23" s="20">
        <f t="shared" si="10"/>
        <v>4665.7541235287144</v>
      </c>
      <c r="M23" s="20">
        <f t="shared" si="1"/>
        <v>460</v>
      </c>
      <c r="N23" s="20">
        <f t="shared" si="11"/>
        <v>130.07518796992025</v>
      </c>
      <c r="O23" s="48">
        <f t="shared" si="12"/>
        <v>6.5037593984960118E-3</v>
      </c>
      <c r="P23" s="34">
        <f t="shared" si="13"/>
        <v>590.07518796992031</v>
      </c>
      <c r="Q23" s="57">
        <v>3.4</v>
      </c>
      <c r="R23" s="58">
        <v>2.5950000000000002</v>
      </c>
      <c r="S23" s="36">
        <f t="shared" si="2"/>
        <v>5255.8293114986345</v>
      </c>
      <c r="T23" s="49">
        <f>IF((((Q23-0.1)-($C$7+$C$8+$C$11+$C$12+K23+O23)-R23)&gt;(-$C$11+-$C$12)),((Q23-0.1)-($C$7+$C$8+$C$11+$C$12+K23+O23)-R23),(-$C$11+-$C$12))</f>
        <v>0.23400853442506797</v>
      </c>
      <c r="U23" s="37">
        <f t="shared" si="15"/>
        <v>4680.1706885013591</v>
      </c>
      <c r="V23" s="39">
        <f t="shared" si="16"/>
        <v>397.81450852261554</v>
      </c>
      <c r="W23" s="56">
        <f t="shared" si="17"/>
        <v>200.94000000000003</v>
      </c>
      <c r="X23" s="12">
        <f t="shared" si="18"/>
        <v>62136.337943549974</v>
      </c>
      <c r="Z23" s="71">
        <f t="shared" si="19"/>
        <v>528.31280163760186</v>
      </c>
      <c r="AA23" s="34">
        <f t="shared" si="3"/>
        <v>70.441706885013588</v>
      </c>
      <c r="AC23" s="30">
        <f t="shared" si="20"/>
        <v>400</v>
      </c>
    </row>
    <row r="24" spans="1:29" x14ac:dyDescent="0.2">
      <c r="A24" s="40">
        <f t="shared" si="21"/>
        <v>37112</v>
      </c>
      <c r="B24" s="54">
        <v>10000</v>
      </c>
      <c r="C24" s="28">
        <f t="shared" si="4"/>
        <v>10497.44780800168</v>
      </c>
      <c r="D24" s="54">
        <v>10000</v>
      </c>
      <c r="E24" s="19">
        <f t="shared" si="5"/>
        <v>1800</v>
      </c>
      <c r="F24" s="87">
        <v>2.625</v>
      </c>
      <c r="G24" s="84">
        <f t="shared" si="6"/>
        <v>27555.800496004409</v>
      </c>
      <c r="H24" s="79">
        <f t="shared" si="7"/>
        <v>2062</v>
      </c>
      <c r="I24" s="20">
        <f t="shared" si="0"/>
        <v>11</v>
      </c>
      <c r="J24" s="20">
        <f t="shared" si="8"/>
        <v>1305.8004960044079</v>
      </c>
      <c r="K24" s="48">
        <f t="shared" si="9"/>
        <v>0.13058004960044078</v>
      </c>
      <c r="L24" s="20">
        <f t="shared" si="10"/>
        <v>3378.8004960044082</v>
      </c>
      <c r="M24" s="20">
        <f t="shared" si="1"/>
        <v>230</v>
      </c>
      <c r="N24" s="20">
        <f t="shared" si="11"/>
        <v>65.789473684207962</v>
      </c>
      <c r="O24" s="48">
        <f t="shared" si="12"/>
        <v>6.5789473684207955E-3</v>
      </c>
      <c r="P24" s="34">
        <f t="shared" si="13"/>
        <v>295.78947368420796</v>
      </c>
      <c r="Q24" s="57">
        <v>3.2349999999999999</v>
      </c>
      <c r="R24" s="58">
        <v>2.625</v>
      </c>
      <c r="S24" s="36">
        <f t="shared" si="2"/>
        <v>3674.5899696886163</v>
      </c>
      <c r="T24" s="49">
        <f t="shared" ref="T24:T46" si="22">IF((((Q24-0.1)-($C$7+$C$8+$C$11+$C$12+K24+O24)-R24)&gt;(-$C$11+-$C$12)),((Q24-0.1)-($C$7+$C$8+$C$11+$C$12+K24+O24)-R24),(-$C$11+-$C$12))</f>
        <v>3.7441003031138287E-2</v>
      </c>
      <c r="U24" s="37">
        <f t="shared" si="15"/>
        <v>374.41003031138285</v>
      </c>
      <c r="V24" s="39">
        <f t="shared" si="16"/>
        <v>31.824852576467546</v>
      </c>
      <c r="W24" s="56">
        <f t="shared" si="17"/>
        <v>200.94000000000003</v>
      </c>
      <c r="X24" s="12">
        <f t="shared" si="18"/>
        <v>33263.155318269492</v>
      </c>
      <c r="Z24" s="71">
        <f t="shared" si="19"/>
        <v>205.38075227335369</v>
      </c>
      <c r="AA24" s="34">
        <f t="shared" si="3"/>
        <v>27.384100303113829</v>
      </c>
      <c r="AC24" s="30">
        <f t="shared" si="20"/>
        <v>400</v>
      </c>
    </row>
    <row r="25" spans="1:29" x14ac:dyDescent="0.2">
      <c r="A25" s="40">
        <f t="shared" si="21"/>
        <v>37113</v>
      </c>
      <c r="B25" s="54">
        <v>0</v>
      </c>
      <c r="C25" s="28">
        <f t="shared" si="4"/>
        <v>0</v>
      </c>
      <c r="D25" s="54">
        <v>0</v>
      </c>
      <c r="E25" s="19">
        <f t="shared" si="5"/>
        <v>1800</v>
      </c>
      <c r="F25" s="87">
        <v>2.61</v>
      </c>
      <c r="G25" s="84">
        <f t="shared" si="6"/>
        <v>0</v>
      </c>
      <c r="H25" s="79">
        <f t="shared" si="7"/>
        <v>2062</v>
      </c>
      <c r="I25" s="20">
        <f t="shared" si="0"/>
        <v>0</v>
      </c>
      <c r="J25" s="20">
        <f t="shared" si="8"/>
        <v>0</v>
      </c>
      <c r="K25" s="48">
        <f t="shared" si="9"/>
        <v>0.12983387788843803</v>
      </c>
      <c r="L25" s="20">
        <f t="shared" si="10"/>
        <v>2062</v>
      </c>
      <c r="M25" s="20">
        <f t="shared" si="1"/>
        <v>0</v>
      </c>
      <c r="N25" s="20">
        <f t="shared" si="11"/>
        <v>0</v>
      </c>
      <c r="O25" s="48">
        <f t="shared" si="12"/>
        <v>6.5413533834584037E-3</v>
      </c>
      <c r="P25" s="34">
        <f t="shared" si="13"/>
        <v>0</v>
      </c>
      <c r="Q25" s="57">
        <v>3.2</v>
      </c>
      <c r="R25" s="58">
        <v>2.61</v>
      </c>
      <c r="S25" s="36">
        <f t="shared" si="2"/>
        <v>2062</v>
      </c>
      <c r="T25" s="49">
        <f t="shared" si="22"/>
        <v>1.8224768728103857E-2</v>
      </c>
      <c r="U25" s="37">
        <f t="shared" si="15"/>
        <v>0</v>
      </c>
      <c r="V25" s="39">
        <f t="shared" si="16"/>
        <v>0</v>
      </c>
      <c r="W25" s="56">
        <f t="shared" si="17"/>
        <v>200.94000000000003</v>
      </c>
      <c r="X25" s="12">
        <f t="shared" si="18"/>
        <v>4062.94</v>
      </c>
      <c r="Z25" s="71">
        <f t="shared" si="19"/>
        <v>177.29999999999998</v>
      </c>
      <c r="AA25" s="34">
        <f t="shared" si="3"/>
        <v>23.64</v>
      </c>
      <c r="AC25" s="30">
        <f t="shared" si="20"/>
        <v>400</v>
      </c>
    </row>
    <row r="26" spans="1:29" x14ac:dyDescent="0.2">
      <c r="A26" s="40">
        <f t="shared" si="21"/>
        <v>37114</v>
      </c>
      <c r="B26" s="54">
        <v>18600</v>
      </c>
      <c r="C26" s="28">
        <f t="shared" si="4"/>
        <v>19525.252922883123</v>
      </c>
      <c r="D26" s="54">
        <v>18600</v>
      </c>
      <c r="E26" s="19">
        <f t="shared" si="5"/>
        <v>1800</v>
      </c>
      <c r="F26" s="87">
        <v>2.48</v>
      </c>
      <c r="G26" s="84">
        <f t="shared" si="6"/>
        <v>48422.627248750141</v>
      </c>
      <c r="H26" s="79">
        <f t="shared" si="7"/>
        <v>2062</v>
      </c>
      <c r="I26" s="20">
        <f t="shared" si="0"/>
        <v>20.46</v>
      </c>
      <c r="J26" s="20">
        <f t="shared" si="8"/>
        <v>2294.6272487501506</v>
      </c>
      <c r="K26" s="48">
        <f t="shared" si="9"/>
        <v>0.1233670563844167</v>
      </c>
      <c r="L26" s="20">
        <f t="shared" si="10"/>
        <v>4377.087248750151</v>
      </c>
      <c r="M26" s="20">
        <f t="shared" si="1"/>
        <v>427.8</v>
      </c>
      <c r="N26" s="20">
        <f t="shared" si="11"/>
        <v>115.60902255638874</v>
      </c>
      <c r="O26" s="48">
        <f t="shared" si="12"/>
        <v>6.2155388471176742E-3</v>
      </c>
      <c r="P26" s="34">
        <f t="shared" si="13"/>
        <v>543.40902255638878</v>
      </c>
      <c r="Q26" s="57">
        <v>2.96</v>
      </c>
      <c r="R26" s="58">
        <v>2.48</v>
      </c>
      <c r="S26" s="36">
        <f t="shared" si="2"/>
        <v>4920.4962713065397</v>
      </c>
      <c r="T26" s="49">
        <f t="shared" si="22"/>
        <v>-8.4982595231534397E-2</v>
      </c>
      <c r="U26" s="37">
        <f t="shared" si="15"/>
        <v>-1580.6762713065398</v>
      </c>
      <c r="V26" s="39">
        <f t="shared" si="16"/>
        <v>-134.35748306105589</v>
      </c>
      <c r="W26" s="56">
        <f t="shared" si="17"/>
        <v>200.94000000000003</v>
      </c>
      <c r="X26" s="12">
        <f t="shared" si="18"/>
        <v>55209.706036995631</v>
      </c>
      <c r="Z26" s="71">
        <f t="shared" si="19"/>
        <v>58.749279652009506</v>
      </c>
      <c r="AA26" s="34">
        <f t="shared" si="3"/>
        <v>7.8332372869346027</v>
      </c>
      <c r="AC26" s="30">
        <f t="shared" si="20"/>
        <v>400</v>
      </c>
    </row>
    <row r="27" spans="1:29" x14ac:dyDescent="0.2">
      <c r="A27" s="40">
        <f t="shared" si="21"/>
        <v>37115</v>
      </c>
      <c r="B27" s="54">
        <v>20000</v>
      </c>
      <c r="C27" s="28">
        <f t="shared" si="4"/>
        <v>20994.895616003359</v>
      </c>
      <c r="D27" s="54">
        <v>20000</v>
      </c>
      <c r="E27" s="19">
        <f t="shared" si="5"/>
        <v>1800</v>
      </c>
      <c r="F27" s="87">
        <v>2.48</v>
      </c>
      <c r="G27" s="84">
        <f t="shared" si="6"/>
        <v>52067.341127688334</v>
      </c>
      <c r="H27" s="79">
        <f t="shared" si="7"/>
        <v>2062</v>
      </c>
      <c r="I27" s="20">
        <f t="shared" si="0"/>
        <v>22</v>
      </c>
      <c r="J27" s="20">
        <f t="shared" si="8"/>
        <v>2467.3411276883339</v>
      </c>
      <c r="K27" s="48">
        <f t="shared" si="9"/>
        <v>0.1233670563844167</v>
      </c>
      <c r="L27" s="20">
        <f t="shared" si="10"/>
        <v>4551.3411276883344</v>
      </c>
      <c r="M27" s="20">
        <f t="shared" si="1"/>
        <v>460</v>
      </c>
      <c r="N27" s="20">
        <f t="shared" si="11"/>
        <v>124.31077694235348</v>
      </c>
      <c r="O27" s="48">
        <f t="shared" si="12"/>
        <v>6.2155388471176742E-3</v>
      </c>
      <c r="P27" s="34">
        <f t="shared" si="13"/>
        <v>584.31077694235353</v>
      </c>
      <c r="Q27" s="57">
        <v>2.96</v>
      </c>
      <c r="R27" s="58">
        <v>2.48</v>
      </c>
      <c r="S27" s="36">
        <f t="shared" si="2"/>
        <v>5135.6519046306876</v>
      </c>
      <c r="T27" s="49">
        <f t="shared" si="22"/>
        <v>-8.4982595231534397E-2</v>
      </c>
      <c r="U27" s="37">
        <f t="shared" si="15"/>
        <v>-1699.651904630688</v>
      </c>
      <c r="V27" s="39">
        <f t="shared" si="16"/>
        <v>-144.47041189360849</v>
      </c>
      <c r="W27" s="56">
        <f t="shared" si="17"/>
        <v>200.94000000000003</v>
      </c>
      <c r="X27" s="12">
        <f t="shared" si="18"/>
        <v>59059.462620425416</v>
      </c>
      <c r="Z27" s="71">
        <f t="shared" si="19"/>
        <v>49.826107152698384</v>
      </c>
      <c r="AA27" s="34">
        <f t="shared" si="3"/>
        <v>6.6434809536931212</v>
      </c>
      <c r="AC27" s="30">
        <f t="shared" si="20"/>
        <v>400</v>
      </c>
    </row>
    <row r="28" spans="1:29" x14ac:dyDescent="0.2">
      <c r="A28" s="40">
        <f t="shared" si="21"/>
        <v>37116</v>
      </c>
      <c r="B28" s="54">
        <v>20000</v>
      </c>
      <c r="C28" s="28">
        <f t="shared" si="4"/>
        <v>20994.895616003359</v>
      </c>
      <c r="D28" s="54">
        <v>20000</v>
      </c>
      <c r="E28" s="19">
        <f t="shared" si="5"/>
        <v>1800</v>
      </c>
      <c r="F28" s="87">
        <v>2.48</v>
      </c>
      <c r="G28" s="84">
        <f t="shared" si="6"/>
        <v>52067.341127688334</v>
      </c>
      <c r="H28" s="79">
        <f t="shared" si="7"/>
        <v>2062</v>
      </c>
      <c r="I28" s="20">
        <f t="shared" si="0"/>
        <v>22</v>
      </c>
      <c r="J28" s="20">
        <f t="shared" si="8"/>
        <v>2467.3411276883339</v>
      </c>
      <c r="K28" s="48">
        <f t="shared" si="9"/>
        <v>0.1233670563844167</v>
      </c>
      <c r="L28" s="20">
        <f t="shared" si="10"/>
        <v>4551.3411276883344</v>
      </c>
      <c r="M28" s="20">
        <f t="shared" si="1"/>
        <v>460</v>
      </c>
      <c r="N28" s="20">
        <f t="shared" si="11"/>
        <v>124.31077694235348</v>
      </c>
      <c r="O28" s="48">
        <f t="shared" si="12"/>
        <v>6.2155388471176742E-3</v>
      </c>
      <c r="P28" s="34">
        <f t="shared" si="13"/>
        <v>584.31077694235353</v>
      </c>
      <c r="Q28" s="57">
        <v>2.96</v>
      </c>
      <c r="R28" s="58">
        <v>2.48</v>
      </c>
      <c r="S28" s="36">
        <f t="shared" si="2"/>
        <v>5135.6519046306876</v>
      </c>
      <c r="T28" s="49">
        <f t="shared" si="22"/>
        <v>-8.4982595231534397E-2</v>
      </c>
      <c r="U28" s="37">
        <f t="shared" si="15"/>
        <v>-1699.651904630688</v>
      </c>
      <c r="V28" s="39">
        <f t="shared" si="16"/>
        <v>-144.47041189360849</v>
      </c>
      <c r="W28" s="56">
        <f t="shared" si="17"/>
        <v>200.94000000000003</v>
      </c>
      <c r="X28" s="12">
        <f t="shared" si="18"/>
        <v>59059.462620425416</v>
      </c>
      <c r="Z28" s="71">
        <f t="shared" si="19"/>
        <v>49.826107152698384</v>
      </c>
      <c r="AA28" s="34">
        <f t="shared" si="3"/>
        <v>6.6434809536931212</v>
      </c>
      <c r="AC28" s="30">
        <f t="shared" si="20"/>
        <v>400</v>
      </c>
    </row>
    <row r="29" spans="1:29" x14ac:dyDescent="0.2">
      <c r="A29" s="40">
        <f t="shared" si="21"/>
        <v>37117</v>
      </c>
      <c r="B29" s="54">
        <v>20000</v>
      </c>
      <c r="C29" s="28">
        <f t="shared" si="4"/>
        <v>20994.895616003359</v>
      </c>
      <c r="D29" s="54">
        <v>20000</v>
      </c>
      <c r="E29" s="19">
        <f t="shared" si="5"/>
        <v>1800</v>
      </c>
      <c r="F29" s="87">
        <v>2.5449999999999999</v>
      </c>
      <c r="G29" s="84">
        <f t="shared" si="6"/>
        <v>53432.009342728546</v>
      </c>
      <c r="H29" s="79">
        <f t="shared" si="7"/>
        <v>2062</v>
      </c>
      <c r="I29" s="20">
        <f t="shared" si="0"/>
        <v>22</v>
      </c>
      <c r="J29" s="20">
        <f t="shared" si="8"/>
        <v>2532.0093427285519</v>
      </c>
      <c r="K29" s="48">
        <f t="shared" si="9"/>
        <v>0.12660046713642759</v>
      </c>
      <c r="L29" s="20">
        <f t="shared" si="10"/>
        <v>4616.0093427285519</v>
      </c>
      <c r="M29" s="20">
        <f t="shared" si="1"/>
        <v>460</v>
      </c>
      <c r="N29" s="20">
        <f t="shared" si="11"/>
        <v>127.56892230576078</v>
      </c>
      <c r="O29" s="48">
        <f t="shared" si="12"/>
        <v>6.378446115288039E-3</v>
      </c>
      <c r="P29" s="34">
        <f t="shared" si="13"/>
        <v>587.56892230576079</v>
      </c>
      <c r="Q29" s="57">
        <v>3.03</v>
      </c>
      <c r="R29" s="58">
        <v>2.5449999999999999</v>
      </c>
      <c r="S29" s="36">
        <f t="shared" si="2"/>
        <v>5203.5782650343126</v>
      </c>
      <c r="T29" s="49">
        <f t="shared" si="22"/>
        <v>-8.3378913251715758E-2</v>
      </c>
      <c r="U29" s="37">
        <f t="shared" si="15"/>
        <v>-1667.5782650343151</v>
      </c>
      <c r="V29" s="39">
        <f t="shared" si="16"/>
        <v>-141.74415252791678</v>
      </c>
      <c r="W29" s="56">
        <f t="shared" si="17"/>
        <v>200.94000000000003</v>
      </c>
      <c r="X29" s="12">
        <f t="shared" si="18"/>
        <v>60494.783455234945</v>
      </c>
      <c r="Z29" s="71">
        <f t="shared" si="19"/>
        <v>52.231630122426353</v>
      </c>
      <c r="AA29" s="34">
        <f t="shared" si="3"/>
        <v>6.9642173496568489</v>
      </c>
      <c r="AC29" s="30">
        <f t="shared" si="20"/>
        <v>400</v>
      </c>
    </row>
    <row r="30" spans="1:29" x14ac:dyDescent="0.2">
      <c r="A30" s="40">
        <f t="shared" si="21"/>
        <v>37118</v>
      </c>
      <c r="B30" s="54">
        <v>20000</v>
      </c>
      <c r="C30" s="28">
        <f t="shared" si="4"/>
        <v>20994.895616003359</v>
      </c>
      <c r="D30" s="54">
        <v>20000</v>
      </c>
      <c r="E30" s="19">
        <f t="shared" si="5"/>
        <v>1800</v>
      </c>
      <c r="F30" s="87">
        <v>2.5499999999999998</v>
      </c>
      <c r="G30" s="84">
        <f t="shared" si="6"/>
        <v>53536.983820808564</v>
      </c>
      <c r="H30" s="79">
        <f t="shared" si="7"/>
        <v>2062</v>
      </c>
      <c r="I30" s="20">
        <f t="shared" si="0"/>
        <v>22</v>
      </c>
      <c r="J30" s="20">
        <f t="shared" si="8"/>
        <v>2536.9838208085671</v>
      </c>
      <c r="K30" s="48">
        <f t="shared" si="9"/>
        <v>0.12684919104042836</v>
      </c>
      <c r="L30" s="20">
        <f t="shared" si="10"/>
        <v>4620.9838208085675</v>
      </c>
      <c r="M30" s="20">
        <f t="shared" si="1"/>
        <v>460</v>
      </c>
      <c r="N30" s="20">
        <f t="shared" si="11"/>
        <v>127.81954887217672</v>
      </c>
      <c r="O30" s="48">
        <f t="shared" si="12"/>
        <v>6.3909774436088362E-3</v>
      </c>
      <c r="P30" s="34">
        <f t="shared" si="13"/>
        <v>587.81954887217671</v>
      </c>
      <c r="Q30" s="57">
        <v>3.145</v>
      </c>
      <c r="R30" s="58">
        <v>2.5499999999999998</v>
      </c>
      <c r="S30" s="36">
        <f t="shared" si="2"/>
        <v>5208.8033696807443</v>
      </c>
      <c r="T30" s="49">
        <f t="shared" si="22"/>
        <v>2.6359831515962995E-2</v>
      </c>
      <c r="U30" s="37">
        <f t="shared" si="15"/>
        <v>527.19663031925984</v>
      </c>
      <c r="V30" s="39">
        <f t="shared" si="16"/>
        <v>44.811713577137091</v>
      </c>
      <c r="W30" s="56">
        <f t="shared" si="17"/>
        <v>200.94000000000003</v>
      </c>
      <c r="X30" s="12">
        <f t="shared" si="18"/>
        <v>60791.538904066452</v>
      </c>
      <c r="Z30" s="71">
        <f t="shared" si="19"/>
        <v>216.83974727394445</v>
      </c>
      <c r="AA30" s="34">
        <f t="shared" si="3"/>
        <v>28.9119663031926</v>
      </c>
      <c r="AC30" s="30">
        <f t="shared" si="20"/>
        <v>400</v>
      </c>
    </row>
    <row r="31" spans="1:29" x14ac:dyDescent="0.2">
      <c r="A31" s="40">
        <f t="shared" si="21"/>
        <v>37119</v>
      </c>
      <c r="B31" s="54">
        <v>20000</v>
      </c>
      <c r="C31" s="28">
        <f t="shared" si="4"/>
        <v>20994.895616003359</v>
      </c>
      <c r="D31" s="54">
        <v>20000</v>
      </c>
      <c r="E31" s="19">
        <f t="shared" si="5"/>
        <v>1800</v>
      </c>
      <c r="F31" s="87">
        <v>2.6349999999999998</v>
      </c>
      <c r="G31" s="84">
        <f t="shared" si="6"/>
        <v>55321.549948168846</v>
      </c>
      <c r="H31" s="79">
        <f t="shared" si="7"/>
        <v>2062</v>
      </c>
      <c r="I31" s="20">
        <f t="shared" si="0"/>
        <v>22</v>
      </c>
      <c r="J31" s="20">
        <f t="shared" si="8"/>
        <v>2621.5499481688466</v>
      </c>
      <c r="K31" s="48">
        <f t="shared" si="9"/>
        <v>0.13107749740844232</v>
      </c>
      <c r="L31" s="20">
        <f t="shared" si="10"/>
        <v>4705.5499481688466</v>
      </c>
      <c r="M31" s="20">
        <f t="shared" si="1"/>
        <v>460</v>
      </c>
      <c r="N31" s="20">
        <f t="shared" si="11"/>
        <v>132.08020050124782</v>
      </c>
      <c r="O31" s="48">
        <f t="shared" si="12"/>
        <v>6.6040100250623901E-3</v>
      </c>
      <c r="P31" s="34">
        <f t="shared" si="13"/>
        <v>592.08020050124787</v>
      </c>
      <c r="Q31" s="57">
        <v>3.2149999999999999</v>
      </c>
      <c r="R31" s="58">
        <v>2.6349999999999998</v>
      </c>
      <c r="S31" s="36">
        <f t="shared" si="2"/>
        <v>5297.6301486700941</v>
      </c>
      <c r="T31" s="49">
        <f t="shared" si="22"/>
        <v>6.9184925664953489E-3</v>
      </c>
      <c r="U31" s="37">
        <f t="shared" si="15"/>
        <v>138.36985132990696</v>
      </c>
      <c r="V31" s="39">
        <f t="shared" si="16"/>
        <v>11.761437363042093</v>
      </c>
      <c r="W31" s="56">
        <f t="shared" si="17"/>
        <v>200.94000000000003</v>
      </c>
      <c r="X31" s="12">
        <f t="shared" si="18"/>
        <v>62631.881534201988</v>
      </c>
      <c r="Z31" s="71">
        <f t="shared" si="19"/>
        <v>187.67773884974301</v>
      </c>
      <c r="AA31" s="34">
        <f t="shared" si="3"/>
        <v>25.02369851329907</v>
      </c>
      <c r="AC31" s="30">
        <f t="shared" si="20"/>
        <v>400</v>
      </c>
    </row>
    <row r="32" spans="1:29" x14ac:dyDescent="0.2">
      <c r="A32" s="40">
        <f t="shared" si="21"/>
        <v>37120</v>
      </c>
      <c r="B32" s="53">
        <v>20000</v>
      </c>
      <c r="C32" s="28">
        <f t="shared" si="4"/>
        <v>20994.895616003359</v>
      </c>
      <c r="D32" s="53">
        <v>20000</v>
      </c>
      <c r="E32" s="19">
        <f t="shared" si="5"/>
        <v>1800</v>
      </c>
      <c r="F32" s="87">
        <v>3.0950000000000002</v>
      </c>
      <c r="G32" s="84">
        <f t="shared" si="6"/>
        <v>64979.201931530399</v>
      </c>
      <c r="H32" s="79">
        <f t="shared" si="7"/>
        <v>2062</v>
      </c>
      <c r="I32" s="20">
        <f t="shared" si="0"/>
        <v>22</v>
      </c>
      <c r="J32" s="20">
        <f t="shared" si="8"/>
        <v>3079.2019315303955</v>
      </c>
      <c r="K32" s="48">
        <f t="shared" si="9"/>
        <v>0.15396009657651977</v>
      </c>
      <c r="L32" s="20">
        <f t="shared" si="10"/>
        <v>5163.2019315303951</v>
      </c>
      <c r="M32" s="20">
        <f t="shared" si="1"/>
        <v>460</v>
      </c>
      <c r="N32" s="20">
        <f t="shared" si="11"/>
        <v>155.13784461152369</v>
      </c>
      <c r="O32" s="48">
        <f t="shared" si="12"/>
        <v>7.7568922305761845E-3</v>
      </c>
      <c r="P32" s="34">
        <f t="shared" si="13"/>
        <v>615.13784461152363</v>
      </c>
      <c r="Q32" s="57">
        <v>3.59</v>
      </c>
      <c r="R32" s="59">
        <v>3.0950000000000002</v>
      </c>
      <c r="S32" s="36">
        <f t="shared" si="2"/>
        <v>5778.3397761419183</v>
      </c>
      <c r="T32" s="49">
        <f t="shared" si="22"/>
        <v>-0.1021169888070963</v>
      </c>
      <c r="U32" s="37">
        <f t="shared" si="15"/>
        <v>-2042.339776141926</v>
      </c>
      <c r="V32" s="39">
        <f t="shared" si="16"/>
        <v>-173.59888097206371</v>
      </c>
      <c r="W32" s="56">
        <f t="shared" si="17"/>
        <v>200.94000000000003</v>
      </c>
      <c r="X32" s="12">
        <f t="shared" si="18"/>
        <v>72584.882826700268</v>
      </c>
      <c r="Z32" s="71">
        <f t="shared" si="19"/>
        <v>24.124516789355539</v>
      </c>
      <c r="AA32" s="34">
        <f t="shared" si="3"/>
        <v>3.2166022385807409</v>
      </c>
      <c r="AC32" s="30">
        <f t="shared" si="20"/>
        <v>400</v>
      </c>
    </row>
    <row r="33" spans="1:29" x14ac:dyDescent="0.2">
      <c r="A33" s="40">
        <f t="shared" si="21"/>
        <v>37121</v>
      </c>
      <c r="B33" s="54">
        <v>20000</v>
      </c>
      <c r="C33" s="28">
        <f t="shared" si="4"/>
        <v>20994.895616003359</v>
      </c>
      <c r="D33" s="54">
        <v>20000</v>
      </c>
      <c r="E33" s="19">
        <f t="shared" si="5"/>
        <v>1800</v>
      </c>
      <c r="F33" s="87">
        <v>2.83</v>
      </c>
      <c r="G33" s="84">
        <f t="shared" si="6"/>
        <v>59415.554593289511</v>
      </c>
      <c r="H33" s="79">
        <f t="shared" si="7"/>
        <v>2062</v>
      </c>
      <c r="I33" s="20">
        <f t="shared" si="0"/>
        <v>22</v>
      </c>
      <c r="J33" s="20">
        <f t="shared" si="8"/>
        <v>2815.5545932895088</v>
      </c>
      <c r="K33" s="48">
        <f t="shared" si="9"/>
        <v>0.14077772966447544</v>
      </c>
      <c r="L33" s="20">
        <f t="shared" si="10"/>
        <v>4899.5545932895093</v>
      </c>
      <c r="M33" s="20">
        <f t="shared" si="1"/>
        <v>460</v>
      </c>
      <c r="N33" s="20">
        <f t="shared" si="11"/>
        <v>141.85463659147857</v>
      </c>
      <c r="O33" s="48">
        <f t="shared" si="12"/>
        <v>7.0927318295739283E-3</v>
      </c>
      <c r="P33" s="34">
        <f t="shared" si="13"/>
        <v>601.85463659147854</v>
      </c>
      <c r="Q33" s="57">
        <v>3.2149999999999999</v>
      </c>
      <c r="R33" s="58">
        <v>2.83</v>
      </c>
      <c r="S33" s="36">
        <f t="shared" si="2"/>
        <v>5501.4092298809883</v>
      </c>
      <c r="T33" s="49">
        <f t="shared" si="22"/>
        <v>-0.19827046149404959</v>
      </c>
      <c r="U33" s="37">
        <f t="shared" si="15"/>
        <v>-3965.4092298809919</v>
      </c>
      <c r="V33" s="39">
        <f t="shared" si="16"/>
        <v>-337.05978453988433</v>
      </c>
      <c r="W33" s="56">
        <f t="shared" si="17"/>
        <v>200.94000000000003</v>
      </c>
      <c r="X33" s="12">
        <f t="shared" si="18"/>
        <v>66580.844038630617</v>
      </c>
      <c r="Z33" s="71">
        <f t="shared" si="19"/>
        <v>-120.10569224107442</v>
      </c>
      <c r="AA33" s="34">
        <f t="shared" si="3"/>
        <v>-16.014092298809921</v>
      </c>
      <c r="AC33" s="30">
        <f t="shared" si="20"/>
        <v>400</v>
      </c>
    </row>
    <row r="34" spans="1:29" x14ac:dyDescent="0.2">
      <c r="A34" s="40">
        <f t="shared" si="21"/>
        <v>37122</v>
      </c>
      <c r="B34" s="54">
        <v>19077</v>
      </c>
      <c r="C34" s="28">
        <f t="shared" si="4"/>
        <v>20025.981183324802</v>
      </c>
      <c r="D34" s="54">
        <v>19077</v>
      </c>
      <c r="E34" s="19">
        <f t="shared" si="5"/>
        <v>1800</v>
      </c>
      <c r="F34" s="87">
        <v>2.83</v>
      </c>
      <c r="G34" s="84">
        <f t="shared" si="6"/>
        <v>56673.526748809192</v>
      </c>
      <c r="H34" s="79">
        <f t="shared" si="7"/>
        <v>2062</v>
      </c>
      <c r="I34" s="20">
        <f t="shared" si="0"/>
        <v>20.9847</v>
      </c>
      <c r="J34" s="20">
        <f t="shared" si="8"/>
        <v>2685.6167488091978</v>
      </c>
      <c r="K34" s="48">
        <f t="shared" si="9"/>
        <v>0.14077772966447544</v>
      </c>
      <c r="L34" s="20">
        <f t="shared" si="10"/>
        <v>4768.6014488091978</v>
      </c>
      <c r="M34" s="20">
        <f t="shared" si="1"/>
        <v>438.77100000000002</v>
      </c>
      <c r="N34" s="20">
        <f t="shared" si="11"/>
        <v>135.30804511278183</v>
      </c>
      <c r="O34" s="48">
        <f t="shared" si="12"/>
        <v>7.0927318295739283E-3</v>
      </c>
      <c r="P34" s="34">
        <f t="shared" si="13"/>
        <v>574.07904511278184</v>
      </c>
      <c r="Q34" s="57">
        <v>3.2149999999999999</v>
      </c>
      <c r="R34" s="58">
        <v>2.83</v>
      </c>
      <c r="S34" s="36">
        <f t="shared" si="2"/>
        <v>5342.6804939219801</v>
      </c>
      <c r="T34" s="49">
        <f t="shared" si="22"/>
        <v>-0.19827046149404959</v>
      </c>
      <c r="U34" s="37">
        <f t="shared" si="15"/>
        <v>-3782.4055939219838</v>
      </c>
      <c r="V34" s="39">
        <f t="shared" si="16"/>
        <v>-321.50447548336865</v>
      </c>
      <c r="W34" s="56">
        <f t="shared" si="17"/>
        <v>200.94000000000003</v>
      </c>
      <c r="X34" s="12">
        <f t="shared" si="18"/>
        <v>63695.642767247809</v>
      </c>
      <c r="Z34" s="71">
        <f t="shared" si="19"/>
        <v>-106.38041954414879</v>
      </c>
      <c r="AA34" s="34">
        <f t="shared" si="3"/>
        <v>-14.184055939219839</v>
      </c>
      <c r="AC34" s="30">
        <f t="shared" si="20"/>
        <v>400</v>
      </c>
    </row>
    <row r="35" spans="1:29" x14ac:dyDescent="0.2">
      <c r="A35" s="40">
        <f t="shared" si="21"/>
        <v>37123</v>
      </c>
      <c r="B35" s="54">
        <v>20000</v>
      </c>
      <c r="C35" s="28">
        <f t="shared" si="4"/>
        <v>20994.895616003359</v>
      </c>
      <c r="D35" s="54">
        <v>20000</v>
      </c>
      <c r="E35" s="19">
        <f t="shared" si="5"/>
        <v>1800</v>
      </c>
      <c r="F35" s="87">
        <v>2.83</v>
      </c>
      <c r="G35" s="84">
        <f t="shared" si="6"/>
        <v>59415.554593289511</v>
      </c>
      <c r="H35" s="79">
        <f t="shared" si="7"/>
        <v>2062</v>
      </c>
      <c r="I35" s="20">
        <f t="shared" si="0"/>
        <v>22</v>
      </c>
      <c r="J35" s="20">
        <f t="shared" si="8"/>
        <v>2815.5545932895088</v>
      </c>
      <c r="K35" s="48">
        <f t="shared" si="9"/>
        <v>0.14077772966447544</v>
      </c>
      <c r="L35" s="20">
        <f t="shared" si="10"/>
        <v>4899.5545932895093</v>
      </c>
      <c r="M35" s="20">
        <f t="shared" si="1"/>
        <v>460</v>
      </c>
      <c r="N35" s="20">
        <f t="shared" si="11"/>
        <v>141.85463659147857</v>
      </c>
      <c r="O35" s="48">
        <f t="shared" si="12"/>
        <v>7.0927318295739283E-3</v>
      </c>
      <c r="P35" s="34">
        <f t="shared" si="13"/>
        <v>601.85463659147854</v>
      </c>
      <c r="Q35" s="57">
        <v>3.2149999999999999</v>
      </c>
      <c r="R35" s="58">
        <v>2.83</v>
      </c>
      <c r="S35" s="36">
        <f t="shared" si="2"/>
        <v>5501.4092298809883</v>
      </c>
      <c r="T35" s="49">
        <f t="shared" si="22"/>
        <v>-0.19827046149404959</v>
      </c>
      <c r="U35" s="37">
        <f t="shared" si="15"/>
        <v>-3965.4092298809919</v>
      </c>
      <c r="V35" s="39">
        <f t="shared" si="16"/>
        <v>-337.05978453988433</v>
      </c>
      <c r="W35" s="56">
        <f t="shared" si="17"/>
        <v>200.94000000000003</v>
      </c>
      <c r="X35" s="12">
        <f t="shared" si="18"/>
        <v>66580.844038630617</v>
      </c>
      <c r="Z35" s="71">
        <f t="shared" si="19"/>
        <v>-120.10569224107442</v>
      </c>
      <c r="AA35" s="34">
        <f t="shared" si="3"/>
        <v>-16.014092298809921</v>
      </c>
      <c r="AC35" s="30">
        <f t="shared" si="20"/>
        <v>400</v>
      </c>
    </row>
    <row r="36" spans="1:29" x14ac:dyDescent="0.2">
      <c r="A36" s="40">
        <f t="shared" si="21"/>
        <v>37124</v>
      </c>
      <c r="B36" s="54">
        <v>20000</v>
      </c>
      <c r="C36" s="28">
        <f t="shared" si="4"/>
        <v>20994.895616003359</v>
      </c>
      <c r="D36" s="54">
        <v>20000</v>
      </c>
      <c r="E36" s="19">
        <f t="shared" si="5"/>
        <v>1800</v>
      </c>
      <c r="F36" s="87">
        <v>2.855</v>
      </c>
      <c r="G36" s="84">
        <f t="shared" si="6"/>
        <v>59940.426983689591</v>
      </c>
      <c r="H36" s="79">
        <f t="shared" si="7"/>
        <v>2062</v>
      </c>
      <c r="I36" s="20">
        <f t="shared" si="0"/>
        <v>22</v>
      </c>
      <c r="J36" s="20">
        <f t="shared" si="8"/>
        <v>2840.4269836895946</v>
      </c>
      <c r="K36" s="48">
        <f t="shared" si="9"/>
        <v>0.14202134918447973</v>
      </c>
      <c r="L36" s="20">
        <f t="shared" si="10"/>
        <v>4924.4269836895946</v>
      </c>
      <c r="M36" s="20">
        <f t="shared" si="1"/>
        <v>460</v>
      </c>
      <c r="N36" s="20">
        <f t="shared" si="11"/>
        <v>143.1077694235583</v>
      </c>
      <c r="O36" s="48">
        <f t="shared" si="12"/>
        <v>7.1553884711779148E-3</v>
      </c>
      <c r="P36" s="34">
        <f t="shared" si="13"/>
        <v>603.10776942355824</v>
      </c>
      <c r="Q36" s="57">
        <v>3.2</v>
      </c>
      <c r="R36" s="58">
        <v>2.855</v>
      </c>
      <c r="S36" s="36">
        <f t="shared" si="2"/>
        <v>5527.5347531131529</v>
      </c>
      <c r="T36" s="49">
        <f t="shared" si="22"/>
        <v>-0.23119999999999999</v>
      </c>
      <c r="U36" s="37">
        <f t="shared" si="15"/>
        <v>-4624</v>
      </c>
      <c r="V36" s="39">
        <f t="shared" si="16"/>
        <v>-393.04</v>
      </c>
      <c r="W36" s="56">
        <f t="shared" si="17"/>
        <v>200.94000000000003</v>
      </c>
      <c r="X36" s="12">
        <f t="shared" si="18"/>
        <v>67075.861736802748</v>
      </c>
      <c r="Z36" s="71">
        <f t="shared" si="19"/>
        <v>-169.50000000000003</v>
      </c>
      <c r="AA36" s="34">
        <f t="shared" si="3"/>
        <v>-22.6</v>
      </c>
      <c r="AC36" s="30">
        <f t="shared" si="20"/>
        <v>400</v>
      </c>
    </row>
    <row r="37" spans="1:29" x14ac:dyDescent="0.2">
      <c r="A37" s="40">
        <f t="shared" si="21"/>
        <v>37125</v>
      </c>
      <c r="B37" s="54">
        <v>20000</v>
      </c>
      <c r="C37" s="28">
        <f t="shared" si="4"/>
        <v>20994.895616003359</v>
      </c>
      <c r="D37" s="54">
        <v>20000</v>
      </c>
      <c r="E37" s="19">
        <f t="shared" si="5"/>
        <v>1800</v>
      </c>
      <c r="F37" s="87">
        <v>2.9249999999999998</v>
      </c>
      <c r="G37" s="84">
        <f t="shared" si="6"/>
        <v>61410.069676809821</v>
      </c>
      <c r="H37" s="79">
        <f t="shared" si="7"/>
        <v>2062</v>
      </c>
      <c r="I37" s="20">
        <f t="shared" si="0"/>
        <v>22</v>
      </c>
      <c r="J37" s="20">
        <f t="shared" si="8"/>
        <v>2910.0696768098278</v>
      </c>
      <c r="K37" s="48">
        <f t="shared" si="9"/>
        <v>0.14550348384049139</v>
      </c>
      <c r="L37" s="20">
        <f t="shared" si="10"/>
        <v>4994.0696768098278</v>
      </c>
      <c r="M37" s="20">
        <f t="shared" si="1"/>
        <v>460</v>
      </c>
      <c r="N37" s="20">
        <f t="shared" si="11"/>
        <v>146.61654135338154</v>
      </c>
      <c r="O37" s="48">
        <f t="shared" si="12"/>
        <v>7.3308270676690768E-3</v>
      </c>
      <c r="P37" s="34">
        <f t="shared" si="13"/>
        <v>606.61654135338154</v>
      </c>
      <c r="Q37" s="57">
        <v>3.26</v>
      </c>
      <c r="R37" s="58">
        <v>2.9249999999999998</v>
      </c>
      <c r="S37" s="36">
        <f t="shared" si="2"/>
        <v>5600.6862181632096</v>
      </c>
      <c r="T37" s="49">
        <f t="shared" si="22"/>
        <v>-0.23119999999999999</v>
      </c>
      <c r="U37" s="37">
        <f t="shared" si="15"/>
        <v>-4624</v>
      </c>
      <c r="V37" s="39">
        <f t="shared" si="16"/>
        <v>-393.04</v>
      </c>
      <c r="W37" s="56">
        <f t="shared" si="17"/>
        <v>200.94000000000003</v>
      </c>
      <c r="X37" s="12">
        <f t="shared" si="18"/>
        <v>68618.655894973039</v>
      </c>
      <c r="Z37" s="71">
        <f t="shared" si="19"/>
        <v>-169.50000000000003</v>
      </c>
      <c r="AA37" s="34">
        <f t="shared" si="3"/>
        <v>-22.6</v>
      </c>
      <c r="AC37" s="30">
        <f t="shared" si="20"/>
        <v>400</v>
      </c>
    </row>
    <row r="38" spans="1:29" x14ac:dyDescent="0.2">
      <c r="A38" s="40">
        <f t="shared" si="21"/>
        <v>37126</v>
      </c>
      <c r="B38" s="54">
        <v>20000</v>
      </c>
      <c r="C38" s="28">
        <f t="shared" si="4"/>
        <v>20994.895616003359</v>
      </c>
      <c r="D38" s="54">
        <v>20000</v>
      </c>
      <c r="E38" s="19">
        <f t="shared" si="5"/>
        <v>1800</v>
      </c>
      <c r="F38" s="87">
        <v>2.87</v>
      </c>
      <c r="G38" s="84">
        <f t="shared" si="6"/>
        <v>60255.350417929643</v>
      </c>
      <c r="H38" s="79">
        <f t="shared" si="7"/>
        <v>2062</v>
      </c>
      <c r="I38" s="20">
        <f t="shared" si="0"/>
        <v>22</v>
      </c>
      <c r="J38" s="20">
        <f t="shared" si="8"/>
        <v>2855.3504179296406</v>
      </c>
      <c r="K38" s="48">
        <f t="shared" si="9"/>
        <v>0.14276752089648204</v>
      </c>
      <c r="L38" s="20">
        <f t="shared" si="10"/>
        <v>4939.3504179296406</v>
      </c>
      <c r="M38" s="20">
        <f t="shared" si="1"/>
        <v>460</v>
      </c>
      <c r="N38" s="20">
        <f t="shared" si="11"/>
        <v>143.85964912280613</v>
      </c>
      <c r="O38" s="48">
        <f t="shared" si="12"/>
        <v>7.1929824561403066E-3</v>
      </c>
      <c r="P38" s="34">
        <f t="shared" si="13"/>
        <v>603.8596491228061</v>
      </c>
      <c r="Q38" s="57">
        <v>3.3</v>
      </c>
      <c r="R38" s="58">
        <v>2.87</v>
      </c>
      <c r="S38" s="36">
        <f t="shared" si="2"/>
        <v>5543.2100670524469</v>
      </c>
      <c r="T38" s="49">
        <f t="shared" si="22"/>
        <v>-0.15536050335262264</v>
      </c>
      <c r="U38" s="37">
        <f t="shared" si="15"/>
        <v>-3107.2100670524528</v>
      </c>
      <c r="V38" s="39">
        <f t="shared" si="16"/>
        <v>-264.11285569945852</v>
      </c>
      <c r="W38" s="56">
        <f t="shared" si="17"/>
        <v>200.94000000000003</v>
      </c>
      <c r="X38" s="12">
        <f t="shared" si="18"/>
        <v>67535.387629282646</v>
      </c>
      <c r="Z38" s="71">
        <f t="shared" si="19"/>
        <v>-55.740755028933961</v>
      </c>
      <c r="AA38" s="34">
        <f t="shared" si="3"/>
        <v>-7.4321006705245267</v>
      </c>
      <c r="AC38" s="30">
        <f t="shared" si="20"/>
        <v>400</v>
      </c>
    </row>
    <row r="39" spans="1:29" x14ac:dyDescent="0.2">
      <c r="A39" s="40">
        <f t="shared" si="21"/>
        <v>37127</v>
      </c>
      <c r="B39" s="54">
        <f>14999+5000</f>
        <v>19999</v>
      </c>
      <c r="C39" s="28">
        <f t="shared" si="4"/>
        <v>20993.845871222558</v>
      </c>
      <c r="D39" s="54">
        <f>14999+5000</f>
        <v>19999</v>
      </c>
      <c r="E39" s="19">
        <f t="shared" si="5"/>
        <v>1800</v>
      </c>
      <c r="F39" s="87">
        <v>2.4500000000000002</v>
      </c>
      <c r="G39" s="84">
        <f t="shared" si="6"/>
        <v>51434.922384495272</v>
      </c>
      <c r="H39" s="79">
        <f t="shared" si="7"/>
        <v>2062</v>
      </c>
      <c r="I39" s="20">
        <f t="shared" si="0"/>
        <v>21.998900000000003</v>
      </c>
      <c r="J39" s="20">
        <f t="shared" si="8"/>
        <v>2437.3723844952724</v>
      </c>
      <c r="K39" s="48">
        <f t="shared" si="9"/>
        <v>0.12187471296041164</v>
      </c>
      <c r="L39" s="20">
        <f t="shared" si="10"/>
        <v>4521.3712844952724</v>
      </c>
      <c r="M39" s="20">
        <f t="shared" si="1"/>
        <v>459.97699999999998</v>
      </c>
      <c r="N39" s="20">
        <f t="shared" si="11"/>
        <v>122.80087719298062</v>
      </c>
      <c r="O39" s="48">
        <f t="shared" si="12"/>
        <v>6.1403508771928905E-3</v>
      </c>
      <c r="P39" s="34">
        <f t="shared" si="13"/>
        <v>582.77787719298055</v>
      </c>
      <c r="Q39" s="57">
        <v>3.02</v>
      </c>
      <c r="R39" s="58">
        <v>2.4500000000000002</v>
      </c>
      <c r="S39" s="36">
        <f t="shared" si="2"/>
        <v>5104.1491616882531</v>
      </c>
      <c r="T39" s="49">
        <f t="shared" si="22"/>
        <v>6.5849361623953051E-3</v>
      </c>
      <c r="U39" s="37">
        <f t="shared" si="15"/>
        <v>131.69213831174372</v>
      </c>
      <c r="V39" s="39">
        <f t="shared" si="16"/>
        <v>11.193831756498216</v>
      </c>
      <c r="W39" s="56">
        <f t="shared" si="17"/>
        <v>200.94000000000003</v>
      </c>
      <c r="X39" s="12">
        <f t="shared" si="18"/>
        <v>58551.20537794003</v>
      </c>
      <c r="Z39" s="71">
        <f t="shared" si="19"/>
        <v>187.17691037338076</v>
      </c>
      <c r="AA39" s="34">
        <f t="shared" si="3"/>
        <v>24.956921383117439</v>
      </c>
      <c r="AC39" s="30">
        <f t="shared" si="20"/>
        <v>400</v>
      </c>
    </row>
    <row r="40" spans="1:29" x14ac:dyDescent="0.2">
      <c r="A40" s="40">
        <f t="shared" si="21"/>
        <v>37128</v>
      </c>
      <c r="B40" s="54">
        <v>20000</v>
      </c>
      <c r="C40" s="28">
        <f t="shared" si="4"/>
        <v>20994.895616003359</v>
      </c>
      <c r="D40" s="54">
        <v>20000</v>
      </c>
      <c r="E40" s="19">
        <f t="shared" si="5"/>
        <v>1800</v>
      </c>
      <c r="F40" s="87">
        <v>2.3050000000000002</v>
      </c>
      <c r="G40" s="84">
        <f t="shared" si="6"/>
        <v>48393.234394887746</v>
      </c>
      <c r="H40" s="79">
        <f t="shared" si="7"/>
        <v>2062</v>
      </c>
      <c r="I40" s="20">
        <f t="shared" si="0"/>
        <v>22</v>
      </c>
      <c r="J40" s="20">
        <f t="shared" si="8"/>
        <v>2293.2343948877419</v>
      </c>
      <c r="K40" s="48">
        <f t="shared" si="9"/>
        <v>0.1146617197443871</v>
      </c>
      <c r="L40" s="20">
        <f t="shared" si="10"/>
        <v>4377.2343948877424</v>
      </c>
      <c r="M40" s="20">
        <f t="shared" si="1"/>
        <v>460</v>
      </c>
      <c r="N40" s="20">
        <f t="shared" si="11"/>
        <v>115.53884711779538</v>
      </c>
      <c r="O40" s="48">
        <f t="shared" si="12"/>
        <v>5.7769423558897692E-3</v>
      </c>
      <c r="P40" s="34">
        <f t="shared" si="13"/>
        <v>575.5388471177954</v>
      </c>
      <c r="Q40" s="57">
        <v>2.8250000000000002</v>
      </c>
      <c r="R40" s="58">
        <v>2.3050000000000002</v>
      </c>
      <c r="S40" s="36">
        <f t="shared" si="2"/>
        <v>4952.7732420055381</v>
      </c>
      <c r="T40" s="49">
        <f t="shared" si="22"/>
        <v>-3.5838662100276863E-2</v>
      </c>
      <c r="U40" s="37">
        <f t="shared" si="15"/>
        <v>-716.77324200553721</v>
      </c>
      <c r="V40" s="39">
        <f t="shared" si="16"/>
        <v>-60.925725570470668</v>
      </c>
      <c r="W40" s="56">
        <f t="shared" si="17"/>
        <v>200.94000000000003</v>
      </c>
      <c r="X40" s="12">
        <f t="shared" si="18"/>
        <v>55286.021911322816</v>
      </c>
      <c r="Z40" s="71">
        <f t="shared" si="19"/>
        <v>123.54200684958469</v>
      </c>
      <c r="AA40" s="34">
        <f t="shared" si="3"/>
        <v>16.472267579944628</v>
      </c>
      <c r="AC40" s="30">
        <f t="shared" si="20"/>
        <v>400</v>
      </c>
    </row>
    <row r="41" spans="1:29" x14ac:dyDescent="0.2">
      <c r="A41" s="40">
        <f t="shared" si="21"/>
        <v>37129</v>
      </c>
      <c r="B41" s="54">
        <v>20000</v>
      </c>
      <c r="C41" s="28">
        <f t="shared" si="4"/>
        <v>20994.895616003359</v>
      </c>
      <c r="D41" s="54">
        <v>20000</v>
      </c>
      <c r="E41" s="19">
        <f t="shared" si="5"/>
        <v>1800</v>
      </c>
      <c r="F41" s="87">
        <v>2.3050000000000002</v>
      </c>
      <c r="G41" s="84">
        <f t="shared" si="6"/>
        <v>48393.234394887746</v>
      </c>
      <c r="H41" s="79">
        <f t="shared" si="7"/>
        <v>2062</v>
      </c>
      <c r="I41" s="20">
        <f t="shared" si="0"/>
        <v>22</v>
      </c>
      <c r="J41" s="20">
        <f t="shared" si="8"/>
        <v>2293.2343948877419</v>
      </c>
      <c r="K41" s="48">
        <f t="shared" si="9"/>
        <v>0.1146617197443871</v>
      </c>
      <c r="L41" s="20">
        <f t="shared" si="10"/>
        <v>4377.2343948877424</v>
      </c>
      <c r="M41" s="20">
        <f t="shared" si="1"/>
        <v>460</v>
      </c>
      <c r="N41" s="20">
        <f t="shared" si="11"/>
        <v>115.53884711779538</v>
      </c>
      <c r="O41" s="48">
        <f t="shared" si="12"/>
        <v>5.7769423558897692E-3</v>
      </c>
      <c r="P41" s="34">
        <f t="shared" si="13"/>
        <v>575.5388471177954</v>
      </c>
      <c r="Q41" s="57">
        <v>2.8250000000000002</v>
      </c>
      <c r="R41" s="58">
        <v>2.3050000000000002</v>
      </c>
      <c r="S41" s="36">
        <f t="shared" si="2"/>
        <v>4952.7732420055381</v>
      </c>
      <c r="T41" s="49">
        <f t="shared" si="22"/>
        <v>-3.5838662100276863E-2</v>
      </c>
      <c r="U41" s="37">
        <f t="shared" si="15"/>
        <v>-716.77324200553721</v>
      </c>
      <c r="V41" s="39">
        <f t="shared" si="16"/>
        <v>-60.925725570470668</v>
      </c>
      <c r="W41" s="56">
        <f t="shared" si="17"/>
        <v>200.94000000000003</v>
      </c>
      <c r="X41" s="12">
        <f t="shared" si="18"/>
        <v>55286.021911322816</v>
      </c>
      <c r="Z41" s="71">
        <f t="shared" si="19"/>
        <v>123.54200684958469</v>
      </c>
      <c r="AA41" s="34">
        <f t="shared" si="3"/>
        <v>16.472267579944628</v>
      </c>
      <c r="AC41" s="30">
        <f t="shared" si="20"/>
        <v>400</v>
      </c>
    </row>
    <row r="42" spans="1:29" x14ac:dyDescent="0.2">
      <c r="A42" s="40">
        <f t="shared" si="21"/>
        <v>37130</v>
      </c>
      <c r="B42" s="54">
        <v>20000</v>
      </c>
      <c r="C42" s="28">
        <f t="shared" si="4"/>
        <v>20994.895616003359</v>
      </c>
      <c r="D42" s="54">
        <v>20000</v>
      </c>
      <c r="E42" s="19">
        <f t="shared" si="5"/>
        <v>1800</v>
      </c>
      <c r="F42" s="87">
        <v>2.3050000000000002</v>
      </c>
      <c r="G42" s="84">
        <f t="shared" si="6"/>
        <v>48393.234394887746</v>
      </c>
      <c r="H42" s="79">
        <f t="shared" si="7"/>
        <v>2062</v>
      </c>
      <c r="I42" s="20">
        <f t="shared" si="0"/>
        <v>22</v>
      </c>
      <c r="J42" s="20">
        <f t="shared" si="8"/>
        <v>2293.2343948877419</v>
      </c>
      <c r="K42" s="48">
        <f t="shared" si="9"/>
        <v>0.1146617197443871</v>
      </c>
      <c r="L42" s="20">
        <f t="shared" si="10"/>
        <v>4377.2343948877424</v>
      </c>
      <c r="M42" s="20">
        <f t="shared" si="1"/>
        <v>460</v>
      </c>
      <c r="N42" s="20">
        <f t="shared" si="11"/>
        <v>115.53884711779538</v>
      </c>
      <c r="O42" s="48">
        <f t="shared" si="12"/>
        <v>5.7769423558897692E-3</v>
      </c>
      <c r="P42" s="34">
        <f t="shared" si="13"/>
        <v>575.5388471177954</v>
      </c>
      <c r="Q42" s="57">
        <v>2.8250000000000002</v>
      </c>
      <c r="R42" s="58">
        <v>2.3050000000000002</v>
      </c>
      <c r="S42" s="36">
        <f t="shared" si="2"/>
        <v>4952.7732420055381</v>
      </c>
      <c r="T42" s="49">
        <f t="shared" si="22"/>
        <v>-3.5838662100276863E-2</v>
      </c>
      <c r="U42" s="37">
        <f t="shared" si="15"/>
        <v>-716.77324200553721</v>
      </c>
      <c r="V42" s="39">
        <f t="shared" si="16"/>
        <v>-60.925725570470668</v>
      </c>
      <c r="W42" s="56">
        <f t="shared" si="17"/>
        <v>200.94000000000003</v>
      </c>
      <c r="X42" s="12">
        <f t="shared" si="18"/>
        <v>55286.021911322816</v>
      </c>
      <c r="Z42" s="71">
        <f t="shared" si="19"/>
        <v>123.54200684958469</v>
      </c>
      <c r="AA42" s="34">
        <f t="shared" si="3"/>
        <v>16.472267579944628</v>
      </c>
      <c r="AC42" s="30">
        <f t="shared" si="20"/>
        <v>400</v>
      </c>
    </row>
    <row r="43" spans="1:29" x14ac:dyDescent="0.2">
      <c r="A43" s="40">
        <f t="shared" si="21"/>
        <v>37131</v>
      </c>
      <c r="B43" s="54">
        <v>20000</v>
      </c>
      <c r="C43" s="28">
        <f t="shared" si="4"/>
        <v>20994.895616003359</v>
      </c>
      <c r="D43" s="54">
        <v>20000</v>
      </c>
      <c r="E43" s="19">
        <f t="shared" si="5"/>
        <v>1800</v>
      </c>
      <c r="F43" s="87">
        <v>2.3149999999999999</v>
      </c>
      <c r="G43" s="84">
        <f t="shared" si="6"/>
        <v>48603.183351047774</v>
      </c>
      <c r="H43" s="79">
        <f t="shared" si="7"/>
        <v>2062</v>
      </c>
      <c r="I43" s="20">
        <f t="shared" si="0"/>
        <v>22</v>
      </c>
      <c r="J43" s="20">
        <f t="shared" si="8"/>
        <v>2303.1833510477818</v>
      </c>
      <c r="K43" s="48">
        <f t="shared" si="9"/>
        <v>0.11515916755238909</v>
      </c>
      <c r="L43" s="20">
        <f t="shared" si="10"/>
        <v>4387.1833510477818</v>
      </c>
      <c r="M43" s="20">
        <f t="shared" si="1"/>
        <v>460</v>
      </c>
      <c r="N43" s="20">
        <f t="shared" si="11"/>
        <v>116.04010025062728</v>
      </c>
      <c r="O43" s="48">
        <f t="shared" si="12"/>
        <v>5.8020050125313638E-3</v>
      </c>
      <c r="P43" s="34">
        <f t="shared" si="13"/>
        <v>576.04010025062723</v>
      </c>
      <c r="Q43" s="57">
        <v>2.76</v>
      </c>
      <c r="R43" s="58">
        <v>2.3149999999999999</v>
      </c>
      <c r="S43" s="36">
        <f t="shared" si="2"/>
        <v>4963.2234512984087</v>
      </c>
      <c r="T43" s="49">
        <f t="shared" si="22"/>
        <v>-0.11136117256492062</v>
      </c>
      <c r="U43" s="37">
        <f t="shared" si="15"/>
        <v>-2227.2234512984123</v>
      </c>
      <c r="V43" s="39">
        <f t="shared" si="16"/>
        <v>-189.31399336036506</v>
      </c>
      <c r="W43" s="56">
        <f t="shared" si="17"/>
        <v>200.94000000000003</v>
      </c>
      <c r="X43" s="12">
        <f t="shared" si="18"/>
        <v>55378.032808985816</v>
      </c>
      <c r="Z43" s="71">
        <f t="shared" si="19"/>
        <v>10.258241152619064</v>
      </c>
      <c r="AA43" s="34">
        <f t="shared" si="3"/>
        <v>1.3677654870158769</v>
      </c>
      <c r="AC43" s="30">
        <f t="shared" si="20"/>
        <v>400</v>
      </c>
    </row>
    <row r="44" spans="1:29" x14ac:dyDescent="0.2">
      <c r="A44" s="40">
        <f t="shared" si="21"/>
        <v>37132</v>
      </c>
      <c r="B44" s="54">
        <v>20000</v>
      </c>
      <c r="C44" s="28">
        <f t="shared" si="4"/>
        <v>20994.895616003359</v>
      </c>
      <c r="D44" s="54">
        <v>20000</v>
      </c>
      <c r="E44" s="19">
        <f t="shared" si="5"/>
        <v>1800</v>
      </c>
      <c r="F44" s="87">
        <v>2.2999999999999998</v>
      </c>
      <c r="G44" s="84">
        <f t="shared" si="6"/>
        <v>48288.259916807721</v>
      </c>
      <c r="H44" s="79">
        <f t="shared" si="7"/>
        <v>2062</v>
      </c>
      <c r="I44" s="20">
        <f t="shared" si="0"/>
        <v>22</v>
      </c>
      <c r="J44" s="20">
        <f t="shared" si="8"/>
        <v>2288.2599168077268</v>
      </c>
      <c r="K44" s="48">
        <f t="shared" si="9"/>
        <v>0.11441299584038633</v>
      </c>
      <c r="L44" s="20">
        <f t="shared" si="10"/>
        <v>4372.2599168077268</v>
      </c>
      <c r="M44" s="20">
        <f t="shared" si="1"/>
        <v>460</v>
      </c>
      <c r="N44" s="20">
        <f t="shared" si="11"/>
        <v>115.28822055137944</v>
      </c>
      <c r="O44" s="48">
        <f t="shared" si="12"/>
        <v>5.7644110275689719E-3</v>
      </c>
      <c r="P44" s="34">
        <f t="shared" si="13"/>
        <v>575.28822055137948</v>
      </c>
      <c r="Q44" s="57">
        <v>2.69</v>
      </c>
      <c r="R44" s="58">
        <v>2.2999999999999998</v>
      </c>
      <c r="S44" s="36">
        <f t="shared" si="2"/>
        <v>4947.5481373591065</v>
      </c>
      <c r="T44" s="49">
        <f t="shared" si="22"/>
        <v>-0.16557740686795519</v>
      </c>
      <c r="U44" s="37">
        <f t="shared" si="15"/>
        <v>-3311.5481373591037</v>
      </c>
      <c r="V44" s="39">
        <f t="shared" si="16"/>
        <v>-281.48159167552382</v>
      </c>
      <c r="W44" s="56">
        <f t="shared" si="17"/>
        <v>200.94000000000003</v>
      </c>
      <c r="X44" s="12">
        <f t="shared" si="18"/>
        <v>54955.266462491309</v>
      </c>
      <c r="Z44" s="71">
        <f t="shared" si="19"/>
        <v>-71.066110301932781</v>
      </c>
      <c r="AA44" s="34">
        <f t="shared" si="3"/>
        <v>-9.4754813735910375</v>
      </c>
      <c r="AC44" s="30">
        <f t="shared" si="20"/>
        <v>400</v>
      </c>
    </row>
    <row r="45" spans="1:29" x14ac:dyDescent="0.2">
      <c r="A45" s="40">
        <f t="shared" si="21"/>
        <v>37133</v>
      </c>
      <c r="B45" s="54">
        <v>20000</v>
      </c>
      <c r="C45" s="28">
        <f t="shared" si="4"/>
        <v>20994.895616003359</v>
      </c>
      <c r="D45" s="54">
        <v>20000</v>
      </c>
      <c r="E45" s="19">
        <f t="shared" si="5"/>
        <v>1800</v>
      </c>
      <c r="F45" s="87">
        <v>2.2200000000000002</v>
      </c>
      <c r="G45" s="84">
        <f t="shared" si="6"/>
        <v>46608.668267527464</v>
      </c>
      <c r="H45" s="79">
        <f t="shared" si="7"/>
        <v>2062</v>
      </c>
      <c r="I45" s="20">
        <f t="shared" si="0"/>
        <v>22</v>
      </c>
      <c r="J45" s="20">
        <f t="shared" si="8"/>
        <v>2208.6682675274537</v>
      </c>
      <c r="K45" s="48">
        <f t="shared" si="9"/>
        <v>0.11043341337637269</v>
      </c>
      <c r="L45" s="20">
        <f t="shared" si="10"/>
        <v>4292.6682675274533</v>
      </c>
      <c r="M45" s="20">
        <f t="shared" si="1"/>
        <v>460</v>
      </c>
      <c r="N45" s="20">
        <f t="shared" si="11"/>
        <v>111.27819548871543</v>
      </c>
      <c r="O45" s="48">
        <f t="shared" si="12"/>
        <v>5.5639097744357713E-3</v>
      </c>
      <c r="P45" s="34">
        <f t="shared" si="13"/>
        <v>571.27819548871548</v>
      </c>
      <c r="Q45" s="57">
        <v>2.5499999999999998</v>
      </c>
      <c r="R45" s="58">
        <v>2.2200000000000002</v>
      </c>
      <c r="S45" s="36">
        <f t="shared" si="2"/>
        <v>4863.9464630161692</v>
      </c>
      <c r="T45" s="49">
        <f t="shared" si="22"/>
        <v>-0.22139732315080884</v>
      </c>
      <c r="U45" s="37">
        <f t="shared" si="15"/>
        <v>-4427.9464630161765</v>
      </c>
      <c r="V45" s="39">
        <f t="shared" si="16"/>
        <v>-376.37544935637504</v>
      </c>
      <c r="W45" s="56">
        <f t="shared" si="17"/>
        <v>200.94000000000003</v>
      </c>
      <c r="X45" s="12">
        <f t="shared" si="18"/>
        <v>53097.179281187258</v>
      </c>
      <c r="Z45" s="71">
        <f t="shared" si="19"/>
        <v>-154.79598472621322</v>
      </c>
      <c r="AA45" s="34">
        <f t="shared" si="3"/>
        <v>-20.639464630161768</v>
      </c>
      <c r="AC45" s="30">
        <f t="shared" si="20"/>
        <v>400</v>
      </c>
    </row>
    <row r="46" spans="1:29" ht="13.5" thickBot="1" x14ac:dyDescent="0.25">
      <c r="A46" s="41">
        <f t="shared" si="21"/>
        <v>37134</v>
      </c>
      <c r="B46" s="86">
        <v>20000</v>
      </c>
      <c r="C46" s="28">
        <f t="shared" si="4"/>
        <v>20994.895616003359</v>
      </c>
      <c r="D46" s="86">
        <v>20000</v>
      </c>
      <c r="E46" s="19">
        <f t="shared" si="5"/>
        <v>1800</v>
      </c>
      <c r="F46" s="88">
        <v>2.2400000000000002</v>
      </c>
      <c r="G46" s="85">
        <f t="shared" si="6"/>
        <v>47028.566179847527</v>
      </c>
      <c r="H46" s="80">
        <f t="shared" si="7"/>
        <v>2062</v>
      </c>
      <c r="I46" s="21">
        <f>$C$8*D46</f>
        <v>22</v>
      </c>
      <c r="J46" s="20">
        <f t="shared" si="8"/>
        <v>2228.5661798475153</v>
      </c>
      <c r="K46" s="48">
        <f t="shared" si="9"/>
        <v>0.11142830899237577</v>
      </c>
      <c r="L46" s="21">
        <f t="shared" si="10"/>
        <v>4312.5661798475157</v>
      </c>
      <c r="M46" s="21">
        <f>$C$12*D46</f>
        <v>460</v>
      </c>
      <c r="N46" s="20">
        <f t="shared" si="11"/>
        <v>112.28070175437921</v>
      </c>
      <c r="O46" s="48">
        <f t="shared" si="12"/>
        <v>5.6140350877189604E-3</v>
      </c>
      <c r="P46" s="35">
        <f t="shared" si="13"/>
        <v>572.28070175437915</v>
      </c>
      <c r="Q46" s="60">
        <v>2.5449999999999999</v>
      </c>
      <c r="R46" s="61">
        <v>2.2400000000000002</v>
      </c>
      <c r="S46" s="36">
        <f t="shared" si="2"/>
        <v>4884.8468816018949</v>
      </c>
      <c r="T46" s="49">
        <f t="shared" si="22"/>
        <v>-0.23119999999999999</v>
      </c>
      <c r="U46" s="37">
        <f t="shared" si="15"/>
        <v>-4624</v>
      </c>
      <c r="V46" s="39">
        <f t="shared" si="16"/>
        <v>-393.04</v>
      </c>
      <c r="W46" s="56">
        <f t="shared" si="17"/>
        <v>200.94000000000003</v>
      </c>
      <c r="X46" s="12">
        <f t="shared" si="18"/>
        <v>53521.313061449422</v>
      </c>
      <c r="Z46" s="72">
        <f t="shared" si="19"/>
        <v>-169.50000000000003</v>
      </c>
      <c r="AA46" s="35">
        <f t="shared" si="3"/>
        <v>-22.6</v>
      </c>
      <c r="AC46" s="30">
        <f t="shared" si="20"/>
        <v>400</v>
      </c>
    </row>
    <row r="47" spans="1:29" ht="13.5" thickBot="1" x14ac:dyDescent="0.25">
      <c r="A47" s="22" t="s">
        <v>20</v>
      </c>
      <c r="B47" s="27">
        <f>SUM(B16:B46)</f>
        <v>575504</v>
      </c>
      <c r="C47" s="29">
        <f>SUM(C16:C46)</f>
        <v>604132.3203296198</v>
      </c>
      <c r="D47" s="47">
        <f>SUM(D16:D46)</f>
        <v>575504</v>
      </c>
      <c r="E47" s="24"/>
      <c r="F47" s="23"/>
      <c r="G47" s="82">
        <f>SUM(G16:G46)</f>
        <v>1558441.2129800939</v>
      </c>
      <c r="H47" s="25"/>
      <c r="I47" s="26"/>
      <c r="J47" s="23"/>
      <c r="K47" s="23"/>
      <c r="L47" s="23"/>
      <c r="M47" s="26"/>
      <c r="N47" s="23"/>
      <c r="O47" s="23"/>
      <c r="P47" s="23"/>
      <c r="Q47" s="23"/>
      <c r="R47" s="23"/>
      <c r="S47" s="23"/>
      <c r="T47" s="23"/>
      <c r="U47" s="77">
        <f>SUM(U16:U46)</f>
        <v>-18393.700815013981</v>
      </c>
      <c r="V47" s="67">
        <f>SUM(V16:V46)</f>
        <v>-1563.4645692761874</v>
      </c>
      <c r="W47" s="67">
        <f>SUM(W16:W46)</f>
        <v>6229.1399999999967</v>
      </c>
      <c r="X47" s="31">
        <f>SUM(X16:X46)</f>
        <v>1774269.9461869025</v>
      </c>
      <c r="Z47" s="42">
        <f>SUM(Z16:Z46)</f>
        <v>4116.7724388739525</v>
      </c>
      <c r="AA47" s="76">
        <f>SUM(AA16:AA46)</f>
        <v>548.90299184986009</v>
      </c>
      <c r="AC47" s="75">
        <f>SUM(AC16:AC46)</f>
        <v>12400</v>
      </c>
    </row>
    <row r="48" spans="1:29" x14ac:dyDescent="0.2">
      <c r="U48" t="s">
        <v>24</v>
      </c>
      <c r="W48" s="68">
        <f>V47+W47</f>
        <v>4665.6754307238098</v>
      </c>
      <c r="AA48" s="68">
        <f>Z47+AA47</f>
        <v>4665.6754307238125</v>
      </c>
      <c r="AC48" s="68"/>
    </row>
    <row r="49" spans="21:21" x14ac:dyDescent="0.2">
      <c r="U49" t="s">
        <v>25</v>
      </c>
    </row>
    <row r="50" spans="21:21" x14ac:dyDescent="0.2">
      <c r="U50" t="s">
        <v>26</v>
      </c>
    </row>
    <row r="51" spans="21:21" x14ac:dyDescent="0.2">
      <c r="U51" t="s">
        <v>27</v>
      </c>
    </row>
  </sheetData>
  <mergeCells count="4">
    <mergeCell ref="Q14:W14"/>
    <mergeCell ref="H14:L14"/>
    <mergeCell ref="M14:P14"/>
    <mergeCell ref="H13:P13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Jan Havlíček</cp:lastModifiedBy>
  <dcterms:created xsi:type="dcterms:W3CDTF">2001-08-24T20:14:32Z</dcterms:created>
  <dcterms:modified xsi:type="dcterms:W3CDTF">2023-09-17T14:09:56Z</dcterms:modified>
</cp:coreProperties>
</file>