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423EFB5-D2CC-4575-9074-5E5201FF8D3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8" r:id="rId2"/>
    <sheet name="Sheet3" sheetId="12164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A14" i="1"/>
  <c r="J14" i="1"/>
  <c r="K14" i="1"/>
  <c r="L14" i="1"/>
  <c r="M14" i="1"/>
  <c r="N14" i="1"/>
  <c r="R14" i="1"/>
  <c r="S14" i="1"/>
  <c r="T14" i="1"/>
  <c r="W14" i="1"/>
  <c r="X14" i="1"/>
  <c r="Y14" i="1"/>
  <c r="Z14" i="1"/>
  <c r="AA14" i="1"/>
  <c r="AB14" i="1"/>
  <c r="AC14" i="1"/>
  <c r="AD14" i="1"/>
  <c r="AE14" i="1"/>
  <c r="AG14" i="1"/>
  <c r="AH14" i="1"/>
  <c r="AJ14" i="1"/>
  <c r="A15" i="1"/>
  <c r="J15" i="1"/>
  <c r="K15" i="1"/>
  <c r="L15" i="1"/>
  <c r="M15" i="1"/>
  <c r="N15" i="1"/>
  <c r="P15" i="1"/>
  <c r="Q15" i="1"/>
  <c r="R15" i="1"/>
  <c r="S15" i="1"/>
  <c r="T15" i="1"/>
  <c r="V15" i="1"/>
  <c r="W15" i="1"/>
  <c r="X15" i="1"/>
  <c r="Y15" i="1"/>
  <c r="Z15" i="1"/>
  <c r="AA15" i="1"/>
  <c r="AB15" i="1"/>
  <c r="AC15" i="1"/>
  <c r="AD15" i="1"/>
  <c r="AE15" i="1"/>
  <c r="AG15" i="1"/>
  <c r="AH15" i="1"/>
  <c r="AJ15" i="1"/>
  <c r="A16" i="1"/>
  <c r="J16" i="1"/>
  <c r="K16" i="1"/>
  <c r="L16" i="1"/>
  <c r="M16" i="1"/>
  <c r="N16" i="1"/>
  <c r="P16" i="1"/>
  <c r="Q16" i="1"/>
  <c r="R16" i="1"/>
  <c r="S16" i="1"/>
  <c r="T16" i="1"/>
  <c r="V16" i="1"/>
  <c r="W16" i="1"/>
  <c r="X16" i="1"/>
  <c r="Y16" i="1"/>
  <c r="Z16" i="1"/>
  <c r="AA16" i="1"/>
  <c r="AB16" i="1"/>
  <c r="AC16" i="1"/>
  <c r="AD16" i="1"/>
  <c r="AE16" i="1"/>
  <c r="AG16" i="1"/>
  <c r="AH16" i="1"/>
  <c r="AJ16" i="1"/>
  <c r="A17" i="1"/>
  <c r="J17" i="1"/>
  <c r="K17" i="1"/>
  <c r="L17" i="1"/>
  <c r="M17" i="1"/>
  <c r="N17" i="1"/>
  <c r="P17" i="1"/>
  <c r="Q17" i="1"/>
  <c r="R17" i="1"/>
  <c r="S17" i="1"/>
  <c r="T17" i="1"/>
  <c r="V17" i="1"/>
  <c r="W17" i="1"/>
  <c r="X17" i="1"/>
  <c r="Y17" i="1"/>
  <c r="Z17" i="1"/>
  <c r="AA17" i="1"/>
  <c r="AB17" i="1"/>
  <c r="AC17" i="1"/>
  <c r="AD17" i="1"/>
  <c r="AE17" i="1"/>
  <c r="AG17" i="1"/>
  <c r="AH17" i="1"/>
  <c r="AJ17" i="1"/>
  <c r="A18" i="1"/>
  <c r="J18" i="1"/>
  <c r="K18" i="1"/>
  <c r="L18" i="1"/>
  <c r="M18" i="1"/>
  <c r="N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G18" i="1"/>
  <c r="AH18" i="1"/>
  <c r="AJ18" i="1"/>
  <c r="A19" i="1"/>
  <c r="J19" i="1"/>
  <c r="K19" i="1"/>
  <c r="L19" i="1"/>
  <c r="M19" i="1"/>
  <c r="N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G19" i="1"/>
  <c r="AH19" i="1"/>
  <c r="AJ19" i="1"/>
  <c r="A20" i="1"/>
  <c r="J20" i="1"/>
  <c r="K20" i="1"/>
  <c r="L20" i="1"/>
  <c r="M20" i="1"/>
  <c r="N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G20" i="1"/>
  <c r="AH20" i="1"/>
  <c r="AJ20" i="1"/>
  <c r="A21" i="1"/>
  <c r="J21" i="1"/>
  <c r="K21" i="1"/>
  <c r="L21" i="1"/>
  <c r="M21" i="1"/>
  <c r="N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G21" i="1"/>
  <c r="AH21" i="1"/>
  <c r="AJ21" i="1"/>
  <c r="A22" i="1"/>
  <c r="J22" i="1"/>
  <c r="K22" i="1"/>
  <c r="L22" i="1"/>
  <c r="M22" i="1"/>
  <c r="N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G22" i="1"/>
  <c r="AH22" i="1"/>
  <c r="AJ22" i="1"/>
  <c r="A23" i="1"/>
  <c r="J23" i="1"/>
  <c r="K23" i="1"/>
  <c r="L23" i="1"/>
  <c r="M23" i="1"/>
  <c r="N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G23" i="1"/>
  <c r="AH23" i="1"/>
  <c r="AJ23" i="1"/>
  <c r="A24" i="1"/>
  <c r="J24" i="1"/>
  <c r="K24" i="1"/>
  <c r="L24" i="1"/>
  <c r="M24" i="1"/>
  <c r="N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G24" i="1"/>
  <c r="AH24" i="1"/>
  <c r="AJ24" i="1"/>
  <c r="A25" i="1"/>
  <c r="J25" i="1"/>
  <c r="K25" i="1"/>
  <c r="L25" i="1"/>
  <c r="M25" i="1"/>
  <c r="N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G25" i="1"/>
  <c r="AH25" i="1"/>
  <c r="AJ25" i="1"/>
  <c r="A26" i="1"/>
  <c r="J26" i="1"/>
  <c r="K26" i="1"/>
  <c r="L26" i="1"/>
  <c r="M26" i="1"/>
  <c r="N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G26" i="1"/>
  <c r="AH26" i="1"/>
  <c r="AJ26" i="1"/>
  <c r="A27" i="1"/>
  <c r="J27" i="1"/>
  <c r="K27" i="1"/>
  <c r="L27" i="1"/>
  <c r="M27" i="1"/>
  <c r="N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G27" i="1"/>
  <c r="AH27" i="1"/>
  <c r="AJ27" i="1"/>
  <c r="A28" i="1"/>
  <c r="J28" i="1"/>
  <c r="K28" i="1"/>
  <c r="L28" i="1"/>
  <c r="M28" i="1"/>
  <c r="N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G28" i="1"/>
  <c r="AH28" i="1"/>
  <c r="AJ28" i="1"/>
  <c r="A29" i="1"/>
  <c r="J29" i="1"/>
  <c r="K29" i="1"/>
  <c r="L29" i="1"/>
  <c r="M29" i="1"/>
  <c r="N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G29" i="1"/>
  <c r="AH29" i="1"/>
  <c r="AJ29" i="1"/>
  <c r="A30" i="1"/>
  <c r="J30" i="1"/>
  <c r="K30" i="1"/>
  <c r="L30" i="1"/>
  <c r="M30" i="1"/>
  <c r="N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G30" i="1"/>
  <c r="AH30" i="1"/>
  <c r="AJ30" i="1"/>
  <c r="A31" i="1"/>
  <c r="J31" i="1"/>
  <c r="K31" i="1"/>
  <c r="L31" i="1"/>
  <c r="M31" i="1"/>
  <c r="N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G31" i="1"/>
  <c r="AH31" i="1"/>
  <c r="AJ31" i="1"/>
  <c r="A32" i="1"/>
  <c r="J32" i="1"/>
  <c r="K32" i="1"/>
  <c r="L32" i="1"/>
  <c r="M32" i="1"/>
  <c r="N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G32" i="1"/>
  <c r="AH32" i="1"/>
  <c r="AJ32" i="1"/>
  <c r="A33" i="1"/>
  <c r="J33" i="1"/>
  <c r="K33" i="1"/>
  <c r="L33" i="1"/>
  <c r="M33" i="1"/>
  <c r="N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G33" i="1"/>
  <c r="AH33" i="1"/>
  <c r="AJ33" i="1"/>
  <c r="A34" i="1"/>
  <c r="J34" i="1"/>
  <c r="K34" i="1"/>
  <c r="L34" i="1"/>
  <c r="M34" i="1"/>
  <c r="N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G34" i="1"/>
  <c r="AH34" i="1"/>
  <c r="AJ34" i="1"/>
  <c r="A35" i="1"/>
  <c r="J35" i="1"/>
  <c r="K35" i="1"/>
  <c r="L35" i="1"/>
  <c r="M35" i="1"/>
  <c r="N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G35" i="1"/>
  <c r="AH35" i="1"/>
  <c r="AJ35" i="1"/>
  <c r="A36" i="1"/>
  <c r="J36" i="1"/>
  <c r="K36" i="1"/>
  <c r="L36" i="1"/>
  <c r="M36" i="1"/>
  <c r="N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G36" i="1"/>
  <c r="AH36" i="1"/>
  <c r="AJ36" i="1"/>
  <c r="A37" i="1"/>
  <c r="J37" i="1"/>
  <c r="K37" i="1"/>
  <c r="L37" i="1"/>
  <c r="M37" i="1"/>
  <c r="N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G37" i="1"/>
  <c r="AH37" i="1"/>
  <c r="AJ37" i="1"/>
  <c r="A38" i="1"/>
  <c r="J38" i="1"/>
  <c r="K38" i="1"/>
  <c r="L38" i="1"/>
  <c r="M38" i="1"/>
  <c r="N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G38" i="1"/>
  <c r="AH38" i="1"/>
  <c r="AJ38" i="1"/>
  <c r="A39" i="1"/>
  <c r="J39" i="1"/>
  <c r="K39" i="1"/>
  <c r="L39" i="1"/>
  <c r="M39" i="1"/>
  <c r="N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G39" i="1"/>
  <c r="AH39" i="1"/>
  <c r="AJ39" i="1"/>
  <c r="A40" i="1"/>
  <c r="J40" i="1"/>
  <c r="K40" i="1"/>
  <c r="L40" i="1"/>
  <c r="M40" i="1"/>
  <c r="N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G40" i="1"/>
  <c r="AH40" i="1"/>
  <c r="AJ40" i="1"/>
  <c r="A41" i="1"/>
  <c r="J41" i="1"/>
  <c r="K41" i="1"/>
  <c r="L41" i="1"/>
  <c r="M41" i="1"/>
  <c r="N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G41" i="1"/>
  <c r="AH41" i="1"/>
  <c r="AJ41" i="1"/>
  <c r="A42" i="1"/>
  <c r="J42" i="1"/>
  <c r="K42" i="1"/>
  <c r="L42" i="1"/>
  <c r="M42" i="1"/>
  <c r="N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G42" i="1"/>
  <c r="AH42" i="1"/>
  <c r="AJ42" i="1"/>
  <c r="A43" i="1"/>
  <c r="J43" i="1"/>
  <c r="K43" i="1"/>
  <c r="L43" i="1"/>
  <c r="M43" i="1"/>
  <c r="N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G43" i="1"/>
  <c r="AH43" i="1"/>
  <c r="AJ43" i="1"/>
  <c r="A44" i="1"/>
  <c r="J44" i="1"/>
  <c r="K44" i="1"/>
  <c r="L44" i="1"/>
  <c r="M44" i="1"/>
  <c r="N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G44" i="1"/>
  <c r="AH44" i="1"/>
  <c r="AJ44" i="1"/>
  <c r="C45" i="1"/>
  <c r="D45" i="1"/>
  <c r="E45" i="1"/>
  <c r="F45" i="1"/>
  <c r="G45" i="1"/>
  <c r="H45" i="1"/>
  <c r="I45" i="1"/>
  <c r="J45" i="1"/>
  <c r="K45" i="1"/>
  <c r="L45" i="1"/>
  <c r="M45" i="1"/>
  <c r="N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G45" i="1"/>
  <c r="AH45" i="1"/>
  <c r="AJ45" i="1"/>
</calcChain>
</file>

<file path=xl/sharedStrings.xml><?xml version="1.0" encoding="utf-8"?>
<sst xmlns="http://schemas.openxmlformats.org/spreadsheetml/2006/main" count="36" uniqueCount="35">
  <si>
    <t>Inputs:</t>
  </si>
  <si>
    <t>Redwood Capacity (Malin)</t>
  </si>
  <si>
    <t>Commodity Charge</t>
  </si>
  <si>
    <t>Gas Service Fee</t>
  </si>
  <si>
    <t>Fuel Charge</t>
  </si>
  <si>
    <t>Date</t>
  </si>
  <si>
    <t>Invoice Month</t>
  </si>
  <si>
    <t>D416</t>
  </si>
  <si>
    <t>Palo Alto Metered Flow (MCF)</t>
  </si>
  <si>
    <t>Total Flow (MCF)</t>
  </si>
  <si>
    <t>Total Flow at City Gate (MMBtu)</t>
  </si>
  <si>
    <t>Total at Malin (CG+Fuel)</t>
  </si>
  <si>
    <t>3rd Party Contracted Baseload (Malin)</t>
  </si>
  <si>
    <t>3rd Party Contracted Baseload (City Gate)</t>
  </si>
  <si>
    <t>Fixed Price Gas From Enron (Malin)</t>
  </si>
  <si>
    <t>Fixed Price Gas From Enron (City Gate)</t>
  </si>
  <si>
    <t>Gas Flow to Malin</t>
  </si>
  <si>
    <t>Gas Flow to City Gate</t>
  </si>
  <si>
    <t>Actual Gas Flow to Malin</t>
  </si>
  <si>
    <t>Actual Gas Flow to City Gate</t>
  </si>
  <si>
    <t>Bidweek Gas at NGI Malin</t>
  </si>
  <si>
    <t>Total Flow less Baseload (Malin)</t>
  </si>
  <si>
    <t>Total Flow less Baseload and Fixed Price Gas (Malin)</t>
  </si>
  <si>
    <t>Total Flow to Less Fixed Price Gas (City Gate)</t>
  </si>
  <si>
    <t>Bidweek Gas at NGI Citygate</t>
  </si>
  <si>
    <t>Fixed Price Gas at Malin</t>
  </si>
  <si>
    <t>Fixed Price Gas at Citygate</t>
  </si>
  <si>
    <t>Total Cost of Gas</t>
  </si>
  <si>
    <t>Unused Redwood MMBtu</t>
  </si>
  <si>
    <t>Redwood Credit</t>
  </si>
  <si>
    <t>Total Charge to Palo Alto</t>
  </si>
  <si>
    <t xml:space="preserve">Displaced Malin Gas </t>
  </si>
  <si>
    <t xml:space="preserve">TOTAL:  </t>
  </si>
  <si>
    <t>*All cells in blue are inputs</t>
  </si>
  <si>
    <t>Contract Quantity (CQ)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</si>
</sst>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00_);_(&quot;$&quot;* \(#,##0.000\);_(&quot;$&quot;* &quot;-&quot;??_);_(@_)"/>
    <numFmt numFmtId="166" formatCode="0.00_)"/>
    <numFmt numFmtId="168" formatCode="_(* #,##0_);_(* \(#,##0\);_(* &quot;-&quot;??_);_(@_)"/>
    <numFmt numFmtId="169" formatCode="_(&quot;$&quot;* #,##0_);_(&quot;$&quot;* \(#,##0\);_(&quot;$&quot;* &quot;-&quot;??_);_(@_)"/>
  </numFmts>
  <fonts count="11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i/>
      <sz val="16"/>
      <name val="Helv"/>
    </font>
    <font>
      <b/>
      <sz val="11"/>
      <name val="Times New Roman"/>
      <family val="1"/>
    </font>
    <font>
      <sz val="10"/>
      <name val="Arial"/>
      <family val="2"/>
    </font>
    <font>
      <sz val="10"/>
      <color indexed="48"/>
      <name val="Arial"/>
      <family val="2"/>
    </font>
    <font>
      <b/>
      <sz val="10"/>
      <name val="Arial"/>
      <family val="2"/>
    </font>
    <font>
      <b/>
      <sz val="10"/>
      <color indexed="48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6" fontId="3" fillId="0" borderId="0"/>
    <xf numFmtId="10" fontId="1" fillId="0" borderId="0" applyFont="0" applyFill="0" applyBorder="0" applyAlignment="0" applyProtection="0"/>
    <xf numFmtId="40" fontId="4" fillId="0" borderId="0"/>
  </cellStyleXfs>
  <cellXfs count="109">
    <xf numFmtId="0" fontId="0" fillId="0" borderId="0" xfId="0"/>
    <xf numFmtId="44" fontId="0" fillId="0" borderId="0" xfId="2" applyFont="1"/>
    <xf numFmtId="0" fontId="0" fillId="0" borderId="0" xfId="0" applyAlignment="1">
      <alignment horizontal="center"/>
    </xf>
    <xf numFmtId="168" fontId="0" fillId="0" borderId="0" xfId="1" applyNumberFormat="1" applyFont="1"/>
    <xf numFmtId="168" fontId="0" fillId="0" borderId="0" xfId="1" applyNumberFormat="1" applyFont="1" applyAlignment="1">
      <alignment horizontal="center"/>
    </xf>
    <xf numFmtId="0" fontId="0" fillId="0" borderId="0" xfId="0" applyBorder="1"/>
    <xf numFmtId="44" fontId="0" fillId="0" borderId="0" xfId="0" applyNumberFormat="1"/>
    <xf numFmtId="168" fontId="5" fillId="0" borderId="0" xfId="1" applyNumberFormat="1" applyFont="1" applyBorder="1"/>
    <xf numFmtId="10" fontId="6" fillId="0" borderId="0" xfId="0" applyNumberFormat="1" applyFont="1"/>
    <xf numFmtId="0" fontId="0" fillId="0" borderId="0" xfId="0" applyAlignment="1">
      <alignment horizontal="right"/>
    </xf>
    <xf numFmtId="168" fontId="0" fillId="0" borderId="0" xfId="1" applyNumberFormat="1" applyFont="1" applyBorder="1" applyAlignment="1">
      <alignment horizontal="center" wrapText="1"/>
    </xf>
    <xf numFmtId="0" fontId="0" fillId="0" borderId="2" xfId="0" applyBorder="1"/>
    <xf numFmtId="168" fontId="0" fillId="0" borderId="0" xfId="1" applyNumberFormat="1" applyFont="1" applyBorder="1"/>
    <xf numFmtId="44" fontId="0" fillId="0" borderId="2" xfId="0" applyNumberFormat="1" applyBorder="1"/>
    <xf numFmtId="44" fontId="0" fillId="0" borderId="3" xfId="0" applyNumberFormat="1" applyBorder="1"/>
    <xf numFmtId="44" fontId="0" fillId="0" borderId="2" xfId="2" applyFont="1" applyBorder="1"/>
    <xf numFmtId="44" fontId="0" fillId="0" borderId="3" xfId="2" applyFont="1" applyBorder="1"/>
    <xf numFmtId="0" fontId="0" fillId="0" borderId="4" xfId="0" applyBorder="1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/>
    </xf>
    <xf numFmtId="0" fontId="9" fillId="4" borderId="5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68" fontId="9" fillId="4" borderId="6" xfId="1" applyNumberFormat="1" applyFont="1" applyFill="1" applyBorder="1" applyAlignment="1">
      <alignment horizontal="center" vertical="center" wrapText="1"/>
    </xf>
    <xf numFmtId="168" fontId="9" fillId="0" borderId="0" xfId="1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44" fontId="9" fillId="4" borderId="6" xfId="2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7" fillId="0" borderId="0" xfId="0" applyFont="1"/>
    <xf numFmtId="3" fontId="7" fillId="0" borderId="0" xfId="0" applyNumberFormat="1" applyFont="1"/>
    <xf numFmtId="168" fontId="0" fillId="0" borderId="2" xfId="1" applyNumberFormat="1" applyFont="1" applyBorder="1" applyAlignment="1">
      <alignment horizontal="center" wrapText="1"/>
    </xf>
    <xf numFmtId="168" fontId="0" fillId="0" borderId="2" xfId="1" applyNumberFormat="1" applyFont="1" applyBorder="1"/>
    <xf numFmtId="168" fontId="0" fillId="0" borderId="3" xfId="1" applyNumberFormat="1" applyFont="1" applyBorder="1"/>
    <xf numFmtId="0" fontId="7" fillId="2" borderId="7" xfId="0" applyFont="1" applyFill="1" applyBorder="1"/>
    <xf numFmtId="0" fontId="7" fillId="2" borderId="8" xfId="0" applyFont="1" applyFill="1" applyBorder="1"/>
    <xf numFmtId="0" fontId="7" fillId="2" borderId="9" xfId="0" applyFont="1" applyFill="1" applyBorder="1"/>
    <xf numFmtId="0" fontId="7" fillId="2" borderId="10" xfId="0" applyFont="1" applyFill="1" applyBorder="1" applyAlignment="1">
      <alignment horizontal="left"/>
    </xf>
    <xf numFmtId="0" fontId="7" fillId="2" borderId="11" xfId="0" applyFont="1" applyFill="1" applyBorder="1"/>
    <xf numFmtId="17" fontId="8" fillId="2" borderId="2" xfId="0" applyNumberFormat="1" applyFont="1" applyFill="1" applyBorder="1"/>
    <xf numFmtId="3" fontId="7" fillId="2" borderId="2" xfId="0" applyNumberFormat="1" applyFont="1" applyFill="1" applyBorder="1"/>
    <xf numFmtId="3" fontId="8" fillId="2" borderId="2" xfId="0" applyNumberFormat="1" applyFont="1" applyFill="1" applyBorder="1"/>
    <xf numFmtId="165" fontId="8" fillId="2" borderId="2" xfId="2" applyNumberFormat="1" applyFont="1" applyFill="1" applyBorder="1"/>
    <xf numFmtId="0" fontId="7" fillId="2" borderId="12" xfId="0" applyFont="1" applyFill="1" applyBorder="1" applyAlignment="1">
      <alignment horizontal="left"/>
    </xf>
    <xf numFmtId="0" fontId="7" fillId="2" borderId="13" xfId="0" applyFont="1" applyFill="1" applyBorder="1"/>
    <xf numFmtId="10" fontId="8" fillId="2" borderId="3" xfId="0" applyNumberFormat="1" applyFont="1" applyFill="1" applyBorder="1"/>
    <xf numFmtId="44" fontId="0" fillId="5" borderId="4" xfId="0" applyNumberFormat="1" applyFill="1" applyBorder="1"/>
    <xf numFmtId="0" fontId="0" fillId="5" borderId="4" xfId="0" applyFill="1" applyBorder="1"/>
    <xf numFmtId="3" fontId="7" fillId="0" borderId="14" xfId="0" applyNumberFormat="1" applyFont="1" applyBorder="1"/>
    <xf numFmtId="3" fontId="7" fillId="0" borderId="6" xfId="0" applyNumberFormat="1" applyFont="1" applyBorder="1"/>
    <xf numFmtId="3" fontId="7" fillId="0" borderId="15" xfId="0" applyNumberFormat="1" applyFont="1" applyBorder="1"/>
    <xf numFmtId="0" fontId="10" fillId="0" borderId="0" xfId="0" applyFont="1" applyAlignment="1">
      <alignment horizontal="right"/>
    </xf>
    <xf numFmtId="3" fontId="7" fillId="0" borderId="15" xfId="0" applyNumberFormat="1" applyFont="1" applyBorder="1" applyAlignment="1">
      <alignment horizontal="center"/>
    </xf>
    <xf numFmtId="0" fontId="9" fillId="4" borderId="16" xfId="0" applyFont="1" applyFill="1" applyBorder="1" applyAlignment="1">
      <alignment horizontal="center" vertical="center"/>
    </xf>
    <xf numFmtId="0" fontId="0" fillId="0" borderId="17" xfId="0" applyBorder="1"/>
    <xf numFmtId="3" fontId="6" fillId="0" borderId="17" xfId="0" applyNumberFormat="1" applyFont="1" applyBorder="1"/>
    <xf numFmtId="3" fontId="6" fillId="0" borderId="18" xfId="0" applyNumberFormat="1" applyFont="1" applyBorder="1"/>
    <xf numFmtId="0" fontId="9" fillId="4" borderId="19" xfId="0" applyFont="1" applyFill="1" applyBorder="1" applyAlignment="1">
      <alignment horizontal="center" vertical="center"/>
    </xf>
    <xf numFmtId="0" fontId="0" fillId="0" borderId="20" xfId="0" applyBorder="1"/>
    <xf numFmtId="3" fontId="6" fillId="0" borderId="20" xfId="0" applyNumberFormat="1" applyFont="1" applyBorder="1"/>
    <xf numFmtId="3" fontId="6" fillId="0" borderId="21" xfId="0" applyNumberFormat="1" applyFont="1" applyBorder="1"/>
    <xf numFmtId="0" fontId="0" fillId="0" borderId="20" xfId="0" applyBorder="1" applyAlignment="1">
      <alignment horizontal="right"/>
    </xf>
    <xf numFmtId="0" fontId="6" fillId="0" borderId="20" xfId="0" applyFont="1" applyBorder="1"/>
    <xf numFmtId="0" fontId="9" fillId="4" borderId="19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wrapText="1"/>
    </xf>
    <xf numFmtId="3" fontId="0" fillId="0" borderId="20" xfId="0" applyNumberFormat="1" applyBorder="1"/>
    <xf numFmtId="3" fontId="0" fillId="0" borderId="21" xfId="0" applyNumberFormat="1" applyBorder="1"/>
    <xf numFmtId="168" fontId="0" fillId="0" borderId="20" xfId="1" applyNumberFormat="1" applyFont="1" applyBorder="1"/>
    <xf numFmtId="168" fontId="0" fillId="0" borderId="21" xfId="1" applyNumberFormat="1" applyFont="1" applyBorder="1"/>
    <xf numFmtId="168" fontId="0" fillId="0" borderId="20" xfId="0" applyNumberFormat="1" applyBorder="1"/>
    <xf numFmtId="168" fontId="0" fillId="0" borderId="21" xfId="0" applyNumberFormat="1" applyBorder="1"/>
    <xf numFmtId="168" fontId="9" fillId="4" borderId="19" xfId="1" applyNumberFormat="1" applyFont="1" applyFill="1" applyBorder="1" applyAlignment="1">
      <alignment horizontal="center" vertical="center" wrapText="1"/>
    </xf>
    <xf numFmtId="168" fontId="0" fillId="0" borderId="20" xfId="1" applyNumberFormat="1" applyFont="1" applyBorder="1" applyAlignment="1">
      <alignment horizontal="center" wrapText="1"/>
    </xf>
    <xf numFmtId="168" fontId="9" fillId="4" borderId="16" xfId="1" applyNumberFormat="1" applyFont="1" applyFill="1" applyBorder="1" applyAlignment="1">
      <alignment horizontal="center" vertical="center" wrapText="1"/>
    </xf>
    <xf numFmtId="168" fontId="0" fillId="0" borderId="17" xfId="1" applyNumberFormat="1" applyFont="1" applyBorder="1" applyAlignment="1">
      <alignment horizontal="center" wrapText="1"/>
    </xf>
    <xf numFmtId="168" fontId="6" fillId="0" borderId="17" xfId="1" applyNumberFormat="1" applyFont="1" applyBorder="1"/>
    <xf numFmtId="168" fontId="0" fillId="0" borderId="17" xfId="1" applyNumberFormat="1" applyFont="1" applyBorder="1"/>
    <xf numFmtId="168" fontId="0" fillId="0" borderId="18" xfId="1" applyNumberFormat="1" applyFont="1" applyBorder="1"/>
    <xf numFmtId="168" fontId="6" fillId="0" borderId="20" xfId="1" applyNumberFormat="1" applyFont="1" applyBorder="1"/>
    <xf numFmtId="168" fontId="0" fillId="0" borderId="20" xfId="0" applyNumberForma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44" fontId="0" fillId="0" borderId="20" xfId="2" applyFont="1" applyBorder="1"/>
    <xf numFmtId="44" fontId="0" fillId="0" borderId="21" xfId="2" applyFont="1" applyBorder="1"/>
    <xf numFmtId="44" fontId="0" fillId="0" borderId="20" xfId="2" applyNumberFormat="1" applyFont="1" applyBorder="1"/>
    <xf numFmtId="44" fontId="0" fillId="0" borderId="21" xfId="2" applyNumberFormat="1" applyFont="1" applyBorder="1"/>
    <xf numFmtId="44" fontId="9" fillId="4" borderId="19" xfId="2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168" fontId="0" fillId="0" borderId="17" xfId="0" applyNumberFormat="1" applyBorder="1"/>
    <xf numFmtId="168" fontId="0" fillId="0" borderId="18" xfId="0" applyNumberFormat="1" applyBorder="1"/>
    <xf numFmtId="168" fontId="7" fillId="0" borderId="15" xfId="1" applyNumberFormat="1" applyFont="1" applyBorder="1"/>
    <xf numFmtId="169" fontId="7" fillId="0" borderId="15" xfId="2" applyNumberFormat="1" applyFont="1" applyBorder="1"/>
    <xf numFmtId="44" fontId="7" fillId="0" borderId="15" xfId="2" applyNumberFormat="1" applyFont="1" applyBorder="1"/>
    <xf numFmtId="44" fontId="7" fillId="0" borderId="6" xfId="2" applyFont="1" applyBorder="1"/>
    <xf numFmtId="44" fontId="7" fillId="0" borderId="6" xfId="2" applyNumberFormat="1" applyFont="1" applyBorder="1"/>
    <xf numFmtId="44" fontId="0" fillId="5" borderId="4" xfId="2" applyFont="1" applyFill="1" applyBorder="1"/>
    <xf numFmtId="44" fontId="0" fillId="5" borderId="22" xfId="2" applyFont="1" applyFill="1" applyBorder="1"/>
    <xf numFmtId="44" fontId="7" fillId="5" borderId="5" xfId="2" applyFont="1" applyFill="1" applyBorder="1"/>
    <xf numFmtId="0" fontId="7" fillId="0" borderId="0" xfId="0" applyFont="1" applyFill="1" applyBorder="1" applyAlignment="1">
      <alignment horizontal="center"/>
    </xf>
    <xf numFmtId="168" fontId="0" fillId="0" borderId="23" xfId="1" applyNumberFormat="1" applyFont="1" applyBorder="1" applyAlignment="1">
      <alignment horizontal="center" wrapText="1"/>
    </xf>
    <xf numFmtId="0" fontId="0" fillId="0" borderId="11" xfId="0" applyBorder="1"/>
    <xf numFmtId="44" fontId="8" fillId="0" borderId="5" xfId="2" applyFont="1" applyBorder="1" applyAlignment="1">
      <alignment horizontal="center" wrapText="1"/>
    </xf>
    <xf numFmtId="44" fontId="8" fillId="0" borderId="5" xfId="2" applyFont="1" applyBorder="1" applyAlignment="1">
      <alignment horizontal="center"/>
    </xf>
    <xf numFmtId="15" fontId="7" fillId="0" borderId="4" xfId="0" applyNumberFormat="1" applyFont="1" applyBorder="1"/>
    <xf numFmtId="15" fontId="7" fillId="0" borderId="22" xfId="0" applyNumberFormat="1" applyFont="1" applyBorder="1"/>
    <xf numFmtId="3" fontId="7" fillId="0" borderId="0" xfId="0" applyNumberFormat="1" applyFont="1" applyBorder="1"/>
    <xf numFmtId="15" fontId="7" fillId="0" borderId="4" xfId="0" applyNumberFormat="1" applyFont="1" applyFill="1" applyBorder="1"/>
    <xf numFmtId="0" fontId="8" fillId="5" borderId="14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</cellXfs>
  <cellStyles count="8">
    <cellStyle name="Comma" xfId="1" builtinId="3"/>
    <cellStyle name="Currency" xfId="2" builtinId="4"/>
    <cellStyle name="Grey" xfId="3"/>
    <cellStyle name="Input [yellow]" xfId="4"/>
    <cellStyle name="Normal" xfId="0" builtinId="0"/>
    <cellStyle name="Normal - Style1" xfId="5"/>
    <cellStyle name="Percent [2]" xfId="6"/>
    <cellStyle name="Times New Roman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L46"/>
  <sheetViews>
    <sheetView showGridLines="0" tabSelected="1" zoomScale="75" workbookViewId="0">
      <selection activeCell="J7" sqref="J7"/>
    </sheetView>
  </sheetViews>
  <sheetFormatPr defaultRowHeight="12.75" x14ac:dyDescent="0.2"/>
  <cols>
    <col min="1" max="1" width="10.85546875" customWidth="1"/>
    <col min="2" max="2" width="16" customWidth="1"/>
    <col min="7" max="7" width="17.28515625" customWidth="1"/>
    <col min="10" max="10" width="10.85546875" customWidth="1"/>
    <col min="11" max="11" width="12.5703125" customWidth="1"/>
    <col min="12" max="12" width="11" customWidth="1"/>
    <col min="13" max="13" width="9.28515625" style="3" bestFit="1" customWidth="1"/>
    <col min="14" max="15" width="9.85546875" style="3" customWidth="1"/>
    <col min="16" max="16" width="12.5703125" customWidth="1"/>
    <col min="17" max="17" width="13" customWidth="1"/>
    <col min="18" max="18" width="11.7109375" customWidth="1"/>
    <col min="19" max="19" width="9.28515625" bestFit="1" customWidth="1"/>
    <col min="21" max="21" width="12" style="3" customWidth="1"/>
    <col min="22" max="22" width="13.140625" style="3" customWidth="1"/>
    <col min="23" max="23" width="12" bestFit="1" customWidth="1"/>
    <col min="24" max="24" width="14.7109375" customWidth="1"/>
    <col min="25" max="25" width="12.85546875" style="2" customWidth="1"/>
    <col min="26" max="26" width="15" style="3" bestFit="1" customWidth="1"/>
    <col min="27" max="27" width="12.5703125" style="3" bestFit="1" customWidth="1"/>
    <col min="28" max="28" width="9.140625" style="1"/>
    <col min="29" max="29" width="13.42578125" style="1" bestFit="1" customWidth="1"/>
    <col min="30" max="30" width="12.5703125" bestFit="1" customWidth="1"/>
    <col min="31" max="31" width="15" bestFit="1" customWidth="1"/>
    <col min="33" max="33" width="11.140625" customWidth="1"/>
    <col min="34" max="34" width="10.5703125" style="1" customWidth="1"/>
    <col min="36" max="36" width="14.5703125" bestFit="1" customWidth="1"/>
    <col min="38" max="38" width="12.85546875" bestFit="1" customWidth="1"/>
  </cols>
  <sheetData>
    <row r="1" spans="1:38" x14ac:dyDescent="0.2">
      <c r="A1" s="32" t="s">
        <v>0</v>
      </c>
      <c r="B1" s="33"/>
      <c r="C1" s="34"/>
    </row>
    <row r="2" spans="1:38" ht="13.5" thickBot="1" x14ac:dyDescent="0.25">
      <c r="A2" s="35" t="s">
        <v>6</v>
      </c>
      <c r="B2" s="36"/>
      <c r="C2" s="37">
        <v>37073</v>
      </c>
    </row>
    <row r="3" spans="1:38" ht="13.5" thickBot="1" x14ac:dyDescent="0.25">
      <c r="A3" s="35" t="s">
        <v>1</v>
      </c>
      <c r="B3" s="36"/>
      <c r="C3" s="38">
        <f>C4*(1+C7)</f>
        <v>6173.433</v>
      </c>
      <c r="F3" s="104" t="s">
        <v>33</v>
      </c>
      <c r="G3" s="105"/>
    </row>
    <row r="4" spans="1:38" x14ac:dyDescent="0.2">
      <c r="A4" s="35" t="s">
        <v>34</v>
      </c>
      <c r="B4" s="36"/>
      <c r="C4" s="39">
        <v>6090</v>
      </c>
    </row>
    <row r="5" spans="1:38" x14ac:dyDescent="0.2">
      <c r="A5" s="35" t="s">
        <v>2</v>
      </c>
      <c r="B5" s="36"/>
      <c r="C5" s="40">
        <v>4.3999999999999997E-2</v>
      </c>
      <c r="O5" s="12"/>
    </row>
    <row r="6" spans="1:38" x14ac:dyDescent="0.2">
      <c r="A6" s="35" t="s">
        <v>3</v>
      </c>
      <c r="B6" s="36"/>
      <c r="C6" s="40">
        <v>0.115</v>
      </c>
    </row>
    <row r="7" spans="1:38" ht="13.5" thickBot="1" x14ac:dyDescent="0.25">
      <c r="A7" s="41" t="s">
        <v>4</v>
      </c>
      <c r="B7" s="42"/>
      <c r="C7" s="43">
        <v>1.37E-2</v>
      </c>
    </row>
    <row r="8" spans="1:38" x14ac:dyDescent="0.2">
      <c r="A8" s="18"/>
      <c r="C8" s="8"/>
    </row>
    <row r="9" spans="1:38" x14ac:dyDescent="0.2">
      <c r="A9" s="18"/>
      <c r="C9" s="8"/>
    </row>
    <row r="10" spans="1:38" ht="13.5" thickBot="1" x14ac:dyDescent="0.25"/>
    <row r="11" spans="1:38" ht="13.5" thickBot="1" x14ac:dyDescent="0.25">
      <c r="C11" s="106" t="s">
        <v>8</v>
      </c>
      <c r="D11" s="107"/>
      <c r="E11" s="107"/>
      <c r="F11" s="107"/>
      <c r="G11" s="107"/>
      <c r="H11" s="107"/>
      <c r="I11" s="107"/>
      <c r="J11" s="108"/>
      <c r="K11" s="95"/>
      <c r="L11" s="95"/>
      <c r="M11" s="95"/>
      <c r="N11" s="95"/>
      <c r="O11" s="19"/>
      <c r="Z11" s="4"/>
      <c r="AA11" s="4"/>
    </row>
    <row r="12" spans="1:38" s="27" customFormat="1" ht="64.5" thickBot="1" x14ac:dyDescent="0.25">
      <c r="A12" s="20" t="s">
        <v>5</v>
      </c>
      <c r="B12" s="21"/>
      <c r="C12" s="51">
        <v>5403</v>
      </c>
      <c r="D12" s="55">
        <v>5401</v>
      </c>
      <c r="E12" s="55">
        <v>5402</v>
      </c>
      <c r="F12" s="55">
        <v>5404</v>
      </c>
      <c r="G12" s="55">
        <v>5405</v>
      </c>
      <c r="H12" s="55">
        <v>5406</v>
      </c>
      <c r="I12" s="55" t="s">
        <v>7</v>
      </c>
      <c r="J12" s="61" t="s">
        <v>9</v>
      </c>
      <c r="K12" s="61" t="s">
        <v>10</v>
      </c>
      <c r="L12" s="61" t="s">
        <v>11</v>
      </c>
      <c r="M12" s="69" t="s">
        <v>16</v>
      </c>
      <c r="N12" s="22" t="s">
        <v>17</v>
      </c>
      <c r="O12" s="23"/>
      <c r="P12" s="71" t="s">
        <v>14</v>
      </c>
      <c r="Q12" s="69" t="s">
        <v>15</v>
      </c>
      <c r="R12" s="69" t="s">
        <v>31</v>
      </c>
      <c r="S12" s="69" t="s">
        <v>18</v>
      </c>
      <c r="T12" s="69" t="s">
        <v>19</v>
      </c>
      <c r="U12" s="69" t="s">
        <v>12</v>
      </c>
      <c r="V12" s="69" t="s">
        <v>13</v>
      </c>
      <c r="W12" s="61" t="s">
        <v>21</v>
      </c>
      <c r="X12" s="69" t="s">
        <v>22</v>
      </c>
      <c r="Y12" s="69" t="s">
        <v>23</v>
      </c>
      <c r="Z12" s="69" t="s">
        <v>20</v>
      </c>
      <c r="AA12" s="69" t="s">
        <v>24</v>
      </c>
      <c r="AB12" s="83" t="s">
        <v>25</v>
      </c>
      <c r="AC12" s="83" t="s">
        <v>26</v>
      </c>
      <c r="AD12" s="69" t="s">
        <v>3</v>
      </c>
      <c r="AE12" s="22" t="s">
        <v>27</v>
      </c>
      <c r="AF12" s="24"/>
      <c r="AG12" s="84" t="s">
        <v>28</v>
      </c>
      <c r="AH12" s="25" t="s">
        <v>29</v>
      </c>
      <c r="AI12" s="24"/>
      <c r="AJ12" s="26" t="s">
        <v>30</v>
      </c>
    </row>
    <row r="13" spans="1:38" ht="13.5" thickBot="1" x14ac:dyDescent="0.25">
      <c r="A13" s="17"/>
      <c r="B13" s="5"/>
      <c r="C13" s="52"/>
      <c r="D13" s="56"/>
      <c r="E13" s="56"/>
      <c r="F13" s="56"/>
      <c r="G13" s="56"/>
      <c r="H13" s="56"/>
      <c r="I13" s="59"/>
      <c r="J13" s="62"/>
      <c r="K13" s="62"/>
      <c r="L13" s="62"/>
      <c r="M13" s="70"/>
      <c r="N13" s="29"/>
      <c r="O13" s="10"/>
      <c r="P13" s="72"/>
      <c r="Q13" s="70"/>
      <c r="R13" s="70"/>
      <c r="S13" s="70"/>
      <c r="T13" s="70"/>
      <c r="U13" s="70"/>
      <c r="V13" s="70"/>
      <c r="W13" s="62"/>
      <c r="X13" s="70"/>
      <c r="Y13" s="96"/>
      <c r="Z13" s="98">
        <v>3.27</v>
      </c>
      <c r="AA13" s="99">
        <v>3.86</v>
      </c>
      <c r="AB13" s="99">
        <v>0</v>
      </c>
      <c r="AC13" s="99">
        <v>5.66</v>
      </c>
      <c r="AD13" s="97"/>
      <c r="AE13" s="11"/>
      <c r="AG13" s="52"/>
      <c r="AH13" s="15"/>
      <c r="AJ13" s="45"/>
    </row>
    <row r="14" spans="1:38" x14ac:dyDescent="0.2">
      <c r="A14" s="100">
        <f>C2</f>
        <v>37073</v>
      </c>
      <c r="B14" s="5"/>
      <c r="C14" s="53">
        <v>1913</v>
      </c>
      <c r="D14" s="57">
        <v>628</v>
      </c>
      <c r="E14" s="57">
        <v>626</v>
      </c>
      <c r="F14" s="57">
        <v>782</v>
      </c>
      <c r="G14" s="57">
        <v>1089</v>
      </c>
      <c r="H14" s="57">
        <v>0</v>
      </c>
      <c r="I14" s="57">
        <v>0</v>
      </c>
      <c r="J14" s="63">
        <f>SUM(C14:I14)</f>
        <v>5038</v>
      </c>
      <c r="K14" s="65">
        <f>J14*1.016</f>
        <v>5118.6080000000002</v>
      </c>
      <c r="L14" s="67">
        <f t="shared" ref="L14:L44" si="0">K14*(1+$C$7)</f>
        <v>5188.7329296000007</v>
      </c>
      <c r="M14" s="65">
        <f t="shared" ref="M14:M44" si="1">IF(L14&gt;$C$3,$C$3,L14)</f>
        <v>5188.7329296000007</v>
      </c>
      <c r="N14" s="30">
        <f>IF(M14=L14,0,((L14-M14)*(1-0.01372)))</f>
        <v>0</v>
      </c>
      <c r="O14" s="12"/>
      <c r="P14" s="73">
        <v>0</v>
      </c>
      <c r="Q14" s="76">
        <v>70</v>
      </c>
      <c r="R14" s="65">
        <f>IF(N14&gt;Q14,0,N14-Q14)</f>
        <v>-70</v>
      </c>
      <c r="S14" s="67">
        <f t="shared" ref="S14:S44" si="2">M14+R14*(1+$C$7)</f>
        <v>5117.7739296000009</v>
      </c>
      <c r="T14" s="65">
        <f>IF(N14&gt;70,N14-70+70,70)</f>
        <v>70</v>
      </c>
      <c r="U14" s="76">
        <v>0</v>
      </c>
      <c r="V14" s="76">
        <v>0</v>
      </c>
      <c r="W14" s="67">
        <f>L14-(U14+V14)</f>
        <v>5188.7329296000007</v>
      </c>
      <c r="X14" s="67">
        <f>S14-U14-P14</f>
        <v>5117.7739296000009</v>
      </c>
      <c r="Y14" s="77">
        <f>T14-Q14-V14</f>
        <v>0</v>
      </c>
      <c r="Z14" s="79">
        <f>X14*$Z$13</f>
        <v>16735.120749792004</v>
      </c>
      <c r="AA14" s="81">
        <f>$AA$13*Y14</f>
        <v>0</v>
      </c>
      <c r="AB14" s="79">
        <f>P14*$AB$13</f>
        <v>0</v>
      </c>
      <c r="AC14" s="79">
        <f>$AC$13*Q14</f>
        <v>396.2</v>
      </c>
      <c r="AD14" s="79">
        <f t="shared" ref="AD14:AD44" si="3">K14*$C$6</f>
        <v>588.63992000000007</v>
      </c>
      <c r="AE14" s="13">
        <f>AD14+AC14+Z14+AA14+AB14</f>
        <v>17719.960669792003</v>
      </c>
      <c r="AG14" s="85">
        <f t="shared" ref="AG14:AG44" si="4">$C$3-S14</f>
        <v>1055.6590703999991</v>
      </c>
      <c r="AH14" s="15">
        <f t="shared" ref="AH14:AH44" si="5">AG14*$C$5</f>
        <v>46.448999097599959</v>
      </c>
      <c r="AJ14" s="44">
        <f>AE14-AH14</f>
        <v>17673.511670694403</v>
      </c>
      <c r="AK14" s="7"/>
      <c r="AL14" s="6"/>
    </row>
    <row r="15" spans="1:38" x14ac:dyDescent="0.2">
      <c r="A15" s="100">
        <f>A14+1</f>
        <v>37074</v>
      </c>
      <c r="B15" s="5"/>
      <c r="C15" s="53">
        <v>1909</v>
      </c>
      <c r="D15" s="57">
        <v>632</v>
      </c>
      <c r="E15" s="57">
        <v>630</v>
      </c>
      <c r="F15" s="57">
        <v>781</v>
      </c>
      <c r="G15" s="57">
        <v>1080</v>
      </c>
      <c r="H15" s="57">
        <v>1</v>
      </c>
      <c r="I15" s="57">
        <v>16</v>
      </c>
      <c r="J15" s="63">
        <f t="shared" ref="J15:J44" si="6">SUM(C15:I15)</f>
        <v>5049</v>
      </c>
      <c r="K15" s="65">
        <f t="shared" ref="K15:K44" si="7">J15*1.016</f>
        <v>5129.7839999999997</v>
      </c>
      <c r="L15" s="67">
        <f t="shared" si="0"/>
        <v>5200.0620407999995</v>
      </c>
      <c r="M15" s="65">
        <f t="shared" si="1"/>
        <v>5200.0620407999995</v>
      </c>
      <c r="N15" s="30">
        <f t="shared" ref="N15:N43" si="8">IF(M15&gt;L15,0,((L15-M15)*(1-0.01372)))</f>
        <v>0</v>
      </c>
      <c r="O15" s="12"/>
      <c r="P15" s="74">
        <f>P14</f>
        <v>0</v>
      </c>
      <c r="Q15" s="65">
        <f>Q14</f>
        <v>70</v>
      </c>
      <c r="R15" s="65">
        <f t="shared" ref="R15:R44" si="9">IF(N15&gt;Q15,0,N15-Q15)</f>
        <v>-70</v>
      </c>
      <c r="S15" s="67">
        <f t="shared" si="2"/>
        <v>5129.1030407999997</v>
      </c>
      <c r="T15" s="65">
        <f t="shared" ref="T15:T44" si="10">IF(N15&gt;70,N15-70+70,70)</f>
        <v>70</v>
      </c>
      <c r="U15" s="76">
        <v>1328</v>
      </c>
      <c r="V15" s="65">
        <f>V14</f>
        <v>0</v>
      </c>
      <c r="W15" s="67">
        <f>L15-(U15+V15)</f>
        <v>3872.0620407999995</v>
      </c>
      <c r="X15" s="67">
        <f t="shared" ref="X15:X44" si="11">S15-U15-P15</f>
        <v>3801.1030407999997</v>
      </c>
      <c r="Y15" s="77">
        <f t="shared" ref="Y15:Y44" si="12">T15-Q15-V15</f>
        <v>0</v>
      </c>
      <c r="Z15" s="79">
        <f t="shared" ref="Z15:Z44" si="13">X15*$Z$13</f>
        <v>12429.606943416</v>
      </c>
      <c r="AA15" s="81">
        <f t="shared" ref="AA15:AA44" si="14">$AA$13*Y15</f>
        <v>0</v>
      </c>
      <c r="AB15" s="79">
        <f t="shared" ref="AB15:AB44" si="15">P15*$AB$13</f>
        <v>0</v>
      </c>
      <c r="AC15" s="79">
        <f t="shared" ref="AC15:AC44" si="16">$AC$13*Q15</f>
        <v>396.2</v>
      </c>
      <c r="AD15" s="79">
        <f t="shared" si="3"/>
        <v>589.92516000000001</v>
      </c>
      <c r="AE15" s="13">
        <f t="shared" ref="AE15:AE44" si="17">AD15+AC15+Z15+AA15+AB15</f>
        <v>13415.732103416</v>
      </c>
      <c r="AG15" s="85">
        <f t="shared" si="4"/>
        <v>1044.3299592000003</v>
      </c>
      <c r="AH15" s="15">
        <f t="shared" si="5"/>
        <v>45.950518204800012</v>
      </c>
      <c r="AJ15" s="44">
        <f t="shared" ref="AJ15:AJ44" si="18">AE15-AH15</f>
        <v>13369.7815852112</v>
      </c>
      <c r="AK15" s="7"/>
      <c r="AL15" s="6"/>
    </row>
    <row r="16" spans="1:38" x14ac:dyDescent="0.2">
      <c r="A16" s="100">
        <f>A15+1</f>
        <v>37075</v>
      </c>
      <c r="B16" s="5"/>
      <c r="C16" s="53">
        <v>1719</v>
      </c>
      <c r="D16" s="57">
        <v>577</v>
      </c>
      <c r="E16" s="57">
        <v>575</v>
      </c>
      <c r="F16" s="57">
        <v>745</v>
      </c>
      <c r="G16" s="57">
        <v>1004</v>
      </c>
      <c r="H16" s="57">
        <v>0</v>
      </c>
      <c r="I16" s="57">
        <v>28</v>
      </c>
      <c r="J16" s="63">
        <f t="shared" si="6"/>
        <v>4648</v>
      </c>
      <c r="K16" s="65">
        <f t="shared" si="7"/>
        <v>4722.3680000000004</v>
      </c>
      <c r="L16" s="67">
        <f t="shared" si="0"/>
        <v>4787.0644416000005</v>
      </c>
      <c r="M16" s="65">
        <f t="shared" si="1"/>
        <v>4787.0644416000005</v>
      </c>
      <c r="N16" s="30">
        <f t="shared" si="8"/>
        <v>0</v>
      </c>
      <c r="O16" s="12"/>
      <c r="P16" s="74">
        <f t="shared" ref="P16:P44" si="19">P15</f>
        <v>0</v>
      </c>
      <c r="Q16" s="65">
        <f t="shared" ref="Q16:Q44" si="20">Q15</f>
        <v>70</v>
      </c>
      <c r="R16" s="65">
        <f t="shared" si="9"/>
        <v>-70</v>
      </c>
      <c r="S16" s="67">
        <f t="shared" si="2"/>
        <v>4716.1054416000006</v>
      </c>
      <c r="T16" s="65">
        <f t="shared" si="10"/>
        <v>70</v>
      </c>
      <c r="U16" s="76">
        <v>1495</v>
      </c>
      <c r="V16" s="65">
        <f t="shared" ref="V16:V44" si="21">V15</f>
        <v>0</v>
      </c>
      <c r="W16" s="67">
        <f t="shared" ref="W16:W44" si="22">L16-(U16+V16)</f>
        <v>3292.0644416000005</v>
      </c>
      <c r="X16" s="67">
        <f t="shared" si="11"/>
        <v>3221.1054416000006</v>
      </c>
      <c r="Y16" s="77">
        <f t="shared" si="12"/>
        <v>0</v>
      </c>
      <c r="Z16" s="79">
        <f t="shared" si="13"/>
        <v>10533.014794032002</v>
      </c>
      <c r="AA16" s="81">
        <f t="shared" si="14"/>
        <v>0</v>
      </c>
      <c r="AB16" s="79">
        <f t="shared" si="15"/>
        <v>0</v>
      </c>
      <c r="AC16" s="79">
        <f t="shared" si="16"/>
        <v>396.2</v>
      </c>
      <c r="AD16" s="79">
        <f t="shared" si="3"/>
        <v>543.0723200000001</v>
      </c>
      <c r="AE16" s="13">
        <f t="shared" si="17"/>
        <v>11472.287114032002</v>
      </c>
      <c r="AG16" s="85">
        <f t="shared" si="4"/>
        <v>1457.3275583999994</v>
      </c>
      <c r="AH16" s="15">
        <f t="shared" si="5"/>
        <v>64.122412569599973</v>
      </c>
      <c r="AJ16" s="44">
        <f t="shared" si="18"/>
        <v>11408.164701462401</v>
      </c>
      <c r="AK16" s="7"/>
      <c r="AL16" s="6"/>
    </row>
    <row r="17" spans="1:38" x14ac:dyDescent="0.2">
      <c r="A17" s="100">
        <f t="shared" ref="A17:A40" si="23">A16+1</f>
        <v>37076</v>
      </c>
      <c r="B17" s="5"/>
      <c r="C17" s="53">
        <v>1782</v>
      </c>
      <c r="D17" s="57">
        <v>542</v>
      </c>
      <c r="E17" s="57">
        <v>541</v>
      </c>
      <c r="F17" s="57">
        <v>748</v>
      </c>
      <c r="G17" s="57">
        <v>1017</v>
      </c>
      <c r="H17" s="57">
        <v>0</v>
      </c>
      <c r="I17" s="57">
        <v>1</v>
      </c>
      <c r="J17" s="63">
        <f t="shared" si="6"/>
        <v>4631</v>
      </c>
      <c r="K17" s="65">
        <f t="shared" si="7"/>
        <v>4705.0960000000005</v>
      </c>
      <c r="L17" s="67">
        <f t="shared" si="0"/>
        <v>4769.5558152000003</v>
      </c>
      <c r="M17" s="65">
        <f t="shared" si="1"/>
        <v>4769.5558152000003</v>
      </c>
      <c r="N17" s="30">
        <f t="shared" si="8"/>
        <v>0</v>
      </c>
      <c r="O17" s="12"/>
      <c r="P17" s="74">
        <f t="shared" si="19"/>
        <v>0</v>
      </c>
      <c r="Q17" s="65">
        <f t="shared" si="20"/>
        <v>70</v>
      </c>
      <c r="R17" s="65">
        <f t="shared" si="9"/>
        <v>-70</v>
      </c>
      <c r="S17" s="67">
        <f t="shared" si="2"/>
        <v>4698.5968152000005</v>
      </c>
      <c r="T17" s="65">
        <f t="shared" si="10"/>
        <v>70</v>
      </c>
      <c r="U17" s="76">
        <v>1500</v>
      </c>
      <c r="V17" s="65">
        <f t="shared" si="21"/>
        <v>0</v>
      </c>
      <c r="W17" s="67">
        <f t="shared" si="22"/>
        <v>3269.5558152000003</v>
      </c>
      <c r="X17" s="67">
        <f t="shared" si="11"/>
        <v>3198.5968152000005</v>
      </c>
      <c r="Y17" s="77">
        <f t="shared" si="12"/>
        <v>0</v>
      </c>
      <c r="Z17" s="79">
        <f t="shared" si="13"/>
        <v>10459.411585704001</v>
      </c>
      <c r="AA17" s="81">
        <f t="shared" si="14"/>
        <v>0</v>
      </c>
      <c r="AB17" s="79">
        <f t="shared" si="15"/>
        <v>0</v>
      </c>
      <c r="AC17" s="79">
        <f t="shared" si="16"/>
        <v>396.2</v>
      </c>
      <c r="AD17" s="79">
        <f t="shared" si="3"/>
        <v>541.08604000000003</v>
      </c>
      <c r="AE17" s="13">
        <f t="shared" si="17"/>
        <v>11396.697625704001</v>
      </c>
      <c r="AG17" s="85">
        <f t="shared" si="4"/>
        <v>1474.8361847999995</v>
      </c>
      <c r="AH17" s="15">
        <f t="shared" si="5"/>
        <v>64.892792131199968</v>
      </c>
      <c r="AJ17" s="44">
        <f t="shared" si="18"/>
        <v>11331.8048335728</v>
      </c>
      <c r="AK17" s="7"/>
      <c r="AL17" s="6"/>
    </row>
    <row r="18" spans="1:38" x14ac:dyDescent="0.2">
      <c r="A18" s="100">
        <f t="shared" si="23"/>
        <v>37077</v>
      </c>
      <c r="B18" s="5"/>
      <c r="C18" s="53">
        <v>1988</v>
      </c>
      <c r="D18" s="57">
        <v>610</v>
      </c>
      <c r="E18" s="57">
        <v>609</v>
      </c>
      <c r="F18" s="57">
        <v>799</v>
      </c>
      <c r="G18" s="57">
        <v>1119</v>
      </c>
      <c r="H18" s="57">
        <v>2</v>
      </c>
      <c r="I18" s="57">
        <v>24</v>
      </c>
      <c r="J18" s="63">
        <f t="shared" si="6"/>
        <v>5151</v>
      </c>
      <c r="K18" s="65">
        <f t="shared" si="7"/>
        <v>5233.4160000000002</v>
      </c>
      <c r="L18" s="67">
        <f t="shared" si="0"/>
        <v>5305.1137992000004</v>
      </c>
      <c r="M18" s="65">
        <f t="shared" si="1"/>
        <v>5305.1137992000004</v>
      </c>
      <c r="N18" s="30">
        <f t="shared" si="8"/>
        <v>0</v>
      </c>
      <c r="O18" s="12"/>
      <c r="P18" s="74">
        <f t="shared" si="19"/>
        <v>0</v>
      </c>
      <c r="Q18" s="65">
        <f t="shared" si="20"/>
        <v>70</v>
      </c>
      <c r="R18" s="65">
        <f t="shared" si="9"/>
        <v>-70</v>
      </c>
      <c r="S18" s="67">
        <f t="shared" si="2"/>
        <v>5234.1547992000005</v>
      </c>
      <c r="T18" s="65">
        <f t="shared" si="10"/>
        <v>70</v>
      </c>
      <c r="U18" s="65">
        <f>U17</f>
        <v>1500</v>
      </c>
      <c r="V18" s="65">
        <f t="shared" si="21"/>
        <v>0</v>
      </c>
      <c r="W18" s="67">
        <f t="shared" si="22"/>
        <v>3805.1137992000004</v>
      </c>
      <c r="X18" s="67">
        <f t="shared" si="11"/>
        <v>3734.1547992000005</v>
      </c>
      <c r="Y18" s="77">
        <f t="shared" si="12"/>
        <v>0</v>
      </c>
      <c r="Z18" s="79">
        <f t="shared" si="13"/>
        <v>12210.686193384001</v>
      </c>
      <c r="AA18" s="81">
        <f t="shared" si="14"/>
        <v>0</v>
      </c>
      <c r="AB18" s="79">
        <f t="shared" si="15"/>
        <v>0</v>
      </c>
      <c r="AC18" s="79">
        <f t="shared" si="16"/>
        <v>396.2</v>
      </c>
      <c r="AD18" s="79">
        <f t="shared" si="3"/>
        <v>601.84284000000002</v>
      </c>
      <c r="AE18" s="13">
        <f t="shared" si="17"/>
        <v>13208.729033384001</v>
      </c>
      <c r="AG18" s="85">
        <f t="shared" si="4"/>
        <v>939.27820079999947</v>
      </c>
      <c r="AH18" s="15">
        <f t="shared" si="5"/>
        <v>41.328240835199978</v>
      </c>
      <c r="AJ18" s="44">
        <f t="shared" si="18"/>
        <v>13167.4007925488</v>
      </c>
      <c r="AK18" s="7"/>
      <c r="AL18" s="6"/>
    </row>
    <row r="19" spans="1:38" x14ac:dyDescent="0.2">
      <c r="A19" s="100">
        <f t="shared" si="23"/>
        <v>37078</v>
      </c>
      <c r="B19" s="5"/>
      <c r="C19" s="53">
        <v>2096</v>
      </c>
      <c r="D19" s="57">
        <v>645</v>
      </c>
      <c r="E19" s="57">
        <v>643</v>
      </c>
      <c r="F19" s="57">
        <v>821</v>
      </c>
      <c r="G19" s="57">
        <v>1165</v>
      </c>
      <c r="H19" s="57">
        <v>2</v>
      </c>
      <c r="I19" s="57">
        <v>13</v>
      </c>
      <c r="J19" s="63">
        <f t="shared" si="6"/>
        <v>5385</v>
      </c>
      <c r="K19" s="65">
        <f t="shared" si="7"/>
        <v>5471.16</v>
      </c>
      <c r="L19" s="67">
        <f t="shared" si="0"/>
        <v>5546.1148920000005</v>
      </c>
      <c r="M19" s="65">
        <f t="shared" si="1"/>
        <v>5546.1148920000005</v>
      </c>
      <c r="N19" s="30">
        <f t="shared" si="8"/>
        <v>0</v>
      </c>
      <c r="O19" s="12"/>
      <c r="P19" s="74">
        <f t="shared" si="19"/>
        <v>0</v>
      </c>
      <c r="Q19" s="65">
        <f t="shared" si="20"/>
        <v>70</v>
      </c>
      <c r="R19" s="65">
        <f t="shared" si="9"/>
        <v>-70</v>
      </c>
      <c r="S19" s="67">
        <f t="shared" si="2"/>
        <v>5475.1558920000007</v>
      </c>
      <c r="T19" s="65">
        <f t="shared" si="10"/>
        <v>70</v>
      </c>
      <c r="U19" s="65">
        <f t="shared" ref="U19:U44" si="24">U18</f>
        <v>1500</v>
      </c>
      <c r="V19" s="65">
        <f t="shared" si="21"/>
        <v>0</v>
      </c>
      <c r="W19" s="67">
        <f t="shared" si="22"/>
        <v>4046.1148920000005</v>
      </c>
      <c r="X19" s="67">
        <f t="shared" si="11"/>
        <v>3975.1558920000007</v>
      </c>
      <c r="Y19" s="77">
        <f t="shared" si="12"/>
        <v>0</v>
      </c>
      <c r="Z19" s="79">
        <f t="shared" si="13"/>
        <v>12998.759766840003</v>
      </c>
      <c r="AA19" s="81">
        <f t="shared" si="14"/>
        <v>0</v>
      </c>
      <c r="AB19" s="79">
        <f t="shared" si="15"/>
        <v>0</v>
      </c>
      <c r="AC19" s="79">
        <f t="shared" si="16"/>
        <v>396.2</v>
      </c>
      <c r="AD19" s="79">
        <f t="shared" si="3"/>
        <v>629.18340000000001</v>
      </c>
      <c r="AE19" s="13">
        <f t="shared" si="17"/>
        <v>14024.143166840004</v>
      </c>
      <c r="AG19" s="85">
        <f t="shared" si="4"/>
        <v>698.27710799999932</v>
      </c>
      <c r="AH19" s="15">
        <f t="shared" si="5"/>
        <v>30.724192751999968</v>
      </c>
      <c r="AJ19" s="44">
        <f t="shared" si="18"/>
        <v>13993.418974088003</v>
      </c>
      <c r="AK19" s="7"/>
      <c r="AL19" s="6"/>
    </row>
    <row r="20" spans="1:38" x14ac:dyDescent="0.2">
      <c r="A20" s="100">
        <f t="shared" si="23"/>
        <v>37079</v>
      </c>
      <c r="B20" s="5"/>
      <c r="C20" s="53">
        <v>2004</v>
      </c>
      <c r="D20" s="57">
        <v>611</v>
      </c>
      <c r="E20" s="57">
        <v>610</v>
      </c>
      <c r="F20" s="57">
        <v>776</v>
      </c>
      <c r="G20" s="57">
        <v>1087</v>
      </c>
      <c r="H20" s="57">
        <v>0</v>
      </c>
      <c r="I20" s="57">
        <v>3</v>
      </c>
      <c r="J20" s="63">
        <f t="shared" si="6"/>
        <v>5091</v>
      </c>
      <c r="K20" s="65">
        <f t="shared" si="7"/>
        <v>5172.4560000000001</v>
      </c>
      <c r="L20" s="67">
        <f t="shared" si="0"/>
        <v>5243.3186472000007</v>
      </c>
      <c r="M20" s="65">
        <f t="shared" si="1"/>
        <v>5243.3186472000007</v>
      </c>
      <c r="N20" s="30">
        <f t="shared" si="8"/>
        <v>0</v>
      </c>
      <c r="O20" s="12"/>
      <c r="P20" s="74">
        <f t="shared" si="19"/>
        <v>0</v>
      </c>
      <c r="Q20" s="65">
        <f t="shared" si="20"/>
        <v>70</v>
      </c>
      <c r="R20" s="65">
        <f t="shared" si="9"/>
        <v>-70</v>
      </c>
      <c r="S20" s="67">
        <f t="shared" si="2"/>
        <v>5172.3596472000008</v>
      </c>
      <c r="T20" s="65">
        <f t="shared" si="10"/>
        <v>70</v>
      </c>
      <c r="U20" s="65">
        <f t="shared" si="24"/>
        <v>1500</v>
      </c>
      <c r="V20" s="65">
        <f t="shared" si="21"/>
        <v>0</v>
      </c>
      <c r="W20" s="67">
        <f t="shared" si="22"/>
        <v>3743.3186472000007</v>
      </c>
      <c r="X20" s="67">
        <f t="shared" si="11"/>
        <v>3672.3596472000008</v>
      </c>
      <c r="Y20" s="77">
        <f t="shared" si="12"/>
        <v>0</v>
      </c>
      <c r="Z20" s="79">
        <f t="shared" si="13"/>
        <v>12008.616046344003</v>
      </c>
      <c r="AA20" s="81">
        <f t="shared" si="14"/>
        <v>0</v>
      </c>
      <c r="AB20" s="79">
        <f t="shared" si="15"/>
        <v>0</v>
      </c>
      <c r="AC20" s="79">
        <f t="shared" si="16"/>
        <v>396.2</v>
      </c>
      <c r="AD20" s="79">
        <f t="shared" si="3"/>
        <v>594.83244000000002</v>
      </c>
      <c r="AE20" s="13">
        <f t="shared" si="17"/>
        <v>12999.648486344002</v>
      </c>
      <c r="AG20" s="85">
        <f t="shared" si="4"/>
        <v>1001.0733527999992</v>
      </c>
      <c r="AH20" s="15">
        <f t="shared" si="5"/>
        <v>44.047227523199957</v>
      </c>
      <c r="AJ20" s="44">
        <f t="shared" si="18"/>
        <v>12955.601258820801</v>
      </c>
      <c r="AK20" s="7"/>
      <c r="AL20" s="6"/>
    </row>
    <row r="21" spans="1:38" x14ac:dyDescent="0.2">
      <c r="A21" s="100">
        <f t="shared" si="23"/>
        <v>37080</v>
      </c>
      <c r="B21" s="5"/>
      <c r="C21" s="53">
        <v>1934</v>
      </c>
      <c r="D21" s="57">
        <v>582</v>
      </c>
      <c r="E21" s="57">
        <v>580</v>
      </c>
      <c r="F21" s="57">
        <v>765</v>
      </c>
      <c r="G21" s="57">
        <v>1068</v>
      </c>
      <c r="H21" s="57">
        <v>0</v>
      </c>
      <c r="I21" s="60">
        <v>2</v>
      </c>
      <c r="J21" s="63">
        <f t="shared" si="6"/>
        <v>4931</v>
      </c>
      <c r="K21" s="65">
        <f t="shared" si="7"/>
        <v>5009.8959999999997</v>
      </c>
      <c r="L21" s="67">
        <f t="shared" si="0"/>
        <v>5078.5315751999997</v>
      </c>
      <c r="M21" s="65">
        <f t="shared" si="1"/>
        <v>5078.5315751999997</v>
      </c>
      <c r="N21" s="30">
        <f t="shared" si="8"/>
        <v>0</v>
      </c>
      <c r="O21" s="12"/>
      <c r="P21" s="74">
        <f t="shared" si="19"/>
        <v>0</v>
      </c>
      <c r="Q21" s="65">
        <f t="shared" si="20"/>
        <v>70</v>
      </c>
      <c r="R21" s="65">
        <f t="shared" si="9"/>
        <v>-70</v>
      </c>
      <c r="S21" s="67">
        <f t="shared" si="2"/>
        <v>5007.5725751999998</v>
      </c>
      <c r="T21" s="65">
        <f t="shared" si="10"/>
        <v>70</v>
      </c>
      <c r="U21" s="65">
        <f t="shared" si="24"/>
        <v>1500</v>
      </c>
      <c r="V21" s="65">
        <f t="shared" si="21"/>
        <v>0</v>
      </c>
      <c r="W21" s="67">
        <f t="shared" si="22"/>
        <v>3578.5315751999997</v>
      </c>
      <c r="X21" s="67">
        <f t="shared" si="11"/>
        <v>3507.5725751999998</v>
      </c>
      <c r="Y21" s="77">
        <f t="shared" si="12"/>
        <v>0</v>
      </c>
      <c r="Z21" s="79">
        <f t="shared" si="13"/>
        <v>11469.762320903999</v>
      </c>
      <c r="AA21" s="81">
        <f t="shared" si="14"/>
        <v>0</v>
      </c>
      <c r="AB21" s="79">
        <f t="shared" si="15"/>
        <v>0</v>
      </c>
      <c r="AC21" s="79">
        <f t="shared" si="16"/>
        <v>396.2</v>
      </c>
      <c r="AD21" s="79">
        <f t="shared" si="3"/>
        <v>576.13804000000005</v>
      </c>
      <c r="AE21" s="13">
        <f t="shared" si="17"/>
        <v>12442.100360904</v>
      </c>
      <c r="AG21" s="85">
        <f t="shared" si="4"/>
        <v>1165.8604248000001</v>
      </c>
      <c r="AH21" s="15">
        <f t="shared" si="5"/>
        <v>51.297858691200005</v>
      </c>
      <c r="AJ21" s="44">
        <f t="shared" si="18"/>
        <v>12390.8025022128</v>
      </c>
      <c r="AK21" s="7"/>
      <c r="AL21" s="6"/>
    </row>
    <row r="22" spans="1:38" x14ac:dyDescent="0.2">
      <c r="A22" s="100">
        <f t="shared" si="23"/>
        <v>37081</v>
      </c>
      <c r="B22" s="5"/>
      <c r="C22" s="53">
        <v>2154</v>
      </c>
      <c r="D22" s="57">
        <v>654</v>
      </c>
      <c r="E22" s="57">
        <v>652</v>
      </c>
      <c r="F22" s="57">
        <v>827</v>
      </c>
      <c r="G22" s="57">
        <v>1165</v>
      </c>
      <c r="H22" s="57">
        <v>4</v>
      </c>
      <c r="I22" s="57">
        <v>17</v>
      </c>
      <c r="J22" s="63">
        <f t="shared" si="6"/>
        <v>5473</v>
      </c>
      <c r="K22" s="65">
        <f t="shared" si="7"/>
        <v>5560.5680000000002</v>
      </c>
      <c r="L22" s="67">
        <f t="shared" si="0"/>
        <v>5636.7477816000001</v>
      </c>
      <c r="M22" s="65">
        <f t="shared" si="1"/>
        <v>5636.7477816000001</v>
      </c>
      <c r="N22" s="30">
        <f t="shared" si="8"/>
        <v>0</v>
      </c>
      <c r="O22" s="12"/>
      <c r="P22" s="74">
        <f t="shared" si="19"/>
        <v>0</v>
      </c>
      <c r="Q22" s="65">
        <f t="shared" si="20"/>
        <v>70</v>
      </c>
      <c r="R22" s="65">
        <f t="shared" si="9"/>
        <v>-70</v>
      </c>
      <c r="S22" s="67">
        <f t="shared" si="2"/>
        <v>5565.7887816000002</v>
      </c>
      <c r="T22" s="65">
        <f t="shared" si="10"/>
        <v>70</v>
      </c>
      <c r="U22" s="65">
        <f t="shared" si="24"/>
        <v>1500</v>
      </c>
      <c r="V22" s="65">
        <f t="shared" si="21"/>
        <v>0</v>
      </c>
      <c r="W22" s="67">
        <f t="shared" si="22"/>
        <v>4136.7477816000001</v>
      </c>
      <c r="X22" s="67">
        <f t="shared" si="11"/>
        <v>4065.7887816000002</v>
      </c>
      <c r="Y22" s="77">
        <f t="shared" si="12"/>
        <v>0</v>
      </c>
      <c r="Z22" s="79">
        <f t="shared" si="13"/>
        <v>13295.129315832</v>
      </c>
      <c r="AA22" s="81">
        <f t="shared" si="14"/>
        <v>0</v>
      </c>
      <c r="AB22" s="79">
        <f t="shared" si="15"/>
        <v>0</v>
      </c>
      <c r="AC22" s="79">
        <f t="shared" si="16"/>
        <v>396.2</v>
      </c>
      <c r="AD22" s="79">
        <f t="shared" si="3"/>
        <v>639.46532000000002</v>
      </c>
      <c r="AE22" s="13">
        <f t="shared" si="17"/>
        <v>14330.794635832</v>
      </c>
      <c r="AG22" s="85">
        <f t="shared" si="4"/>
        <v>607.64421839999977</v>
      </c>
      <c r="AH22" s="15">
        <f t="shared" si="5"/>
        <v>26.73634560959999</v>
      </c>
      <c r="AJ22" s="44">
        <f t="shared" si="18"/>
        <v>14304.058290222401</v>
      </c>
      <c r="AK22" s="7"/>
      <c r="AL22" s="6"/>
    </row>
    <row r="23" spans="1:38" x14ac:dyDescent="0.2">
      <c r="A23" s="100">
        <f t="shared" si="23"/>
        <v>37082</v>
      </c>
      <c r="B23" s="5"/>
      <c r="C23" s="53">
        <v>2235</v>
      </c>
      <c r="D23" s="57">
        <v>669</v>
      </c>
      <c r="E23" s="57">
        <v>668</v>
      </c>
      <c r="F23" s="57">
        <v>859</v>
      </c>
      <c r="G23" s="57">
        <v>1221</v>
      </c>
      <c r="H23" s="57">
        <v>8</v>
      </c>
      <c r="I23" s="57">
        <v>22</v>
      </c>
      <c r="J23" s="63">
        <f t="shared" si="6"/>
        <v>5682</v>
      </c>
      <c r="K23" s="65">
        <f t="shared" si="7"/>
        <v>5772.9120000000003</v>
      </c>
      <c r="L23" s="67">
        <f t="shared" si="0"/>
        <v>5852.0008944000001</v>
      </c>
      <c r="M23" s="65">
        <f t="shared" si="1"/>
        <v>5852.0008944000001</v>
      </c>
      <c r="N23" s="30">
        <f t="shared" si="8"/>
        <v>0</v>
      </c>
      <c r="O23" s="12"/>
      <c r="P23" s="74">
        <f t="shared" si="19"/>
        <v>0</v>
      </c>
      <c r="Q23" s="65">
        <f t="shared" si="20"/>
        <v>70</v>
      </c>
      <c r="R23" s="65">
        <f t="shared" si="9"/>
        <v>-70</v>
      </c>
      <c r="S23" s="67">
        <f t="shared" si="2"/>
        <v>5781.0418944000003</v>
      </c>
      <c r="T23" s="65">
        <f t="shared" si="10"/>
        <v>70</v>
      </c>
      <c r="U23" s="65">
        <f t="shared" si="24"/>
        <v>1500</v>
      </c>
      <c r="V23" s="65">
        <f t="shared" si="21"/>
        <v>0</v>
      </c>
      <c r="W23" s="67">
        <f t="shared" si="22"/>
        <v>4352.0008944000001</v>
      </c>
      <c r="X23" s="67">
        <f t="shared" si="11"/>
        <v>4281.0418944000003</v>
      </c>
      <c r="Y23" s="77">
        <f t="shared" si="12"/>
        <v>0</v>
      </c>
      <c r="Z23" s="79">
        <f t="shared" si="13"/>
        <v>13999.006994688001</v>
      </c>
      <c r="AA23" s="81">
        <f t="shared" si="14"/>
        <v>0</v>
      </c>
      <c r="AB23" s="79">
        <f t="shared" si="15"/>
        <v>0</v>
      </c>
      <c r="AC23" s="79">
        <f t="shared" si="16"/>
        <v>396.2</v>
      </c>
      <c r="AD23" s="79">
        <f t="shared" si="3"/>
        <v>663.88488000000007</v>
      </c>
      <c r="AE23" s="13">
        <f t="shared" si="17"/>
        <v>15059.091874688002</v>
      </c>
      <c r="AG23" s="85">
        <f t="shared" si="4"/>
        <v>392.39110559999972</v>
      </c>
      <c r="AH23" s="15">
        <f t="shared" si="5"/>
        <v>17.265208646399987</v>
      </c>
      <c r="AJ23" s="44">
        <f t="shared" si="18"/>
        <v>15041.826666041601</v>
      </c>
      <c r="AK23" s="7"/>
      <c r="AL23" s="6"/>
    </row>
    <row r="24" spans="1:38" x14ac:dyDescent="0.2">
      <c r="A24" s="103">
        <f t="shared" si="23"/>
        <v>37083</v>
      </c>
      <c r="B24" s="5"/>
      <c r="C24" s="53">
        <v>2376</v>
      </c>
      <c r="D24" s="57">
        <v>724</v>
      </c>
      <c r="E24" s="57">
        <v>722</v>
      </c>
      <c r="F24" s="57">
        <v>907</v>
      </c>
      <c r="G24" s="57">
        <v>1303</v>
      </c>
      <c r="H24" s="57">
        <v>13</v>
      </c>
      <c r="I24" s="57">
        <v>27</v>
      </c>
      <c r="J24" s="63">
        <f t="shared" si="6"/>
        <v>6072</v>
      </c>
      <c r="K24" s="65">
        <f t="shared" si="7"/>
        <v>6169.152</v>
      </c>
      <c r="L24" s="67">
        <f t="shared" si="0"/>
        <v>6253.6693824000004</v>
      </c>
      <c r="M24" s="65">
        <f t="shared" si="1"/>
        <v>6173.433</v>
      </c>
      <c r="N24" s="30">
        <f t="shared" si="8"/>
        <v>79.135539233472372</v>
      </c>
      <c r="O24" s="12"/>
      <c r="P24" s="74">
        <f t="shared" si="19"/>
        <v>0</v>
      </c>
      <c r="Q24" s="65">
        <f t="shared" si="20"/>
        <v>70</v>
      </c>
      <c r="R24" s="65">
        <f t="shared" si="9"/>
        <v>0</v>
      </c>
      <c r="S24" s="67">
        <f t="shared" si="2"/>
        <v>6173.433</v>
      </c>
      <c r="T24" s="65">
        <f t="shared" si="10"/>
        <v>79.135539233472372</v>
      </c>
      <c r="U24" s="65">
        <f t="shared" si="24"/>
        <v>1500</v>
      </c>
      <c r="V24" s="65">
        <f t="shared" si="21"/>
        <v>0</v>
      </c>
      <c r="W24" s="67">
        <f t="shared" si="22"/>
        <v>4753.6693824000004</v>
      </c>
      <c r="X24" s="67">
        <f t="shared" si="11"/>
        <v>4673.433</v>
      </c>
      <c r="Y24" s="77">
        <f t="shared" si="12"/>
        <v>9.1355392334723717</v>
      </c>
      <c r="Z24" s="79">
        <f t="shared" si="13"/>
        <v>15282.125910000001</v>
      </c>
      <c r="AA24" s="81">
        <f t="shared" si="14"/>
        <v>35.263181441203351</v>
      </c>
      <c r="AB24" s="79">
        <f t="shared" si="15"/>
        <v>0</v>
      </c>
      <c r="AC24" s="79">
        <f t="shared" si="16"/>
        <v>396.2</v>
      </c>
      <c r="AD24" s="79">
        <f t="shared" si="3"/>
        <v>709.45248000000004</v>
      </c>
      <c r="AE24" s="13">
        <f t="shared" si="17"/>
        <v>16423.041571441201</v>
      </c>
      <c r="AG24" s="85">
        <f t="shared" si="4"/>
        <v>0</v>
      </c>
      <c r="AH24" s="15">
        <f t="shared" si="5"/>
        <v>0</v>
      </c>
      <c r="AJ24" s="44">
        <f t="shared" si="18"/>
        <v>16423.041571441201</v>
      </c>
      <c r="AK24" s="7"/>
      <c r="AL24" s="6"/>
    </row>
    <row r="25" spans="1:38" x14ac:dyDescent="0.2">
      <c r="A25" s="103">
        <f t="shared" si="23"/>
        <v>37084</v>
      </c>
      <c r="B25" s="5"/>
      <c r="C25" s="53">
        <v>2385</v>
      </c>
      <c r="D25" s="57">
        <v>729</v>
      </c>
      <c r="E25" s="57">
        <v>728</v>
      </c>
      <c r="F25" s="57">
        <v>903</v>
      </c>
      <c r="G25" s="57">
        <v>1282</v>
      </c>
      <c r="H25" s="57">
        <v>14</v>
      </c>
      <c r="I25" s="57">
        <v>21</v>
      </c>
      <c r="J25" s="63">
        <f t="shared" si="6"/>
        <v>6062</v>
      </c>
      <c r="K25" s="65">
        <f t="shared" si="7"/>
        <v>6158.9920000000002</v>
      </c>
      <c r="L25" s="67">
        <f t="shared" si="0"/>
        <v>6243.3701904000009</v>
      </c>
      <c r="M25" s="65">
        <f t="shared" si="1"/>
        <v>6173.433</v>
      </c>
      <c r="N25" s="30">
        <f t="shared" si="8"/>
        <v>68.97765214771286</v>
      </c>
      <c r="O25" s="12"/>
      <c r="P25" s="74">
        <f t="shared" si="19"/>
        <v>0</v>
      </c>
      <c r="Q25" s="65">
        <f t="shared" si="20"/>
        <v>70</v>
      </c>
      <c r="R25" s="65">
        <f t="shared" si="9"/>
        <v>-1.0223478522871403</v>
      </c>
      <c r="S25" s="67">
        <f t="shared" si="2"/>
        <v>6172.3966459821368</v>
      </c>
      <c r="T25" s="65">
        <f t="shared" si="10"/>
        <v>70</v>
      </c>
      <c r="U25" s="65">
        <f t="shared" si="24"/>
        <v>1500</v>
      </c>
      <c r="V25" s="65">
        <f t="shared" si="21"/>
        <v>0</v>
      </c>
      <c r="W25" s="67">
        <f t="shared" si="22"/>
        <v>4743.3701904000009</v>
      </c>
      <c r="X25" s="67">
        <f t="shared" si="11"/>
        <v>4672.3966459821368</v>
      </c>
      <c r="Y25" s="77">
        <f t="shared" si="12"/>
        <v>0</v>
      </c>
      <c r="Z25" s="79">
        <f t="shared" si="13"/>
        <v>15278.737032361587</v>
      </c>
      <c r="AA25" s="81">
        <f t="shared" si="14"/>
        <v>0</v>
      </c>
      <c r="AB25" s="79">
        <f t="shared" si="15"/>
        <v>0</v>
      </c>
      <c r="AC25" s="79">
        <f t="shared" si="16"/>
        <v>396.2</v>
      </c>
      <c r="AD25" s="79">
        <f t="shared" si="3"/>
        <v>708.28408000000002</v>
      </c>
      <c r="AE25" s="13">
        <f t="shared" si="17"/>
        <v>16383.221112361587</v>
      </c>
      <c r="AG25" s="85">
        <f t="shared" si="4"/>
        <v>1.036354017863232</v>
      </c>
      <c r="AH25" s="15">
        <f t="shared" si="5"/>
        <v>4.5599576785982206E-2</v>
      </c>
      <c r="AJ25" s="44">
        <f t="shared" si="18"/>
        <v>16383.175512784801</v>
      </c>
      <c r="AK25" s="7"/>
      <c r="AL25" s="6"/>
    </row>
    <row r="26" spans="1:38" x14ac:dyDescent="0.2">
      <c r="A26" s="100">
        <f t="shared" si="23"/>
        <v>37085</v>
      </c>
      <c r="B26" s="5"/>
      <c r="C26" s="53">
        <v>2286</v>
      </c>
      <c r="D26" s="57">
        <v>697</v>
      </c>
      <c r="E26" s="57">
        <v>695</v>
      </c>
      <c r="F26" s="57">
        <v>872</v>
      </c>
      <c r="G26" s="57">
        <v>1242</v>
      </c>
      <c r="H26" s="57">
        <v>11</v>
      </c>
      <c r="I26" s="57">
        <v>18</v>
      </c>
      <c r="J26" s="63">
        <f t="shared" si="6"/>
        <v>5821</v>
      </c>
      <c r="K26" s="65">
        <f t="shared" si="7"/>
        <v>5914.1360000000004</v>
      </c>
      <c r="L26" s="67">
        <f t="shared" si="0"/>
        <v>5995.159663200001</v>
      </c>
      <c r="M26" s="65">
        <f t="shared" si="1"/>
        <v>5995.159663200001</v>
      </c>
      <c r="N26" s="30">
        <f t="shared" si="8"/>
        <v>0</v>
      </c>
      <c r="O26" s="12"/>
      <c r="P26" s="74">
        <f t="shared" si="19"/>
        <v>0</v>
      </c>
      <c r="Q26" s="65">
        <f t="shared" si="20"/>
        <v>70</v>
      </c>
      <c r="R26" s="65">
        <f t="shared" si="9"/>
        <v>-70</v>
      </c>
      <c r="S26" s="67">
        <f t="shared" si="2"/>
        <v>5924.2006632000011</v>
      </c>
      <c r="T26" s="65">
        <f t="shared" si="10"/>
        <v>70</v>
      </c>
      <c r="U26" s="65">
        <f t="shared" si="24"/>
        <v>1500</v>
      </c>
      <c r="V26" s="65">
        <f t="shared" si="21"/>
        <v>0</v>
      </c>
      <c r="W26" s="67">
        <f t="shared" si="22"/>
        <v>4495.159663200001</v>
      </c>
      <c r="X26" s="67">
        <f t="shared" si="11"/>
        <v>4424.2006632000011</v>
      </c>
      <c r="Y26" s="77">
        <f t="shared" si="12"/>
        <v>0</v>
      </c>
      <c r="Z26" s="79">
        <f t="shared" si="13"/>
        <v>14467.136168664003</v>
      </c>
      <c r="AA26" s="81">
        <f t="shared" si="14"/>
        <v>0</v>
      </c>
      <c r="AB26" s="79">
        <f t="shared" si="15"/>
        <v>0</v>
      </c>
      <c r="AC26" s="79">
        <f t="shared" si="16"/>
        <v>396.2</v>
      </c>
      <c r="AD26" s="79">
        <f t="shared" si="3"/>
        <v>680.12564000000009</v>
      </c>
      <c r="AE26" s="13">
        <f t="shared" si="17"/>
        <v>15543.461808664004</v>
      </c>
      <c r="AG26" s="85">
        <f t="shared" si="4"/>
        <v>249.23233679999885</v>
      </c>
      <c r="AH26" s="15">
        <f t="shared" si="5"/>
        <v>10.966222819199949</v>
      </c>
      <c r="AJ26" s="44">
        <f t="shared" si="18"/>
        <v>15532.495585844805</v>
      </c>
      <c r="AK26" s="7"/>
      <c r="AL26" s="6"/>
    </row>
    <row r="27" spans="1:38" x14ac:dyDescent="0.2">
      <c r="A27" s="100">
        <f t="shared" si="23"/>
        <v>37086</v>
      </c>
      <c r="B27" s="5"/>
      <c r="C27" s="53">
        <v>2295</v>
      </c>
      <c r="D27" s="57">
        <v>683</v>
      </c>
      <c r="E27" s="57">
        <v>681</v>
      </c>
      <c r="F27" s="57">
        <v>856</v>
      </c>
      <c r="G27" s="57">
        <v>1232</v>
      </c>
      <c r="H27" s="57">
        <v>2</v>
      </c>
      <c r="I27" s="57">
        <v>4</v>
      </c>
      <c r="J27" s="63">
        <f t="shared" si="6"/>
        <v>5753</v>
      </c>
      <c r="K27" s="65">
        <f t="shared" si="7"/>
        <v>5845.0479999999998</v>
      </c>
      <c r="L27" s="67">
        <f t="shared" si="0"/>
        <v>5925.1251576000004</v>
      </c>
      <c r="M27" s="65">
        <f t="shared" si="1"/>
        <v>5925.1251576000004</v>
      </c>
      <c r="N27" s="30">
        <f t="shared" si="8"/>
        <v>0</v>
      </c>
      <c r="O27" s="12"/>
      <c r="P27" s="74">
        <f t="shared" si="19"/>
        <v>0</v>
      </c>
      <c r="Q27" s="65">
        <f t="shared" si="20"/>
        <v>70</v>
      </c>
      <c r="R27" s="65">
        <f t="shared" si="9"/>
        <v>-70</v>
      </c>
      <c r="S27" s="67">
        <f t="shared" si="2"/>
        <v>5854.1661576000006</v>
      </c>
      <c r="T27" s="65">
        <f t="shared" si="10"/>
        <v>70</v>
      </c>
      <c r="U27" s="65">
        <f t="shared" si="24"/>
        <v>1500</v>
      </c>
      <c r="V27" s="65">
        <f t="shared" si="21"/>
        <v>0</v>
      </c>
      <c r="W27" s="67">
        <f t="shared" si="22"/>
        <v>4425.1251576000004</v>
      </c>
      <c r="X27" s="67">
        <f t="shared" si="11"/>
        <v>4354.1661576000006</v>
      </c>
      <c r="Y27" s="77">
        <f t="shared" si="12"/>
        <v>0</v>
      </c>
      <c r="Z27" s="79">
        <f t="shared" si="13"/>
        <v>14238.123335352002</v>
      </c>
      <c r="AA27" s="81">
        <f t="shared" si="14"/>
        <v>0</v>
      </c>
      <c r="AB27" s="79">
        <f t="shared" si="15"/>
        <v>0</v>
      </c>
      <c r="AC27" s="79">
        <f t="shared" si="16"/>
        <v>396.2</v>
      </c>
      <c r="AD27" s="79">
        <f t="shared" si="3"/>
        <v>672.18052</v>
      </c>
      <c r="AE27" s="13">
        <f t="shared" si="17"/>
        <v>15306.503855352003</v>
      </c>
      <c r="AG27" s="85">
        <f t="shared" si="4"/>
        <v>319.2668423999994</v>
      </c>
      <c r="AH27" s="15">
        <f t="shared" si="5"/>
        <v>14.047741065599974</v>
      </c>
      <c r="AJ27" s="44">
        <f t="shared" si="18"/>
        <v>15292.456114286402</v>
      </c>
      <c r="AK27" s="7"/>
      <c r="AL27" s="6"/>
    </row>
    <row r="28" spans="1:38" x14ac:dyDescent="0.2">
      <c r="A28" s="100">
        <f t="shared" si="23"/>
        <v>37087</v>
      </c>
      <c r="B28" s="5"/>
      <c r="C28" s="53">
        <v>2319</v>
      </c>
      <c r="D28" s="57">
        <v>668</v>
      </c>
      <c r="E28" s="57">
        <v>667</v>
      </c>
      <c r="F28" s="57">
        <v>861</v>
      </c>
      <c r="G28" s="57">
        <v>1244</v>
      </c>
      <c r="H28" s="57">
        <v>0</v>
      </c>
      <c r="I28" s="57">
        <v>2</v>
      </c>
      <c r="J28" s="63">
        <f t="shared" si="6"/>
        <v>5761</v>
      </c>
      <c r="K28" s="65">
        <f t="shared" si="7"/>
        <v>5853.1760000000004</v>
      </c>
      <c r="L28" s="67">
        <f t="shared" si="0"/>
        <v>5933.3645112000004</v>
      </c>
      <c r="M28" s="65">
        <f t="shared" si="1"/>
        <v>5933.3645112000004</v>
      </c>
      <c r="N28" s="30">
        <f t="shared" si="8"/>
        <v>0</v>
      </c>
      <c r="O28" s="12"/>
      <c r="P28" s="74">
        <f t="shared" si="19"/>
        <v>0</v>
      </c>
      <c r="Q28" s="65">
        <f t="shared" si="20"/>
        <v>70</v>
      </c>
      <c r="R28" s="65">
        <f t="shared" si="9"/>
        <v>-70</v>
      </c>
      <c r="S28" s="67">
        <f t="shared" si="2"/>
        <v>5862.4055112000005</v>
      </c>
      <c r="T28" s="65">
        <f t="shared" si="10"/>
        <v>70</v>
      </c>
      <c r="U28" s="65">
        <f t="shared" si="24"/>
        <v>1500</v>
      </c>
      <c r="V28" s="65">
        <f t="shared" si="21"/>
        <v>0</v>
      </c>
      <c r="W28" s="67">
        <f t="shared" si="22"/>
        <v>4433.3645112000004</v>
      </c>
      <c r="X28" s="67">
        <f t="shared" si="11"/>
        <v>4362.4055112000005</v>
      </c>
      <c r="Y28" s="77">
        <f t="shared" si="12"/>
        <v>0</v>
      </c>
      <c r="Z28" s="79">
        <f t="shared" si="13"/>
        <v>14265.066021624001</v>
      </c>
      <c r="AA28" s="81">
        <f t="shared" si="14"/>
        <v>0</v>
      </c>
      <c r="AB28" s="79">
        <f t="shared" si="15"/>
        <v>0</v>
      </c>
      <c r="AC28" s="79">
        <f t="shared" si="16"/>
        <v>396.2</v>
      </c>
      <c r="AD28" s="79">
        <f t="shared" si="3"/>
        <v>673.11524000000009</v>
      </c>
      <c r="AE28" s="13">
        <f t="shared" si="17"/>
        <v>15334.381261624001</v>
      </c>
      <c r="AG28" s="85">
        <f t="shared" si="4"/>
        <v>311.02748879999945</v>
      </c>
      <c r="AH28" s="15">
        <f t="shared" si="5"/>
        <v>13.685209507199975</v>
      </c>
      <c r="AJ28" s="44">
        <f t="shared" si="18"/>
        <v>15320.6960521168</v>
      </c>
      <c r="AK28" s="7"/>
      <c r="AL28" s="6"/>
    </row>
    <row r="29" spans="1:38" x14ac:dyDescent="0.2">
      <c r="A29" s="103">
        <f t="shared" si="23"/>
        <v>37088</v>
      </c>
      <c r="B29" s="5"/>
      <c r="C29" s="53">
        <v>2653</v>
      </c>
      <c r="D29" s="57">
        <v>772</v>
      </c>
      <c r="E29" s="57">
        <v>769</v>
      </c>
      <c r="F29" s="57">
        <v>965</v>
      </c>
      <c r="G29" s="57">
        <v>1384</v>
      </c>
      <c r="H29" s="57">
        <v>19</v>
      </c>
      <c r="I29" s="57">
        <v>11</v>
      </c>
      <c r="J29" s="63">
        <f t="shared" si="6"/>
        <v>6573</v>
      </c>
      <c r="K29" s="65">
        <f t="shared" si="7"/>
        <v>6678.1679999999997</v>
      </c>
      <c r="L29" s="67">
        <f t="shared" si="0"/>
        <v>6769.6589015999998</v>
      </c>
      <c r="M29" s="65">
        <f t="shared" si="1"/>
        <v>6173.433</v>
      </c>
      <c r="N29" s="30">
        <f t="shared" si="8"/>
        <v>588.04568223004787</v>
      </c>
      <c r="O29" s="12"/>
      <c r="P29" s="74">
        <f t="shared" si="19"/>
        <v>0</v>
      </c>
      <c r="Q29" s="65">
        <f t="shared" si="20"/>
        <v>70</v>
      </c>
      <c r="R29" s="65">
        <f t="shared" si="9"/>
        <v>0</v>
      </c>
      <c r="S29" s="67">
        <f t="shared" si="2"/>
        <v>6173.433</v>
      </c>
      <c r="T29" s="65">
        <f t="shared" si="10"/>
        <v>588.04568223004787</v>
      </c>
      <c r="U29" s="65">
        <f t="shared" si="24"/>
        <v>1500</v>
      </c>
      <c r="V29" s="65">
        <f t="shared" si="21"/>
        <v>0</v>
      </c>
      <c r="W29" s="67">
        <f t="shared" si="22"/>
        <v>5269.6589015999998</v>
      </c>
      <c r="X29" s="67">
        <f t="shared" si="11"/>
        <v>4673.433</v>
      </c>
      <c r="Y29" s="77">
        <f t="shared" si="12"/>
        <v>518.04568223004787</v>
      </c>
      <c r="Z29" s="79">
        <f t="shared" si="13"/>
        <v>15282.125910000001</v>
      </c>
      <c r="AA29" s="81">
        <f t="shared" si="14"/>
        <v>1999.6563334079847</v>
      </c>
      <c r="AB29" s="79">
        <f t="shared" si="15"/>
        <v>0</v>
      </c>
      <c r="AC29" s="79">
        <f t="shared" si="16"/>
        <v>396.2</v>
      </c>
      <c r="AD29" s="79">
        <f t="shared" si="3"/>
        <v>767.98932000000002</v>
      </c>
      <c r="AE29" s="13">
        <f t="shared" si="17"/>
        <v>18445.971563407984</v>
      </c>
      <c r="AG29" s="85">
        <f t="shared" si="4"/>
        <v>0</v>
      </c>
      <c r="AH29" s="15">
        <f t="shared" si="5"/>
        <v>0</v>
      </c>
      <c r="AJ29" s="44">
        <f t="shared" si="18"/>
        <v>18445.971563407984</v>
      </c>
      <c r="AK29" s="7"/>
      <c r="AL29" s="6"/>
    </row>
    <row r="30" spans="1:38" x14ac:dyDescent="0.2">
      <c r="A30" s="103">
        <f t="shared" si="23"/>
        <v>37089</v>
      </c>
      <c r="B30" s="5"/>
      <c r="C30" s="53">
        <v>2494</v>
      </c>
      <c r="D30" s="57">
        <v>744</v>
      </c>
      <c r="E30" s="57">
        <v>743</v>
      </c>
      <c r="F30" s="57">
        <v>924</v>
      </c>
      <c r="G30" s="57">
        <v>1322</v>
      </c>
      <c r="H30" s="57">
        <v>18</v>
      </c>
      <c r="I30" s="57">
        <v>22</v>
      </c>
      <c r="J30" s="63">
        <f t="shared" si="6"/>
        <v>6267</v>
      </c>
      <c r="K30" s="65">
        <f t="shared" si="7"/>
        <v>6367.2719999999999</v>
      </c>
      <c r="L30" s="67">
        <f t="shared" si="0"/>
        <v>6454.5036264</v>
      </c>
      <c r="M30" s="65">
        <f t="shared" si="1"/>
        <v>6173.433</v>
      </c>
      <c r="N30" s="30">
        <f t="shared" si="8"/>
        <v>277.21433740579204</v>
      </c>
      <c r="O30" s="12"/>
      <c r="P30" s="74">
        <f t="shared" si="19"/>
        <v>0</v>
      </c>
      <c r="Q30" s="65">
        <f t="shared" si="20"/>
        <v>70</v>
      </c>
      <c r="R30" s="65">
        <f t="shared" si="9"/>
        <v>0</v>
      </c>
      <c r="S30" s="67">
        <f t="shared" si="2"/>
        <v>6173.433</v>
      </c>
      <c r="T30" s="65">
        <f t="shared" si="10"/>
        <v>277.21433740579204</v>
      </c>
      <c r="U30" s="65">
        <f t="shared" si="24"/>
        <v>1500</v>
      </c>
      <c r="V30" s="65">
        <f t="shared" si="21"/>
        <v>0</v>
      </c>
      <c r="W30" s="67">
        <f t="shared" si="22"/>
        <v>4954.5036264</v>
      </c>
      <c r="X30" s="67">
        <f t="shared" si="11"/>
        <v>4673.433</v>
      </c>
      <c r="Y30" s="77">
        <f t="shared" si="12"/>
        <v>207.21433740579204</v>
      </c>
      <c r="Z30" s="79">
        <f t="shared" si="13"/>
        <v>15282.125910000001</v>
      </c>
      <c r="AA30" s="81">
        <f t="shared" si="14"/>
        <v>799.84734238635724</v>
      </c>
      <c r="AB30" s="79">
        <f t="shared" si="15"/>
        <v>0</v>
      </c>
      <c r="AC30" s="79">
        <f t="shared" si="16"/>
        <v>396.2</v>
      </c>
      <c r="AD30" s="79">
        <f t="shared" si="3"/>
        <v>732.23628000000008</v>
      </c>
      <c r="AE30" s="13">
        <f t="shared" si="17"/>
        <v>17210.409532386358</v>
      </c>
      <c r="AG30" s="85">
        <f t="shared" si="4"/>
        <v>0</v>
      </c>
      <c r="AH30" s="15">
        <f t="shared" si="5"/>
        <v>0</v>
      </c>
      <c r="AJ30" s="44">
        <f t="shared" si="18"/>
        <v>17210.409532386358</v>
      </c>
      <c r="AK30" s="7"/>
      <c r="AL30" s="6"/>
    </row>
    <row r="31" spans="1:38" x14ac:dyDescent="0.2">
      <c r="A31" s="103">
        <f t="shared" si="23"/>
        <v>37090</v>
      </c>
      <c r="B31" s="5"/>
      <c r="C31" s="53">
        <v>2327</v>
      </c>
      <c r="D31" s="57">
        <v>721</v>
      </c>
      <c r="E31" s="57">
        <v>719</v>
      </c>
      <c r="F31" s="57">
        <v>891</v>
      </c>
      <c r="G31" s="57">
        <v>1265</v>
      </c>
      <c r="H31" s="57">
        <v>14</v>
      </c>
      <c r="I31" s="57">
        <v>17</v>
      </c>
      <c r="J31" s="63">
        <f t="shared" si="6"/>
        <v>5954</v>
      </c>
      <c r="K31" s="65">
        <f t="shared" si="7"/>
        <v>6049.2640000000001</v>
      </c>
      <c r="L31" s="67">
        <f t="shared" si="0"/>
        <v>6132.1389168000005</v>
      </c>
      <c r="M31" s="65">
        <f t="shared" si="1"/>
        <v>6132.1389168000005</v>
      </c>
      <c r="N31" s="30">
        <f t="shared" si="8"/>
        <v>0</v>
      </c>
      <c r="O31" s="12"/>
      <c r="P31" s="74">
        <f t="shared" si="19"/>
        <v>0</v>
      </c>
      <c r="Q31" s="65">
        <f t="shared" si="20"/>
        <v>70</v>
      </c>
      <c r="R31" s="65">
        <f t="shared" si="9"/>
        <v>-70</v>
      </c>
      <c r="S31" s="67">
        <f t="shared" si="2"/>
        <v>6061.1799168000007</v>
      </c>
      <c r="T31" s="65">
        <f t="shared" si="10"/>
        <v>70</v>
      </c>
      <c r="U31" s="65">
        <f t="shared" si="24"/>
        <v>1500</v>
      </c>
      <c r="V31" s="65">
        <f t="shared" si="21"/>
        <v>0</v>
      </c>
      <c r="W31" s="67">
        <f t="shared" si="22"/>
        <v>4632.1389168000005</v>
      </c>
      <c r="X31" s="67">
        <f t="shared" si="11"/>
        <v>4561.1799168000007</v>
      </c>
      <c r="Y31" s="77">
        <f t="shared" si="12"/>
        <v>0</v>
      </c>
      <c r="Z31" s="79">
        <f t="shared" si="13"/>
        <v>14915.058327936002</v>
      </c>
      <c r="AA31" s="81">
        <f t="shared" si="14"/>
        <v>0</v>
      </c>
      <c r="AB31" s="79">
        <f t="shared" si="15"/>
        <v>0</v>
      </c>
      <c r="AC31" s="79">
        <f t="shared" si="16"/>
        <v>396.2</v>
      </c>
      <c r="AD31" s="79">
        <f t="shared" si="3"/>
        <v>695.66536000000008</v>
      </c>
      <c r="AE31" s="13">
        <f t="shared" si="17"/>
        <v>16006.923687936001</v>
      </c>
      <c r="AG31" s="85">
        <f t="shared" si="4"/>
        <v>112.25308319999931</v>
      </c>
      <c r="AH31" s="15">
        <f t="shared" si="5"/>
        <v>4.9391356607999697</v>
      </c>
      <c r="AJ31" s="44">
        <f t="shared" si="18"/>
        <v>16001.984552275202</v>
      </c>
      <c r="AK31" s="7"/>
      <c r="AL31" s="6"/>
    </row>
    <row r="32" spans="1:38" x14ac:dyDescent="0.2">
      <c r="A32" s="103">
        <f t="shared" si="23"/>
        <v>37091</v>
      </c>
      <c r="B32" s="5"/>
      <c r="C32" s="53">
        <v>2298</v>
      </c>
      <c r="D32" s="57">
        <v>712</v>
      </c>
      <c r="E32" s="57">
        <v>711</v>
      </c>
      <c r="F32" s="57">
        <v>875</v>
      </c>
      <c r="G32" s="57">
        <v>1255</v>
      </c>
      <c r="H32" s="57">
        <v>12</v>
      </c>
      <c r="I32" s="57">
        <v>35</v>
      </c>
      <c r="J32" s="63">
        <f t="shared" si="6"/>
        <v>5898</v>
      </c>
      <c r="K32" s="65">
        <f t="shared" si="7"/>
        <v>5992.3680000000004</v>
      </c>
      <c r="L32" s="67">
        <f t="shared" si="0"/>
        <v>6074.4634416000008</v>
      </c>
      <c r="M32" s="65">
        <f t="shared" si="1"/>
        <v>6074.4634416000008</v>
      </c>
      <c r="N32" s="30">
        <f t="shared" si="8"/>
        <v>0</v>
      </c>
      <c r="O32" s="12"/>
      <c r="P32" s="74">
        <f t="shared" si="19"/>
        <v>0</v>
      </c>
      <c r="Q32" s="65">
        <f t="shared" si="20"/>
        <v>70</v>
      </c>
      <c r="R32" s="65">
        <f t="shared" si="9"/>
        <v>-70</v>
      </c>
      <c r="S32" s="67">
        <f t="shared" si="2"/>
        <v>6003.504441600001</v>
      </c>
      <c r="T32" s="65">
        <f t="shared" si="10"/>
        <v>70</v>
      </c>
      <c r="U32" s="65">
        <f t="shared" si="24"/>
        <v>1500</v>
      </c>
      <c r="V32" s="65">
        <f t="shared" si="21"/>
        <v>0</v>
      </c>
      <c r="W32" s="67">
        <f t="shared" si="22"/>
        <v>4574.4634416000008</v>
      </c>
      <c r="X32" s="67">
        <f t="shared" si="11"/>
        <v>4503.504441600001</v>
      </c>
      <c r="Y32" s="77">
        <f t="shared" si="12"/>
        <v>0</v>
      </c>
      <c r="Z32" s="79">
        <f t="shared" si="13"/>
        <v>14726.459524032003</v>
      </c>
      <c r="AA32" s="81">
        <f t="shared" si="14"/>
        <v>0</v>
      </c>
      <c r="AB32" s="79">
        <f t="shared" si="15"/>
        <v>0</v>
      </c>
      <c r="AC32" s="79">
        <f t="shared" si="16"/>
        <v>396.2</v>
      </c>
      <c r="AD32" s="79">
        <f t="shared" si="3"/>
        <v>689.12232000000006</v>
      </c>
      <c r="AE32" s="13">
        <f t="shared" si="17"/>
        <v>15811.781844032002</v>
      </c>
      <c r="AG32" s="85">
        <f t="shared" si="4"/>
        <v>169.92855839999902</v>
      </c>
      <c r="AH32" s="15">
        <f t="shared" si="5"/>
        <v>7.4768565695999563</v>
      </c>
      <c r="AJ32" s="44">
        <f t="shared" si="18"/>
        <v>15804.304987462403</v>
      </c>
      <c r="AK32" s="7"/>
      <c r="AL32" s="6"/>
    </row>
    <row r="33" spans="1:38" x14ac:dyDescent="0.2">
      <c r="A33" s="103">
        <f t="shared" si="23"/>
        <v>37092</v>
      </c>
      <c r="B33" s="5"/>
      <c r="C33" s="53">
        <v>2423</v>
      </c>
      <c r="D33" s="57">
        <v>732</v>
      </c>
      <c r="E33" s="57">
        <v>731</v>
      </c>
      <c r="F33" s="57">
        <v>927</v>
      </c>
      <c r="G33" s="57">
        <v>1327</v>
      </c>
      <c r="H33" s="57">
        <v>15</v>
      </c>
      <c r="I33" s="57">
        <v>14</v>
      </c>
      <c r="J33" s="63">
        <f t="shared" si="6"/>
        <v>6169</v>
      </c>
      <c r="K33" s="65">
        <f t="shared" si="7"/>
        <v>6267.7039999999997</v>
      </c>
      <c r="L33" s="67">
        <f t="shared" si="0"/>
        <v>6353.5715448000001</v>
      </c>
      <c r="M33" s="65">
        <f t="shared" si="1"/>
        <v>6173.433</v>
      </c>
      <c r="N33" s="30">
        <f t="shared" si="8"/>
        <v>177.66704396534411</v>
      </c>
      <c r="O33" s="12"/>
      <c r="P33" s="74">
        <f t="shared" si="19"/>
        <v>0</v>
      </c>
      <c r="Q33" s="65">
        <f t="shared" si="20"/>
        <v>70</v>
      </c>
      <c r="R33" s="65">
        <f t="shared" si="9"/>
        <v>0</v>
      </c>
      <c r="S33" s="67">
        <f t="shared" si="2"/>
        <v>6173.433</v>
      </c>
      <c r="T33" s="65">
        <f t="shared" si="10"/>
        <v>177.66704396534411</v>
      </c>
      <c r="U33" s="65">
        <f t="shared" si="24"/>
        <v>1500</v>
      </c>
      <c r="V33" s="65">
        <f t="shared" si="21"/>
        <v>0</v>
      </c>
      <c r="W33" s="67">
        <f t="shared" si="22"/>
        <v>4853.5715448000001</v>
      </c>
      <c r="X33" s="67">
        <f t="shared" si="11"/>
        <v>4673.433</v>
      </c>
      <c r="Y33" s="77">
        <f t="shared" si="12"/>
        <v>107.66704396534411</v>
      </c>
      <c r="Z33" s="79">
        <f t="shared" si="13"/>
        <v>15282.125910000001</v>
      </c>
      <c r="AA33" s="81">
        <f t="shared" si="14"/>
        <v>415.59478970622825</v>
      </c>
      <c r="AB33" s="79">
        <f t="shared" si="15"/>
        <v>0</v>
      </c>
      <c r="AC33" s="79">
        <f t="shared" si="16"/>
        <v>396.2</v>
      </c>
      <c r="AD33" s="79">
        <f t="shared" si="3"/>
        <v>720.78596000000005</v>
      </c>
      <c r="AE33" s="13">
        <f t="shared" si="17"/>
        <v>16814.706659706229</v>
      </c>
      <c r="AG33" s="85">
        <f t="shared" si="4"/>
        <v>0</v>
      </c>
      <c r="AH33" s="15">
        <f t="shared" si="5"/>
        <v>0</v>
      </c>
      <c r="AJ33" s="44">
        <f t="shared" si="18"/>
        <v>16814.706659706229</v>
      </c>
      <c r="AK33" s="7"/>
      <c r="AL33" s="6"/>
    </row>
    <row r="34" spans="1:38" x14ac:dyDescent="0.2">
      <c r="A34" s="100">
        <f t="shared" si="23"/>
        <v>37093</v>
      </c>
      <c r="B34" s="5"/>
      <c r="C34" s="53">
        <v>2279</v>
      </c>
      <c r="D34" s="57">
        <v>698</v>
      </c>
      <c r="E34" s="57">
        <v>695</v>
      </c>
      <c r="F34" s="57">
        <v>850</v>
      </c>
      <c r="G34" s="57">
        <v>1224</v>
      </c>
      <c r="H34" s="57">
        <v>0</v>
      </c>
      <c r="I34" s="57">
        <v>0</v>
      </c>
      <c r="J34" s="63">
        <f t="shared" si="6"/>
        <v>5746</v>
      </c>
      <c r="K34" s="65">
        <f t="shared" si="7"/>
        <v>5837.9359999999997</v>
      </c>
      <c r="L34" s="67">
        <f t="shared" si="0"/>
        <v>5917.9157231999998</v>
      </c>
      <c r="M34" s="65">
        <f t="shared" si="1"/>
        <v>5917.9157231999998</v>
      </c>
      <c r="N34" s="30">
        <f t="shared" si="8"/>
        <v>0</v>
      </c>
      <c r="O34" s="12"/>
      <c r="P34" s="74">
        <f t="shared" si="19"/>
        <v>0</v>
      </c>
      <c r="Q34" s="65">
        <f t="shared" si="20"/>
        <v>70</v>
      </c>
      <c r="R34" s="65">
        <f t="shared" si="9"/>
        <v>-70</v>
      </c>
      <c r="S34" s="67">
        <f t="shared" si="2"/>
        <v>5846.9567231999999</v>
      </c>
      <c r="T34" s="65">
        <f t="shared" si="10"/>
        <v>70</v>
      </c>
      <c r="U34" s="65">
        <f t="shared" si="24"/>
        <v>1500</v>
      </c>
      <c r="V34" s="65">
        <f t="shared" si="21"/>
        <v>0</v>
      </c>
      <c r="W34" s="67">
        <f t="shared" si="22"/>
        <v>4417.9157231999998</v>
      </c>
      <c r="X34" s="67">
        <f t="shared" si="11"/>
        <v>4346.9567231999999</v>
      </c>
      <c r="Y34" s="77">
        <f t="shared" si="12"/>
        <v>0</v>
      </c>
      <c r="Z34" s="79">
        <f t="shared" si="13"/>
        <v>14214.548484864001</v>
      </c>
      <c r="AA34" s="81">
        <f t="shared" si="14"/>
        <v>0</v>
      </c>
      <c r="AB34" s="79">
        <f t="shared" si="15"/>
        <v>0</v>
      </c>
      <c r="AC34" s="79">
        <f t="shared" si="16"/>
        <v>396.2</v>
      </c>
      <c r="AD34" s="79">
        <f t="shared" si="3"/>
        <v>671.36263999999994</v>
      </c>
      <c r="AE34" s="13">
        <f t="shared" si="17"/>
        <v>15282.111124864001</v>
      </c>
      <c r="AG34" s="85">
        <f t="shared" si="4"/>
        <v>326.47627680000005</v>
      </c>
      <c r="AH34" s="15">
        <f t="shared" si="5"/>
        <v>14.364956179200002</v>
      </c>
      <c r="AJ34" s="44">
        <f t="shared" si="18"/>
        <v>15267.7461686848</v>
      </c>
      <c r="AK34" s="7"/>
      <c r="AL34" s="6"/>
    </row>
    <row r="35" spans="1:38" x14ac:dyDescent="0.2">
      <c r="A35" s="100">
        <f t="shared" si="23"/>
        <v>37094</v>
      </c>
      <c r="B35" s="5"/>
      <c r="C35" s="53">
        <v>2073</v>
      </c>
      <c r="D35" s="57">
        <v>650</v>
      </c>
      <c r="E35" s="57">
        <v>649</v>
      </c>
      <c r="F35" s="57">
        <v>798</v>
      </c>
      <c r="G35" s="57">
        <v>1128</v>
      </c>
      <c r="H35" s="57">
        <v>0</v>
      </c>
      <c r="I35" s="57">
        <v>0</v>
      </c>
      <c r="J35" s="63">
        <f t="shared" si="6"/>
        <v>5298</v>
      </c>
      <c r="K35" s="65">
        <f t="shared" si="7"/>
        <v>5382.768</v>
      </c>
      <c r="L35" s="67">
        <f t="shared" si="0"/>
        <v>5456.5119216000003</v>
      </c>
      <c r="M35" s="65">
        <f t="shared" si="1"/>
        <v>5456.5119216000003</v>
      </c>
      <c r="N35" s="30">
        <f t="shared" si="8"/>
        <v>0</v>
      </c>
      <c r="O35" s="12"/>
      <c r="P35" s="74">
        <f t="shared" si="19"/>
        <v>0</v>
      </c>
      <c r="Q35" s="65">
        <f t="shared" si="20"/>
        <v>70</v>
      </c>
      <c r="R35" s="65">
        <f t="shared" si="9"/>
        <v>-70</v>
      </c>
      <c r="S35" s="67">
        <f t="shared" si="2"/>
        <v>5385.5529216000004</v>
      </c>
      <c r="T35" s="65">
        <f t="shared" si="10"/>
        <v>70</v>
      </c>
      <c r="U35" s="65">
        <f t="shared" si="24"/>
        <v>1500</v>
      </c>
      <c r="V35" s="65">
        <f t="shared" si="21"/>
        <v>0</v>
      </c>
      <c r="W35" s="67">
        <f t="shared" si="22"/>
        <v>3956.5119216000003</v>
      </c>
      <c r="X35" s="67">
        <f t="shared" si="11"/>
        <v>3885.5529216000004</v>
      </c>
      <c r="Y35" s="77">
        <f t="shared" si="12"/>
        <v>0</v>
      </c>
      <c r="Z35" s="79">
        <f t="shared" si="13"/>
        <v>12705.758053632002</v>
      </c>
      <c r="AA35" s="81">
        <f t="shared" si="14"/>
        <v>0</v>
      </c>
      <c r="AB35" s="79">
        <f t="shared" si="15"/>
        <v>0</v>
      </c>
      <c r="AC35" s="79">
        <f t="shared" si="16"/>
        <v>396.2</v>
      </c>
      <c r="AD35" s="79">
        <f t="shared" si="3"/>
        <v>619.01832000000002</v>
      </c>
      <c r="AE35" s="13">
        <f t="shared" si="17"/>
        <v>13720.976373632002</v>
      </c>
      <c r="AG35" s="85">
        <f t="shared" si="4"/>
        <v>787.88007839999955</v>
      </c>
      <c r="AH35" s="15">
        <f t="shared" si="5"/>
        <v>34.666723449599978</v>
      </c>
      <c r="AJ35" s="44">
        <f t="shared" si="18"/>
        <v>13686.309650182402</v>
      </c>
      <c r="AK35" s="7"/>
      <c r="AL35" s="6"/>
    </row>
    <row r="36" spans="1:38" x14ac:dyDescent="0.2">
      <c r="A36" s="100">
        <f t="shared" si="23"/>
        <v>37095</v>
      </c>
      <c r="B36" s="5"/>
      <c r="C36" s="53">
        <v>2193</v>
      </c>
      <c r="D36" s="57">
        <v>672</v>
      </c>
      <c r="E36" s="57">
        <v>670</v>
      </c>
      <c r="F36" s="57">
        <v>844</v>
      </c>
      <c r="G36" s="57">
        <v>1203</v>
      </c>
      <c r="H36" s="57">
        <v>6</v>
      </c>
      <c r="I36" s="57">
        <v>20</v>
      </c>
      <c r="J36" s="63">
        <f t="shared" si="6"/>
        <v>5608</v>
      </c>
      <c r="K36" s="65">
        <f t="shared" si="7"/>
        <v>5697.7280000000001</v>
      </c>
      <c r="L36" s="67">
        <f t="shared" si="0"/>
        <v>5775.7868736</v>
      </c>
      <c r="M36" s="65">
        <f t="shared" si="1"/>
        <v>5775.7868736</v>
      </c>
      <c r="N36" s="30">
        <f t="shared" si="8"/>
        <v>0</v>
      </c>
      <c r="O36" s="12"/>
      <c r="P36" s="74">
        <f t="shared" si="19"/>
        <v>0</v>
      </c>
      <c r="Q36" s="65">
        <f t="shared" si="20"/>
        <v>70</v>
      </c>
      <c r="R36" s="65">
        <f t="shared" si="9"/>
        <v>-70</v>
      </c>
      <c r="S36" s="67">
        <f t="shared" si="2"/>
        <v>5704.8278736000002</v>
      </c>
      <c r="T36" s="65">
        <f t="shared" si="10"/>
        <v>70</v>
      </c>
      <c r="U36" s="65">
        <f t="shared" si="24"/>
        <v>1500</v>
      </c>
      <c r="V36" s="65">
        <f t="shared" si="21"/>
        <v>0</v>
      </c>
      <c r="W36" s="67">
        <f t="shared" si="22"/>
        <v>4275.7868736</v>
      </c>
      <c r="X36" s="67">
        <f t="shared" si="11"/>
        <v>4204.8278736000002</v>
      </c>
      <c r="Y36" s="77">
        <f t="shared" si="12"/>
        <v>0</v>
      </c>
      <c r="Z36" s="79">
        <f t="shared" si="13"/>
        <v>13749.787146672001</v>
      </c>
      <c r="AA36" s="81">
        <f t="shared" si="14"/>
        <v>0</v>
      </c>
      <c r="AB36" s="79">
        <f t="shared" si="15"/>
        <v>0</v>
      </c>
      <c r="AC36" s="79">
        <f t="shared" si="16"/>
        <v>396.2</v>
      </c>
      <c r="AD36" s="79">
        <f t="shared" si="3"/>
        <v>655.23872000000006</v>
      </c>
      <c r="AE36" s="13">
        <f t="shared" si="17"/>
        <v>14801.225866672001</v>
      </c>
      <c r="AG36" s="85">
        <f t="shared" si="4"/>
        <v>468.60512639999979</v>
      </c>
      <c r="AH36" s="15">
        <f t="shared" si="5"/>
        <v>20.618625561599991</v>
      </c>
      <c r="AJ36" s="44">
        <f t="shared" si="18"/>
        <v>14780.607241110401</v>
      </c>
      <c r="AK36" s="7"/>
      <c r="AL36" s="6"/>
    </row>
    <row r="37" spans="1:38" x14ac:dyDescent="0.2">
      <c r="A37" s="100">
        <f t="shared" si="23"/>
        <v>37096</v>
      </c>
      <c r="B37" s="5"/>
      <c r="C37" s="53">
        <v>2165</v>
      </c>
      <c r="D37" s="57">
        <v>649</v>
      </c>
      <c r="E37" s="57">
        <v>648</v>
      </c>
      <c r="F37" s="57">
        <v>836</v>
      </c>
      <c r="G37" s="57">
        <v>1178</v>
      </c>
      <c r="H37" s="57">
        <v>5</v>
      </c>
      <c r="I37" s="57">
        <v>17</v>
      </c>
      <c r="J37" s="63">
        <f t="shared" si="6"/>
        <v>5498</v>
      </c>
      <c r="K37" s="65">
        <f t="shared" si="7"/>
        <v>5585.9679999999998</v>
      </c>
      <c r="L37" s="67">
        <f t="shared" si="0"/>
        <v>5662.4957616000002</v>
      </c>
      <c r="M37" s="65">
        <f t="shared" si="1"/>
        <v>5662.4957616000002</v>
      </c>
      <c r="N37" s="30">
        <f t="shared" si="8"/>
        <v>0</v>
      </c>
      <c r="O37" s="12"/>
      <c r="P37" s="74">
        <f t="shared" si="19"/>
        <v>0</v>
      </c>
      <c r="Q37" s="65">
        <f t="shared" si="20"/>
        <v>70</v>
      </c>
      <c r="R37" s="65">
        <f t="shared" si="9"/>
        <v>-70</v>
      </c>
      <c r="S37" s="67">
        <f t="shared" si="2"/>
        <v>5591.5367616000003</v>
      </c>
      <c r="T37" s="65">
        <f t="shared" si="10"/>
        <v>70</v>
      </c>
      <c r="U37" s="65">
        <f t="shared" si="24"/>
        <v>1500</v>
      </c>
      <c r="V37" s="65">
        <f t="shared" si="21"/>
        <v>0</v>
      </c>
      <c r="W37" s="67">
        <f t="shared" si="22"/>
        <v>4162.4957616000002</v>
      </c>
      <c r="X37" s="67">
        <f t="shared" si="11"/>
        <v>4091.5367616000003</v>
      </c>
      <c r="Y37" s="77">
        <f t="shared" si="12"/>
        <v>0</v>
      </c>
      <c r="Z37" s="79">
        <f t="shared" si="13"/>
        <v>13379.325210432002</v>
      </c>
      <c r="AA37" s="81">
        <f t="shared" si="14"/>
        <v>0</v>
      </c>
      <c r="AB37" s="79">
        <f t="shared" si="15"/>
        <v>0</v>
      </c>
      <c r="AC37" s="79">
        <f t="shared" si="16"/>
        <v>396.2</v>
      </c>
      <c r="AD37" s="79">
        <f t="shared" si="3"/>
        <v>642.38631999999996</v>
      </c>
      <c r="AE37" s="13">
        <f t="shared" si="17"/>
        <v>14417.911530432002</v>
      </c>
      <c r="AG37" s="85">
        <f t="shared" si="4"/>
        <v>581.89623839999967</v>
      </c>
      <c r="AH37" s="15">
        <f t="shared" si="5"/>
        <v>25.603434489599984</v>
      </c>
      <c r="AJ37" s="44">
        <f t="shared" si="18"/>
        <v>14392.308095942402</v>
      </c>
      <c r="AK37" s="7"/>
      <c r="AL37" s="6"/>
    </row>
    <row r="38" spans="1:38" x14ac:dyDescent="0.2">
      <c r="A38" s="100">
        <f t="shared" si="23"/>
        <v>37097</v>
      </c>
      <c r="B38" s="5"/>
      <c r="C38" s="53">
        <v>2176</v>
      </c>
      <c r="D38" s="57">
        <v>653</v>
      </c>
      <c r="E38" s="57">
        <v>652</v>
      </c>
      <c r="F38" s="57">
        <v>837</v>
      </c>
      <c r="G38" s="57">
        <v>1181</v>
      </c>
      <c r="H38" s="57">
        <v>6</v>
      </c>
      <c r="I38" s="57">
        <v>6</v>
      </c>
      <c r="J38" s="63">
        <f t="shared" si="6"/>
        <v>5511</v>
      </c>
      <c r="K38" s="65">
        <f t="shared" si="7"/>
        <v>5599.1760000000004</v>
      </c>
      <c r="L38" s="67">
        <f t="shared" si="0"/>
        <v>5675.8847112000003</v>
      </c>
      <c r="M38" s="65">
        <f t="shared" si="1"/>
        <v>5675.8847112000003</v>
      </c>
      <c r="N38" s="30">
        <f t="shared" si="8"/>
        <v>0</v>
      </c>
      <c r="O38" s="12"/>
      <c r="P38" s="74">
        <f t="shared" si="19"/>
        <v>0</v>
      </c>
      <c r="Q38" s="65">
        <f t="shared" si="20"/>
        <v>70</v>
      </c>
      <c r="R38" s="65">
        <f t="shared" si="9"/>
        <v>-70</v>
      </c>
      <c r="S38" s="67">
        <f t="shared" si="2"/>
        <v>5604.9257112000005</v>
      </c>
      <c r="T38" s="65">
        <f t="shared" si="10"/>
        <v>70</v>
      </c>
      <c r="U38" s="65">
        <f t="shared" si="24"/>
        <v>1500</v>
      </c>
      <c r="V38" s="65">
        <f t="shared" si="21"/>
        <v>0</v>
      </c>
      <c r="W38" s="67">
        <f t="shared" si="22"/>
        <v>4175.8847112000003</v>
      </c>
      <c r="X38" s="67">
        <f t="shared" si="11"/>
        <v>4104.9257112000005</v>
      </c>
      <c r="Y38" s="77">
        <f t="shared" si="12"/>
        <v>0</v>
      </c>
      <c r="Z38" s="79">
        <f t="shared" si="13"/>
        <v>13423.107075624002</v>
      </c>
      <c r="AA38" s="81">
        <f t="shared" si="14"/>
        <v>0</v>
      </c>
      <c r="AB38" s="79">
        <f t="shared" si="15"/>
        <v>0</v>
      </c>
      <c r="AC38" s="79">
        <f t="shared" si="16"/>
        <v>396.2</v>
      </c>
      <c r="AD38" s="79">
        <f t="shared" si="3"/>
        <v>643.90524000000005</v>
      </c>
      <c r="AE38" s="13">
        <f t="shared" si="17"/>
        <v>14463.212315624003</v>
      </c>
      <c r="AG38" s="85">
        <f t="shared" si="4"/>
        <v>568.50728879999951</v>
      </c>
      <c r="AH38" s="15">
        <f t="shared" si="5"/>
        <v>25.014320707199978</v>
      </c>
      <c r="AJ38" s="44">
        <f t="shared" si="18"/>
        <v>14438.197994916804</v>
      </c>
      <c r="AK38" s="7"/>
      <c r="AL38" s="6"/>
    </row>
    <row r="39" spans="1:38" x14ac:dyDescent="0.2">
      <c r="A39" s="100">
        <f t="shared" si="23"/>
        <v>37098</v>
      </c>
      <c r="B39" s="5"/>
      <c r="C39" s="53">
        <v>2160</v>
      </c>
      <c r="D39" s="57">
        <v>645</v>
      </c>
      <c r="E39" s="57">
        <v>637</v>
      </c>
      <c r="F39" s="57">
        <v>832</v>
      </c>
      <c r="G39" s="57">
        <v>1172</v>
      </c>
      <c r="H39" s="57">
        <v>4</v>
      </c>
      <c r="I39" s="57">
        <v>23</v>
      </c>
      <c r="J39" s="63">
        <f t="shared" si="6"/>
        <v>5473</v>
      </c>
      <c r="K39" s="65">
        <f t="shared" si="7"/>
        <v>5560.5680000000002</v>
      </c>
      <c r="L39" s="67">
        <f t="shared" si="0"/>
        <v>5636.7477816000001</v>
      </c>
      <c r="M39" s="65">
        <f t="shared" si="1"/>
        <v>5636.7477816000001</v>
      </c>
      <c r="N39" s="30">
        <f t="shared" si="8"/>
        <v>0</v>
      </c>
      <c r="O39" s="12"/>
      <c r="P39" s="74">
        <f t="shared" si="19"/>
        <v>0</v>
      </c>
      <c r="Q39" s="65">
        <f t="shared" si="20"/>
        <v>70</v>
      </c>
      <c r="R39" s="65">
        <f t="shared" si="9"/>
        <v>-70</v>
      </c>
      <c r="S39" s="67">
        <f t="shared" si="2"/>
        <v>5565.7887816000002</v>
      </c>
      <c r="T39" s="65">
        <f t="shared" si="10"/>
        <v>70</v>
      </c>
      <c r="U39" s="65">
        <f t="shared" si="24"/>
        <v>1500</v>
      </c>
      <c r="V39" s="65">
        <f t="shared" si="21"/>
        <v>0</v>
      </c>
      <c r="W39" s="67">
        <f t="shared" si="22"/>
        <v>4136.7477816000001</v>
      </c>
      <c r="X39" s="67">
        <f t="shared" si="11"/>
        <v>4065.7887816000002</v>
      </c>
      <c r="Y39" s="77">
        <f t="shared" si="12"/>
        <v>0</v>
      </c>
      <c r="Z39" s="79">
        <f t="shared" si="13"/>
        <v>13295.129315832</v>
      </c>
      <c r="AA39" s="81">
        <f t="shared" si="14"/>
        <v>0</v>
      </c>
      <c r="AB39" s="79">
        <f t="shared" si="15"/>
        <v>0</v>
      </c>
      <c r="AC39" s="79">
        <f t="shared" si="16"/>
        <v>396.2</v>
      </c>
      <c r="AD39" s="79">
        <f t="shared" si="3"/>
        <v>639.46532000000002</v>
      </c>
      <c r="AE39" s="13">
        <f t="shared" si="17"/>
        <v>14330.794635832</v>
      </c>
      <c r="AG39" s="85">
        <f t="shared" si="4"/>
        <v>607.64421839999977</v>
      </c>
      <c r="AH39" s="15">
        <f t="shared" si="5"/>
        <v>26.73634560959999</v>
      </c>
      <c r="AJ39" s="44">
        <f t="shared" si="18"/>
        <v>14304.058290222401</v>
      </c>
      <c r="AK39" s="7"/>
      <c r="AL39" s="6"/>
    </row>
    <row r="40" spans="1:38" x14ac:dyDescent="0.2">
      <c r="A40" s="100">
        <f t="shared" si="23"/>
        <v>37099</v>
      </c>
      <c r="B40" s="5"/>
      <c r="C40" s="53">
        <v>2232</v>
      </c>
      <c r="D40" s="57">
        <v>654</v>
      </c>
      <c r="E40" s="57">
        <v>652</v>
      </c>
      <c r="F40" s="57">
        <v>839</v>
      </c>
      <c r="G40" s="57">
        <v>1183</v>
      </c>
      <c r="H40" s="57">
        <v>6</v>
      </c>
      <c r="I40" s="57">
        <v>4</v>
      </c>
      <c r="J40" s="63">
        <f t="shared" si="6"/>
        <v>5570</v>
      </c>
      <c r="K40" s="65">
        <f t="shared" si="7"/>
        <v>5659.12</v>
      </c>
      <c r="L40" s="67">
        <f t="shared" si="0"/>
        <v>5736.6499439999998</v>
      </c>
      <c r="M40" s="65">
        <f t="shared" si="1"/>
        <v>5736.6499439999998</v>
      </c>
      <c r="N40" s="30">
        <f t="shared" si="8"/>
        <v>0</v>
      </c>
      <c r="O40" s="12"/>
      <c r="P40" s="74">
        <f t="shared" si="19"/>
        <v>0</v>
      </c>
      <c r="Q40" s="65">
        <f t="shared" si="20"/>
        <v>70</v>
      </c>
      <c r="R40" s="65">
        <f t="shared" si="9"/>
        <v>-70</v>
      </c>
      <c r="S40" s="67">
        <f t="shared" si="2"/>
        <v>5665.6909439999999</v>
      </c>
      <c r="T40" s="65">
        <f t="shared" si="10"/>
        <v>70</v>
      </c>
      <c r="U40" s="65">
        <f t="shared" si="24"/>
        <v>1500</v>
      </c>
      <c r="V40" s="65">
        <f t="shared" si="21"/>
        <v>0</v>
      </c>
      <c r="W40" s="67">
        <f t="shared" si="22"/>
        <v>4236.6499439999998</v>
      </c>
      <c r="X40" s="67">
        <f t="shared" si="11"/>
        <v>4165.6909439999999</v>
      </c>
      <c r="Y40" s="77">
        <f t="shared" si="12"/>
        <v>0</v>
      </c>
      <c r="Z40" s="79">
        <f t="shared" si="13"/>
        <v>13621.809386880001</v>
      </c>
      <c r="AA40" s="81">
        <f t="shared" si="14"/>
        <v>0</v>
      </c>
      <c r="AB40" s="79">
        <f t="shared" si="15"/>
        <v>0</v>
      </c>
      <c r="AC40" s="79">
        <f t="shared" si="16"/>
        <v>396.2</v>
      </c>
      <c r="AD40" s="79">
        <f t="shared" si="3"/>
        <v>650.79880000000003</v>
      </c>
      <c r="AE40" s="13">
        <f t="shared" si="17"/>
        <v>14668.80818688</v>
      </c>
      <c r="AG40" s="85">
        <f t="shared" si="4"/>
        <v>507.74205600000005</v>
      </c>
      <c r="AH40" s="15">
        <f t="shared" si="5"/>
        <v>22.340650463999999</v>
      </c>
      <c r="AJ40" s="44">
        <f t="shared" si="18"/>
        <v>14646.467536415999</v>
      </c>
      <c r="AK40" s="7"/>
      <c r="AL40" s="6"/>
    </row>
    <row r="41" spans="1:38" x14ac:dyDescent="0.2">
      <c r="A41" s="100">
        <f>A40+1</f>
        <v>37100</v>
      </c>
      <c r="B41" s="5"/>
      <c r="C41" s="53">
        <v>2021</v>
      </c>
      <c r="D41" s="57">
        <v>593</v>
      </c>
      <c r="E41" s="57">
        <v>592</v>
      </c>
      <c r="F41" s="57">
        <v>773</v>
      </c>
      <c r="G41" s="57">
        <v>1082</v>
      </c>
      <c r="H41" s="57">
        <v>0</v>
      </c>
      <c r="I41" s="57">
        <v>2</v>
      </c>
      <c r="J41" s="63">
        <f t="shared" si="6"/>
        <v>5063</v>
      </c>
      <c r="K41" s="65">
        <f t="shared" si="7"/>
        <v>5144.0079999999998</v>
      </c>
      <c r="L41" s="67">
        <f t="shared" si="0"/>
        <v>5214.4809095999999</v>
      </c>
      <c r="M41" s="65">
        <f t="shared" si="1"/>
        <v>5214.4809095999999</v>
      </c>
      <c r="N41" s="30">
        <f t="shared" si="8"/>
        <v>0</v>
      </c>
      <c r="O41" s="12"/>
      <c r="P41" s="74">
        <f t="shared" si="19"/>
        <v>0</v>
      </c>
      <c r="Q41" s="65">
        <f t="shared" si="20"/>
        <v>70</v>
      </c>
      <c r="R41" s="65">
        <f t="shared" si="9"/>
        <v>-70</v>
      </c>
      <c r="S41" s="67">
        <f t="shared" si="2"/>
        <v>5143.5219096000001</v>
      </c>
      <c r="T41" s="65">
        <f t="shared" si="10"/>
        <v>70</v>
      </c>
      <c r="U41" s="65">
        <f t="shared" si="24"/>
        <v>1500</v>
      </c>
      <c r="V41" s="65">
        <f t="shared" si="21"/>
        <v>0</v>
      </c>
      <c r="W41" s="67">
        <f t="shared" si="22"/>
        <v>3714.4809095999999</v>
      </c>
      <c r="X41" s="67">
        <f t="shared" si="11"/>
        <v>3643.5219096000001</v>
      </c>
      <c r="Y41" s="77">
        <f t="shared" si="12"/>
        <v>0</v>
      </c>
      <c r="Z41" s="79">
        <f t="shared" si="13"/>
        <v>11914.316644392</v>
      </c>
      <c r="AA41" s="81">
        <f t="shared" si="14"/>
        <v>0</v>
      </c>
      <c r="AB41" s="79">
        <f t="shared" si="15"/>
        <v>0</v>
      </c>
      <c r="AC41" s="79">
        <f t="shared" si="16"/>
        <v>396.2</v>
      </c>
      <c r="AD41" s="79">
        <f t="shared" si="3"/>
        <v>591.56092000000001</v>
      </c>
      <c r="AE41" s="13">
        <f t="shared" si="17"/>
        <v>12902.077564392001</v>
      </c>
      <c r="AG41" s="85">
        <f t="shared" si="4"/>
        <v>1029.9110903999999</v>
      </c>
      <c r="AH41" s="15">
        <f t="shared" si="5"/>
        <v>45.316087977599992</v>
      </c>
      <c r="AJ41" s="44">
        <f t="shared" si="18"/>
        <v>12856.7614764144</v>
      </c>
      <c r="AK41" s="7"/>
      <c r="AL41" s="6"/>
    </row>
    <row r="42" spans="1:38" x14ac:dyDescent="0.2">
      <c r="A42" s="100">
        <f>A41+1</f>
        <v>37101</v>
      </c>
      <c r="B42" s="5"/>
      <c r="C42" s="53">
        <v>2023</v>
      </c>
      <c r="D42" s="57">
        <v>587</v>
      </c>
      <c r="E42" s="57">
        <v>586</v>
      </c>
      <c r="F42" s="57">
        <v>779</v>
      </c>
      <c r="G42" s="57">
        <v>1102</v>
      </c>
      <c r="H42" s="57">
        <v>0</v>
      </c>
      <c r="I42" s="57">
        <v>0</v>
      </c>
      <c r="J42" s="63">
        <f t="shared" si="6"/>
        <v>5077</v>
      </c>
      <c r="K42" s="65">
        <f t="shared" si="7"/>
        <v>5158.232</v>
      </c>
      <c r="L42" s="67">
        <f t="shared" si="0"/>
        <v>5228.8997784000003</v>
      </c>
      <c r="M42" s="65">
        <f t="shared" si="1"/>
        <v>5228.8997784000003</v>
      </c>
      <c r="N42" s="30">
        <f t="shared" si="8"/>
        <v>0</v>
      </c>
      <c r="O42" s="12"/>
      <c r="P42" s="74">
        <f t="shared" si="19"/>
        <v>0</v>
      </c>
      <c r="Q42" s="65">
        <f t="shared" si="20"/>
        <v>70</v>
      </c>
      <c r="R42" s="65">
        <f t="shared" si="9"/>
        <v>-70</v>
      </c>
      <c r="S42" s="67">
        <f t="shared" si="2"/>
        <v>5157.9407784000005</v>
      </c>
      <c r="T42" s="65">
        <f t="shared" si="10"/>
        <v>70</v>
      </c>
      <c r="U42" s="65">
        <f t="shared" si="24"/>
        <v>1500</v>
      </c>
      <c r="V42" s="65">
        <f t="shared" si="21"/>
        <v>0</v>
      </c>
      <c r="W42" s="67">
        <f t="shared" si="22"/>
        <v>3728.8997784000003</v>
      </c>
      <c r="X42" s="67">
        <f t="shared" si="11"/>
        <v>3657.9407784000005</v>
      </c>
      <c r="Y42" s="77">
        <f t="shared" si="12"/>
        <v>0</v>
      </c>
      <c r="Z42" s="79">
        <f t="shared" si="13"/>
        <v>11961.466345368002</v>
      </c>
      <c r="AA42" s="81">
        <f t="shared" si="14"/>
        <v>0</v>
      </c>
      <c r="AB42" s="79">
        <f t="shared" si="15"/>
        <v>0</v>
      </c>
      <c r="AC42" s="79">
        <f t="shared" si="16"/>
        <v>396.2</v>
      </c>
      <c r="AD42" s="79">
        <f t="shared" si="3"/>
        <v>593.19668000000001</v>
      </c>
      <c r="AE42" s="13">
        <f t="shared" si="17"/>
        <v>12950.863025368002</v>
      </c>
      <c r="AG42" s="85">
        <f t="shared" si="4"/>
        <v>1015.4922215999995</v>
      </c>
      <c r="AH42" s="15">
        <f t="shared" si="5"/>
        <v>44.681657750399978</v>
      </c>
      <c r="AJ42" s="44">
        <f t="shared" si="18"/>
        <v>12906.181367617603</v>
      </c>
      <c r="AK42" s="7"/>
      <c r="AL42" s="6"/>
    </row>
    <row r="43" spans="1:38" x14ac:dyDescent="0.2">
      <c r="A43" s="100">
        <f>A42+1</f>
        <v>37102</v>
      </c>
      <c r="B43" s="5"/>
      <c r="C43" s="53">
        <v>2325</v>
      </c>
      <c r="D43" s="57">
        <v>708</v>
      </c>
      <c r="E43" s="57">
        <v>706</v>
      </c>
      <c r="F43" s="57">
        <v>883</v>
      </c>
      <c r="G43" s="57">
        <v>1267</v>
      </c>
      <c r="H43" s="57">
        <v>10</v>
      </c>
      <c r="I43" s="57">
        <v>20</v>
      </c>
      <c r="J43" s="63">
        <f t="shared" si="6"/>
        <v>5919</v>
      </c>
      <c r="K43" s="65">
        <f t="shared" si="7"/>
        <v>6013.7039999999997</v>
      </c>
      <c r="L43" s="67">
        <f t="shared" si="0"/>
        <v>6096.0917448</v>
      </c>
      <c r="M43" s="65">
        <f t="shared" si="1"/>
        <v>6096.0917448</v>
      </c>
      <c r="N43" s="30">
        <f t="shared" si="8"/>
        <v>0</v>
      </c>
      <c r="O43" s="12"/>
      <c r="P43" s="74">
        <f t="shared" si="19"/>
        <v>0</v>
      </c>
      <c r="Q43" s="65">
        <f t="shared" si="20"/>
        <v>70</v>
      </c>
      <c r="R43" s="65">
        <f t="shared" si="9"/>
        <v>-70</v>
      </c>
      <c r="S43" s="67">
        <f t="shared" si="2"/>
        <v>6025.1327448000002</v>
      </c>
      <c r="T43" s="65">
        <f t="shared" si="10"/>
        <v>70</v>
      </c>
      <c r="U43" s="65">
        <f t="shared" si="24"/>
        <v>1500</v>
      </c>
      <c r="V43" s="65">
        <f t="shared" si="21"/>
        <v>0</v>
      </c>
      <c r="W43" s="67">
        <f t="shared" si="22"/>
        <v>4596.0917448</v>
      </c>
      <c r="X43" s="67">
        <f t="shared" si="11"/>
        <v>4525.1327448000002</v>
      </c>
      <c r="Y43" s="77">
        <f t="shared" si="12"/>
        <v>0</v>
      </c>
      <c r="Z43" s="79">
        <f t="shared" si="13"/>
        <v>14797.184075496001</v>
      </c>
      <c r="AA43" s="81">
        <f t="shared" si="14"/>
        <v>0</v>
      </c>
      <c r="AB43" s="79">
        <f t="shared" si="15"/>
        <v>0</v>
      </c>
      <c r="AC43" s="79">
        <f t="shared" si="16"/>
        <v>396.2</v>
      </c>
      <c r="AD43" s="79">
        <f t="shared" si="3"/>
        <v>691.57596000000001</v>
      </c>
      <c r="AE43" s="13">
        <f t="shared" si="17"/>
        <v>15884.960035496002</v>
      </c>
      <c r="AG43" s="85">
        <f t="shared" si="4"/>
        <v>148.30025519999981</v>
      </c>
      <c r="AH43" s="15">
        <f t="shared" si="5"/>
        <v>6.525211228799991</v>
      </c>
      <c r="AJ43" s="92">
        <f t="shared" si="18"/>
        <v>15878.434824267202</v>
      </c>
      <c r="AK43" s="7"/>
      <c r="AL43" s="6"/>
    </row>
    <row r="44" spans="1:38" ht="13.5" thickBot="1" x14ac:dyDescent="0.25">
      <c r="A44" s="101">
        <f>A43+1</f>
        <v>37103</v>
      </c>
      <c r="B44" s="5"/>
      <c r="C44" s="54">
        <v>2258</v>
      </c>
      <c r="D44" s="58">
        <v>712</v>
      </c>
      <c r="E44" s="58">
        <v>711</v>
      </c>
      <c r="F44" s="58">
        <v>890</v>
      </c>
      <c r="G44" s="58">
        <v>1263</v>
      </c>
      <c r="H44" s="58">
        <v>13</v>
      </c>
      <c r="I44" s="58">
        <v>21</v>
      </c>
      <c r="J44" s="64">
        <f t="shared" si="6"/>
        <v>5868</v>
      </c>
      <c r="K44" s="66">
        <f t="shared" si="7"/>
        <v>5961.8879999999999</v>
      </c>
      <c r="L44" s="68">
        <f t="shared" si="0"/>
        <v>6043.5658656000005</v>
      </c>
      <c r="M44" s="66">
        <f t="shared" si="1"/>
        <v>6043.5658656000005</v>
      </c>
      <c r="N44" s="31">
        <f>IF(M44=L44,0,((L44-M44)*(1-0.01372)))</f>
        <v>0</v>
      </c>
      <c r="O44" s="12"/>
      <c r="P44" s="75">
        <f t="shared" si="19"/>
        <v>0</v>
      </c>
      <c r="Q44" s="66">
        <f t="shared" si="20"/>
        <v>70</v>
      </c>
      <c r="R44" s="66">
        <f t="shared" si="9"/>
        <v>-70</v>
      </c>
      <c r="S44" s="68">
        <f t="shared" si="2"/>
        <v>5972.6068656000007</v>
      </c>
      <c r="T44" s="66">
        <f t="shared" si="10"/>
        <v>70</v>
      </c>
      <c r="U44" s="66">
        <f t="shared" si="24"/>
        <v>1500</v>
      </c>
      <c r="V44" s="66">
        <f t="shared" si="21"/>
        <v>0</v>
      </c>
      <c r="W44" s="68">
        <f t="shared" si="22"/>
        <v>4543.5658656000005</v>
      </c>
      <c r="X44" s="68">
        <f t="shared" si="11"/>
        <v>4472.6068656000007</v>
      </c>
      <c r="Y44" s="78">
        <f t="shared" si="12"/>
        <v>0</v>
      </c>
      <c r="Z44" s="80">
        <f t="shared" si="13"/>
        <v>14625.424450512002</v>
      </c>
      <c r="AA44" s="82">
        <f t="shared" si="14"/>
        <v>0</v>
      </c>
      <c r="AB44" s="80">
        <f t="shared" si="15"/>
        <v>0</v>
      </c>
      <c r="AC44" s="80">
        <f t="shared" si="16"/>
        <v>396.2</v>
      </c>
      <c r="AD44" s="80">
        <f t="shared" si="3"/>
        <v>685.61712</v>
      </c>
      <c r="AE44" s="14">
        <f t="shared" si="17"/>
        <v>15707.241570512002</v>
      </c>
      <c r="AG44" s="86">
        <f t="shared" si="4"/>
        <v>200.82613439999932</v>
      </c>
      <c r="AH44" s="16">
        <f t="shared" si="5"/>
        <v>8.8363499135999692</v>
      </c>
      <c r="AJ44" s="93">
        <f t="shared" si="18"/>
        <v>15698.405220598403</v>
      </c>
      <c r="AK44" s="7"/>
      <c r="AL44" s="6"/>
    </row>
    <row r="45" spans="1:38" ht="16.5" thickBot="1" x14ac:dyDescent="0.3">
      <c r="A45" s="9"/>
      <c r="B45" s="49" t="s">
        <v>32</v>
      </c>
      <c r="C45" s="46">
        <f>SUM(C14:C44)</f>
        <v>67495</v>
      </c>
      <c r="D45" s="48">
        <f>SUM(D14:D44)</f>
        <v>20553</v>
      </c>
      <c r="E45" s="48">
        <f t="shared" ref="E45:AJ45" si="25">SUM(E14:E44)</f>
        <v>20498</v>
      </c>
      <c r="F45" s="48">
        <f t="shared" si="25"/>
        <v>26045</v>
      </c>
      <c r="G45" s="48">
        <f t="shared" si="25"/>
        <v>36854</v>
      </c>
      <c r="H45" s="48">
        <f t="shared" si="25"/>
        <v>185</v>
      </c>
      <c r="I45" s="48">
        <f t="shared" si="25"/>
        <v>410</v>
      </c>
      <c r="J45" s="48">
        <f t="shared" si="25"/>
        <v>172040</v>
      </c>
      <c r="K45" s="48">
        <f t="shared" si="25"/>
        <v>174792.63999999998</v>
      </c>
      <c r="L45" s="48">
        <f t="shared" si="25"/>
        <v>177187.29916800003</v>
      </c>
      <c r="M45" s="48">
        <f t="shared" si="25"/>
        <v>175979.69052240002</v>
      </c>
      <c r="N45" s="47">
        <f t="shared" si="25"/>
        <v>1191.0402549823693</v>
      </c>
      <c r="O45" s="28"/>
      <c r="P45" s="46">
        <f t="shared" si="25"/>
        <v>0</v>
      </c>
      <c r="Q45" s="48">
        <f t="shared" si="25"/>
        <v>2170</v>
      </c>
      <c r="R45" s="87">
        <f t="shared" si="25"/>
        <v>-1821.0223478522871</v>
      </c>
      <c r="S45" s="48">
        <f t="shared" si="25"/>
        <v>174133.72016838216</v>
      </c>
      <c r="T45" s="48">
        <f t="shared" si="25"/>
        <v>3012.0626028346564</v>
      </c>
      <c r="U45" s="48">
        <f t="shared" si="25"/>
        <v>44823</v>
      </c>
      <c r="V45" s="48">
        <f t="shared" si="25"/>
        <v>0</v>
      </c>
      <c r="W45" s="48">
        <f t="shared" si="25"/>
        <v>132364.299168</v>
      </c>
      <c r="X45" s="48">
        <f t="shared" si="25"/>
        <v>129310.72016838215</v>
      </c>
      <c r="Y45" s="50">
        <f t="shared" si="25"/>
        <v>842.06260283465633</v>
      </c>
      <c r="Z45" s="88">
        <f t="shared" si="25"/>
        <v>422846.05495060957</v>
      </c>
      <c r="AA45" s="88">
        <f t="shared" si="25"/>
        <v>3250.3616469417734</v>
      </c>
      <c r="AB45" s="88">
        <f t="shared" si="25"/>
        <v>0</v>
      </c>
      <c r="AC45" s="89">
        <f t="shared" si="25"/>
        <v>12282.200000000004</v>
      </c>
      <c r="AD45" s="88">
        <f t="shared" si="25"/>
        <v>20101.153600000001</v>
      </c>
      <c r="AE45" s="91">
        <f t="shared" si="25"/>
        <v>458479.77019755146</v>
      </c>
      <c r="AF45" s="28"/>
      <c r="AG45" s="46">
        <f t="shared" si="25"/>
        <v>17242.702831617851</v>
      </c>
      <c r="AH45" s="90">
        <f t="shared" si="25"/>
        <v>758.67892459118548</v>
      </c>
      <c r="AI45" s="28"/>
      <c r="AJ45" s="94">
        <f t="shared" si="25"/>
        <v>457721.09127296036</v>
      </c>
      <c r="AL45" s="6"/>
    </row>
    <row r="46" spans="1:38" x14ac:dyDescent="0.2">
      <c r="AK46" s="102"/>
      <c r="AL46" s="6"/>
    </row>
  </sheetData>
  <mergeCells count="2">
    <mergeCell ref="F3:G3"/>
    <mergeCell ref="C11:J11"/>
  </mergeCells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mbronst2</dc:creator>
  <cp:lastModifiedBy>Jan Havlíček</cp:lastModifiedBy>
  <cp:lastPrinted>2001-10-02T23:01:11Z</cp:lastPrinted>
  <dcterms:created xsi:type="dcterms:W3CDTF">2001-10-02T19:56:17Z</dcterms:created>
  <dcterms:modified xsi:type="dcterms:W3CDTF">2023-09-17T14:10:17Z</dcterms:modified>
</cp:coreProperties>
</file>