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353A32-6C7B-42D5-AE1D-CE6C0D7A12F5}" xr6:coauthVersionLast="47" xr6:coauthVersionMax="47" xr10:uidLastSave="{00000000-0000-0000-0000-000000000000}"/>
  <bookViews>
    <workbookView xWindow="-120" yWindow="-120" windowWidth="38640" windowHeight="15720" tabRatio="671" activeTab="2"/>
  </bookViews>
  <sheets>
    <sheet name="Income Statement" sheetId="1" r:id="rId1"/>
    <sheet name="Cash Flow Statement" sheetId="2" r:id="rId2"/>
    <sheet name="Balance Sheet" sheetId="4" r:id="rId3"/>
  </sheets>
  <definedNames>
    <definedName name="_xlnm.Print_Area" localSheetId="2">'Balance Sheet'!$A$2:$AL$32</definedName>
    <definedName name="_xlnm.Print_Area" localSheetId="1">'Cash Flow Statement'!$A$1:$H$15</definedName>
    <definedName name="_xlnm.Print_Area" localSheetId="0">'Income Statement'!$A$1:$J$49</definedName>
    <definedName name="_xlnm.Print_Titles" localSheetId="2">'Balance Sheet'!$A:$A</definedName>
    <definedName name="_xlnm.Print_Titles" localSheetId="1">'Cash Flow Statement'!$A:$B,'Cash Flow Statement'!$2:$2</definedName>
    <definedName name="_xlnm.Print_Titles" localSheetId="0">'Income Statement'!$A:$C,'Income Statement'!$2:$2</definedName>
    <definedName name="wrn.All._.Worksheets." hidden="1">{#N/A,#N/A,FALSE,"Scenario Manager";#N/A,#N/A,FALSE,"Key Data";#N/A,#N/A,FALSE,"Cash Flow";#N/A,#N/A,FALSE,"Income Statement";#N/A,#N/A,FALSE,"Cost Model";#N/A,#N/A,FALSE,"Yearly S and U";#N/A,#N/A,FALSE,"Monthly S and U";#N/A,#N/A,FALSE,"Revenue";#N/A,#N/A,FALSE,"NonFuel Expenses";#N/A,#N/A,FALSE,"Debt ";#N/A,#N/A,FALSE,"Tax";#N/A,#N/A,FALSE,"Fuel";#N/A,#N/A,FALSE,"Depreciation";#N/A,#N/A,FALSE,"Technical";#N/A,#N/A,FALSE,"Working Capital";#N/A,#N/A,FALSE,"Returns";#N/A,#N/A,FALSE,"Energy Price";#N/A,#N/A,FALSE,"Gas Price";#N/A,#N/A,FALSE,"Graphs"}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H7" i="4"/>
  <c r="I7" i="4"/>
  <c r="J7" i="4"/>
  <c r="K7" i="4"/>
  <c r="M7" i="4"/>
  <c r="N7" i="4"/>
  <c r="O7" i="4"/>
  <c r="P7" i="4"/>
  <c r="Q7" i="4"/>
  <c r="S7" i="4"/>
  <c r="T7" i="4"/>
  <c r="U7" i="4"/>
  <c r="V7" i="4"/>
  <c r="W7" i="4"/>
  <c r="Y7" i="4"/>
  <c r="Z7" i="4"/>
  <c r="AA7" i="4"/>
  <c r="AB7" i="4"/>
  <c r="AC7" i="4"/>
  <c r="AE7" i="4"/>
  <c r="AF7" i="4"/>
  <c r="AG7" i="4"/>
  <c r="AH7" i="4"/>
  <c r="AI7" i="4"/>
  <c r="AK7" i="4"/>
  <c r="AL7" i="4"/>
  <c r="C9" i="4"/>
  <c r="D9" i="4"/>
  <c r="H9" i="4"/>
  <c r="I9" i="4"/>
  <c r="J9" i="4"/>
  <c r="N9" i="4"/>
  <c r="O9" i="4"/>
  <c r="P9" i="4"/>
  <c r="T9" i="4"/>
  <c r="U9" i="4"/>
  <c r="V9" i="4"/>
  <c r="Z9" i="4"/>
  <c r="AA9" i="4"/>
  <c r="AB9" i="4"/>
  <c r="AF9" i="4"/>
  <c r="AG9" i="4"/>
  <c r="AH9" i="4"/>
  <c r="AL9" i="4"/>
  <c r="H12" i="4"/>
  <c r="N12" i="4"/>
  <c r="T12" i="4"/>
  <c r="Z12" i="4"/>
  <c r="AF12" i="4"/>
  <c r="AL12" i="4"/>
  <c r="B14" i="4"/>
  <c r="C14" i="4"/>
  <c r="H14" i="4"/>
  <c r="I14" i="4"/>
  <c r="N14" i="4"/>
  <c r="O14" i="4"/>
  <c r="T14" i="4"/>
  <c r="U14" i="4"/>
  <c r="Z14" i="4"/>
  <c r="AA14" i="4"/>
  <c r="AF14" i="4"/>
  <c r="AG14" i="4"/>
  <c r="AL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25" i="4"/>
  <c r="D25" i="4"/>
  <c r="E25" i="4"/>
  <c r="H25" i="4"/>
  <c r="I25" i="4"/>
  <c r="J25" i="4"/>
  <c r="K25" i="4"/>
  <c r="N25" i="4"/>
  <c r="O25" i="4"/>
  <c r="P25" i="4"/>
  <c r="Q25" i="4"/>
  <c r="T25" i="4"/>
  <c r="U25" i="4"/>
  <c r="V25" i="4"/>
  <c r="W25" i="4"/>
  <c r="Z25" i="4"/>
  <c r="AA25" i="4"/>
  <c r="AB25" i="4"/>
  <c r="AC25" i="4"/>
  <c r="AF25" i="4"/>
  <c r="AG25" i="4"/>
  <c r="AH25" i="4"/>
  <c r="AI25" i="4"/>
  <c r="AL25" i="4"/>
  <c r="B26" i="4"/>
  <c r="E26" i="4"/>
  <c r="F26" i="4"/>
  <c r="H26" i="4"/>
  <c r="K26" i="4"/>
  <c r="L26" i="4"/>
  <c r="N26" i="4"/>
  <c r="Q26" i="4"/>
  <c r="R26" i="4"/>
  <c r="T26" i="4"/>
  <c r="W26" i="4"/>
  <c r="X26" i="4"/>
  <c r="Z26" i="4"/>
  <c r="AC26" i="4"/>
  <c r="AD26" i="4"/>
  <c r="AF26" i="4"/>
  <c r="AI26" i="4"/>
  <c r="AJ26" i="4"/>
  <c r="AL26" i="4"/>
  <c r="B27" i="4"/>
  <c r="F27" i="4"/>
  <c r="H27" i="4"/>
  <c r="L27" i="4"/>
  <c r="N27" i="4"/>
  <c r="R27" i="4"/>
  <c r="T27" i="4"/>
  <c r="X27" i="4"/>
  <c r="Z27" i="4"/>
  <c r="AD27" i="4"/>
  <c r="AF27" i="4"/>
  <c r="AJ27" i="4"/>
  <c r="AL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C30" i="4"/>
  <c r="G30" i="4"/>
  <c r="H30" i="4"/>
  <c r="I30" i="4"/>
  <c r="M30" i="4"/>
  <c r="N30" i="4"/>
  <c r="O30" i="4"/>
  <c r="S30" i="4"/>
  <c r="T30" i="4"/>
  <c r="U30" i="4"/>
  <c r="Y30" i="4"/>
  <c r="Z30" i="4"/>
  <c r="AA30" i="4"/>
  <c r="AE30" i="4"/>
  <c r="AF30" i="4"/>
  <c r="AG30" i="4"/>
  <c r="AK30" i="4"/>
  <c r="AL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H40" i="4"/>
  <c r="N40" i="4"/>
  <c r="T40" i="4"/>
  <c r="Z40" i="4"/>
  <c r="AF40" i="4"/>
  <c r="AL40" i="4"/>
  <c r="H41" i="4"/>
  <c r="N41" i="4"/>
  <c r="T41" i="4"/>
  <c r="Z41" i="4"/>
  <c r="AF41" i="4"/>
  <c r="AL41" i="4"/>
  <c r="H42" i="4"/>
  <c r="N42" i="4"/>
  <c r="T42" i="4"/>
  <c r="Z42" i="4"/>
  <c r="AF42" i="4"/>
  <c r="AL42" i="4"/>
  <c r="H43" i="4"/>
  <c r="N43" i="4"/>
  <c r="T43" i="4"/>
  <c r="Z43" i="4"/>
  <c r="AF43" i="4"/>
  <c r="AL43" i="4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7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12" i="1"/>
  <c r="F12" i="1"/>
  <c r="G12" i="1"/>
  <c r="H12" i="1"/>
  <c r="I12" i="1"/>
  <c r="J1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</calcChain>
</file>

<file path=xl/sharedStrings.xml><?xml version="1.0" encoding="utf-8"?>
<sst xmlns="http://schemas.openxmlformats.org/spreadsheetml/2006/main" count="147" uniqueCount="105">
  <si>
    <t>Interest and Fees</t>
  </si>
  <si>
    <t>Principal Repayment</t>
  </si>
  <si>
    <t>Net Cash Flow</t>
  </si>
  <si>
    <t>Debt Service Coverage Ratio</t>
  </si>
  <si>
    <t>Depreciation &amp; Amortization</t>
  </si>
  <si>
    <t>Interest Expense</t>
  </si>
  <si>
    <t xml:space="preserve"> Net Income</t>
  </si>
  <si>
    <t>Off-Line Utilities</t>
  </si>
  <si>
    <t>Office &amp; Administrative</t>
  </si>
  <si>
    <t>Insurance</t>
  </si>
  <si>
    <t>Other Fixed Plant Costs</t>
  </si>
  <si>
    <t>GAAP to Tax Adjustment</t>
  </si>
  <si>
    <t>Income Taxes</t>
  </si>
  <si>
    <t>2003</t>
  </si>
  <si>
    <t>2004</t>
  </si>
  <si>
    <t>2005</t>
  </si>
  <si>
    <t>ASSETS</t>
  </si>
  <si>
    <t>Cash</t>
  </si>
  <si>
    <t>Accounts Receivable</t>
  </si>
  <si>
    <t>Property, Plant and Equipment</t>
  </si>
  <si>
    <t>Land</t>
  </si>
  <si>
    <t xml:space="preserve">Plant and Equipment net of depreciation </t>
  </si>
  <si>
    <t xml:space="preserve">        Total Assets</t>
  </si>
  <si>
    <t>LIABILITIES AND PARTNERS' CAPITAL</t>
  </si>
  <si>
    <t>Liabilities</t>
  </si>
  <si>
    <t>Accounts Payable</t>
  </si>
  <si>
    <t>Long-Term Debt due within one year</t>
  </si>
  <si>
    <t>Long-Term Debt</t>
  </si>
  <si>
    <t>Partners' Capital</t>
  </si>
  <si>
    <t xml:space="preserve">        Total Liabilities and Partners' Capital</t>
  </si>
  <si>
    <t>2006</t>
  </si>
  <si>
    <t>2007</t>
  </si>
  <si>
    <t>2008</t>
  </si>
  <si>
    <t>Cash Flow Available for Debt Service</t>
  </si>
  <si>
    <t>Operations</t>
  </si>
  <si>
    <t>Debt</t>
  </si>
  <si>
    <t>Distr</t>
  </si>
  <si>
    <t>Current</t>
  </si>
  <si>
    <t>AR/AP</t>
  </si>
  <si>
    <t>Addl LT Debt</t>
  </si>
  <si>
    <t>Debt to Cap</t>
  </si>
  <si>
    <t>EBITDA / Interest Expense</t>
  </si>
  <si>
    <t>Fixed/Total</t>
  </si>
  <si>
    <t>Current Ratio</t>
  </si>
  <si>
    <t xml:space="preserve"> Total Revenues</t>
  </si>
  <si>
    <t>Cost of Sales:</t>
  </si>
  <si>
    <t xml:space="preserve">Delivered Fuel Cost </t>
  </si>
  <si>
    <t>Variable O&amp;M and Chemical Cost</t>
  </si>
  <si>
    <t>Start and Stop Cost</t>
  </si>
  <si>
    <t>Water Usage Cost</t>
  </si>
  <si>
    <t>Water Discharge Cost</t>
  </si>
  <si>
    <t>Power Marketing Manager</t>
  </si>
  <si>
    <t xml:space="preserve"> Total Cost of Sales</t>
  </si>
  <si>
    <t>Gross Profit</t>
  </si>
  <si>
    <t>Fixed Expenses:</t>
  </si>
  <si>
    <t>Fuel Firm Transportation</t>
  </si>
  <si>
    <t>Fuel Pipeline Lateral Operations</t>
  </si>
  <si>
    <t>Fuel Manager</t>
  </si>
  <si>
    <t>Management Fee</t>
  </si>
  <si>
    <t>Wheeling Charge</t>
  </si>
  <si>
    <t>Property Tax</t>
  </si>
  <si>
    <t xml:space="preserve"> EBITDA</t>
  </si>
  <si>
    <t>Major Maintenance (Overhaul Reserve)</t>
  </si>
  <si>
    <t xml:space="preserve">  State Franchise Tax</t>
  </si>
  <si>
    <t>Assumptions:</t>
  </si>
  <si>
    <t>Current Operations</t>
  </si>
  <si>
    <t>11/12*(Total Revenue-Variable Costs-Fixed Costs)</t>
  </si>
  <si>
    <t>Accts Rec</t>
  </si>
  <si>
    <t>1/12*(Total Revenue)</t>
  </si>
  <si>
    <t>Plant</t>
  </si>
  <si>
    <t>Current year's Depreciation Expense</t>
  </si>
  <si>
    <t>Accts Pay</t>
  </si>
  <si>
    <t>Partners Capital</t>
  </si>
  <si>
    <t>Current year's Net Income</t>
  </si>
  <si>
    <t>Net activity of:</t>
  </si>
  <si>
    <t>Receipt of prior year's ending balance</t>
  </si>
  <si>
    <t>Payment of prior year's ending balance</t>
  </si>
  <si>
    <t>Total cash paid for:</t>
  </si>
  <si>
    <t>LT Debt due w/in 1 Yr</t>
  </si>
  <si>
    <t xml:space="preserve">Current year's principal repayment </t>
  </si>
  <si>
    <t>Reclass current portion of debt from LT Debt</t>
  </si>
  <si>
    <t>LT Debt</t>
  </si>
  <si>
    <t>Distributions</t>
  </si>
  <si>
    <t xml:space="preserve">75% current year's cash flow </t>
  </si>
  <si>
    <t>75% current year's cash flow</t>
  </si>
  <si>
    <t>Debt, Misc</t>
  </si>
  <si>
    <t>Debt Service Reserve LOC Expense</t>
  </si>
  <si>
    <t>Total Fixed Operating Costs</t>
  </si>
  <si>
    <t>Additions to Overhaul Reserve</t>
  </si>
  <si>
    <t>(1/12*(Variable Costs+Fixed Costs)) + Major Maintenance + Interest Expense + Taxes</t>
  </si>
  <si>
    <t>Payment of Interest Expense + Maintenance</t>
  </si>
  <si>
    <t>NO DISTRIBUTION IN 2003</t>
  </si>
  <si>
    <t>Fixed Fuel Costs</t>
  </si>
  <si>
    <t>EBITDA</t>
  </si>
  <si>
    <t>Total Property, Plant and Equipment</t>
  </si>
  <si>
    <t>Total Liabilities</t>
  </si>
  <si>
    <t>Fixed Operating Expenses</t>
  </si>
  <si>
    <t>Other Fixed Expenses</t>
  </si>
  <si>
    <t>Beg. Bal. (COD)</t>
  </si>
  <si>
    <t xml:space="preserve">  and amortization </t>
  </si>
  <si>
    <t xml:space="preserve">Fixed O&amp;M </t>
  </si>
  <si>
    <t>Other LOC Expense</t>
  </si>
  <si>
    <t>Tranmission O&amp;M</t>
  </si>
  <si>
    <t>Income Taxes: (Partnership - N/A)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</si>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</sst>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\x\ \ ;_(* \(#,##0.00\);_(* &quot;-&quot;??_);_(@_)"/>
    <numFmt numFmtId="166" formatCode="yyyy"/>
    <numFmt numFmtId="167" formatCode="0.0%"/>
    <numFmt numFmtId="168" formatCode="0.0000000"/>
    <numFmt numFmtId="169" formatCode="0.000000"/>
    <numFmt numFmtId="170" formatCode="__@"/>
    <numFmt numFmtId="171" formatCode="\ \ @"/>
    <numFmt numFmtId="172" formatCode="0.0"/>
  </numFmts>
  <fonts count="24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7"/>
      <name val="Times New Roman"/>
      <family val="1"/>
    </font>
    <font>
      <u val="singleAccounting"/>
      <sz val="7"/>
      <name val="Times New Roman"/>
      <family val="1"/>
    </font>
    <font>
      <sz val="7"/>
      <color indexed="12"/>
      <name val="Times New Roman"/>
      <family val="1"/>
    </font>
    <font>
      <u/>
      <sz val="7"/>
      <name val="Times New Roman"/>
      <family val="1"/>
    </font>
    <font>
      <sz val="7"/>
      <color indexed="9"/>
      <name val="Times New Roman"/>
      <family val="1"/>
    </font>
    <font>
      <sz val="8"/>
      <name val="Arial"/>
    </font>
    <font>
      <sz val="8"/>
      <name val="Palatino"/>
      <family val="1"/>
    </font>
    <font>
      <sz val="8"/>
      <name val="Helvetica-Narrow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sz val="10"/>
      <color indexed="16"/>
      <name val="Helvetica-Black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169" fontId="0" fillId="0" borderId="0">
      <alignment horizontal="left" wrapText="1"/>
    </xf>
    <xf numFmtId="168" fontId="2" fillId="0" borderId="0">
      <alignment horizontal="left" wrapText="1"/>
    </xf>
    <xf numFmtId="168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172" fontId="2" fillId="0" borderId="0">
      <alignment horizontal="left" wrapText="1"/>
    </xf>
    <xf numFmtId="172" fontId="2" fillId="0" borderId="0">
      <alignment horizontal="left" wrapText="1"/>
    </xf>
    <xf numFmtId="169" fontId="2" fillId="0" borderId="0">
      <alignment horizontal="left" wrapText="1"/>
    </xf>
    <xf numFmtId="169" fontId="2" fillId="0" borderId="0">
      <alignment horizontal="left" wrapText="1"/>
    </xf>
    <xf numFmtId="43" fontId="1" fillId="0" borderId="0" applyFont="0" applyFill="0" applyBorder="0" applyAlignment="0" applyProtection="0"/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>
      <alignment horizontal="right"/>
    </xf>
    <xf numFmtId="0" fontId="14" fillId="0" borderId="0" applyFont="0" applyFill="0" applyBorder="0" applyAlignment="0" applyProtection="0"/>
    <xf numFmtId="40" fontId="15" fillId="0" borderId="0"/>
    <xf numFmtId="0" fontId="14" fillId="0" borderId="1" applyNumberFormat="0" applyFont="0" applyFill="0" applyAlignment="0" applyProtection="0"/>
    <xf numFmtId="0" fontId="16" fillId="0" borderId="0" applyFill="0" applyBorder="0" applyProtection="0">
      <alignment horizontal="left"/>
    </xf>
    <xf numFmtId="0" fontId="14" fillId="0" borderId="0" applyFont="0" applyFill="0" applyBorder="0" applyAlignment="0" applyProtection="0">
      <alignment horizontal="right"/>
    </xf>
    <xf numFmtId="0" fontId="17" fillId="0" borderId="0" applyProtection="0">
      <alignment horizontal="right"/>
    </xf>
    <xf numFmtId="0" fontId="18" fillId="0" borderId="0" applyProtection="0">
      <alignment horizontal="left"/>
    </xf>
    <xf numFmtId="0" fontId="19" fillId="0" borderId="0" applyProtection="0">
      <alignment horizontal="left"/>
    </xf>
    <xf numFmtId="0" fontId="14" fillId="0" borderId="0" applyFont="0" applyFill="0" applyBorder="0" applyAlignment="0" applyProtection="0">
      <alignment horizontal="right"/>
    </xf>
    <xf numFmtId="0" fontId="2" fillId="0" borderId="0"/>
    <xf numFmtId="1" fontId="20" fillId="0" borderId="0" applyProtection="0">
      <alignment horizontal="right" vertical="center"/>
    </xf>
    <xf numFmtId="10" fontId="13" fillId="0" borderId="0"/>
    <xf numFmtId="0" fontId="21" fillId="0" borderId="0" applyBorder="0" applyProtection="0">
      <alignment vertical="center"/>
    </xf>
    <xf numFmtId="0" fontId="21" fillId="0" borderId="2" applyBorder="0" applyProtection="0">
      <alignment horizontal="right" vertical="center"/>
    </xf>
    <xf numFmtId="0" fontId="22" fillId="2" borderId="0" applyBorder="0" applyProtection="0">
      <alignment horizontal="centerContinuous" vertical="center"/>
    </xf>
    <xf numFmtId="0" fontId="22" fillId="3" borderId="2" applyBorder="0" applyProtection="0">
      <alignment horizontal="centerContinuous" vertical="center"/>
    </xf>
    <xf numFmtId="0" fontId="23" fillId="0" borderId="0" applyFill="0" applyBorder="0" applyProtection="0">
      <alignment horizontal="left"/>
    </xf>
    <xf numFmtId="0" fontId="16" fillId="0" borderId="3" applyFill="0" applyBorder="0" applyProtection="0">
      <alignment horizontal="left" vertical="top"/>
    </xf>
  </cellStyleXfs>
  <cellXfs count="77">
    <xf numFmtId="0" fontId="0" fillId="0" borderId="0" xfId="0" applyNumberFormat="1" applyAlignment="1"/>
    <xf numFmtId="41" fontId="3" fillId="0" borderId="0" xfId="0" applyNumberFormat="1" applyFont="1" applyAlignment="1"/>
    <xf numFmtId="0" fontId="3" fillId="0" borderId="0" xfId="0" applyNumberFormat="1" applyFont="1" applyAlignment="1"/>
    <xf numFmtId="41" fontId="3" fillId="0" borderId="0" xfId="0" applyNumberFormat="1" applyFont="1" applyAlignment="1">
      <alignment horizontal="center"/>
    </xf>
    <xf numFmtId="37" fontId="4" fillId="0" borderId="0" xfId="24" applyNumberFormat="1" applyFont="1" applyAlignment="1">
      <alignment horizontal="center"/>
    </xf>
    <xf numFmtId="37" fontId="4" fillId="0" borderId="0" xfId="24" quotePrefix="1" applyNumberFormat="1" applyFont="1" applyAlignment="1">
      <alignment horizontal="center"/>
    </xf>
    <xf numFmtId="41" fontId="4" fillId="0" borderId="0" xfId="24" applyNumberFormat="1" applyFont="1"/>
    <xf numFmtId="41" fontId="3" fillId="0" borderId="0" xfId="0" applyNumberFormat="1" applyFont="1" applyBorder="1" applyAlignment="1"/>
    <xf numFmtId="41" fontId="6" fillId="0" borderId="0" xfId="0" applyNumberFormat="1" applyFont="1" applyFill="1" applyBorder="1" applyAlignment="1"/>
    <xf numFmtId="42" fontId="3" fillId="0" borderId="0" xfId="0" applyNumberFormat="1" applyFont="1" applyFill="1" applyBorder="1" applyAlignment="1"/>
    <xf numFmtId="41" fontId="3" fillId="0" borderId="0" xfId="0" applyNumberFormat="1" applyFont="1" applyFill="1" applyBorder="1" applyAlignment="1"/>
    <xf numFmtId="41" fontId="3" fillId="0" borderId="0" xfId="0" applyNumberFormat="1" applyFont="1" applyFill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Alignment="1"/>
    <xf numFmtId="41" fontId="6" fillId="0" borderId="0" xfId="0" applyNumberFormat="1" applyFont="1" applyFill="1" applyBorder="1" applyAlignment="1">
      <alignment horizontal="left"/>
    </xf>
    <xf numFmtId="42" fontId="3" fillId="0" borderId="4" xfId="0" applyNumberFormat="1" applyFont="1" applyFill="1" applyBorder="1" applyAlignment="1"/>
    <xf numFmtId="41" fontId="5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 applyBorder="1" applyAlignment="1"/>
    <xf numFmtId="167" fontId="3" fillId="0" borderId="0" xfId="0" applyNumberFormat="1" applyFont="1" applyAlignment="1"/>
    <xf numFmtId="43" fontId="3" fillId="0" borderId="0" xfId="24" applyFont="1"/>
    <xf numFmtId="2" fontId="3" fillId="0" borderId="0" xfId="0" applyNumberFormat="1" applyFont="1" applyAlignment="1"/>
    <xf numFmtId="10" fontId="3" fillId="0" borderId="0" xfId="0" applyNumberFormat="1" applyFont="1" applyAlignment="1"/>
    <xf numFmtId="0" fontId="6" fillId="0" borderId="0" xfId="0" applyNumberFormat="1" applyFont="1" applyAlignment="1"/>
    <xf numFmtId="9" fontId="3" fillId="0" borderId="0" xfId="0" applyNumberFormat="1" applyFont="1" applyAlignment="1"/>
    <xf numFmtId="43" fontId="3" fillId="0" borderId="0" xfId="24" applyNumberFormat="1" applyFont="1"/>
    <xf numFmtId="169" fontId="5" fillId="0" borderId="0" xfId="0" applyFont="1">
      <alignment horizontal="left" wrapText="1"/>
    </xf>
    <xf numFmtId="169" fontId="3" fillId="0" borderId="0" xfId="0" applyFont="1">
      <alignment horizontal="left" wrapText="1"/>
    </xf>
    <xf numFmtId="41" fontId="6" fillId="0" borderId="0" xfId="0" applyNumberFormat="1" applyFont="1" applyFill="1" applyBorder="1">
      <alignment horizontal="left" wrapText="1"/>
    </xf>
    <xf numFmtId="169" fontId="5" fillId="0" borderId="0" xfId="0" applyFont="1" applyAlignment="1">
      <alignment horizontal="left"/>
    </xf>
    <xf numFmtId="169" fontId="3" fillId="0" borderId="0" xfId="0" quotePrefix="1" applyFont="1" applyAlignment="1">
      <alignment horizontal="left"/>
    </xf>
    <xf numFmtId="169" fontId="3" fillId="0" borderId="0" xfId="0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41" fontId="6" fillId="0" borderId="0" xfId="0" quotePrefix="1" applyNumberFormat="1" applyFont="1" applyFill="1" applyBorder="1" applyAlignment="1">
      <alignment horizontal="left"/>
    </xf>
    <xf numFmtId="169" fontId="3" fillId="4" borderId="0" xfId="0" applyFont="1" applyFill="1">
      <alignment horizontal="left" wrapText="1"/>
    </xf>
    <xf numFmtId="0" fontId="8" fillId="0" borderId="0" xfId="0" applyNumberFormat="1" applyFont="1" applyAlignment="1"/>
    <xf numFmtId="166" fontId="9" fillId="0" borderId="0" xfId="24" applyNumberFormat="1" applyFont="1"/>
    <xf numFmtId="37" fontId="8" fillId="0" borderId="0" xfId="38" applyNumberFormat="1" applyFont="1"/>
    <xf numFmtId="164" fontId="8" fillId="0" borderId="0" xfId="0" applyNumberFormat="1" applyFont="1" applyAlignment="1"/>
    <xf numFmtId="164" fontId="8" fillId="0" borderId="0" xfId="24" applyNumberFormat="1" applyFont="1"/>
    <xf numFmtId="165" fontId="8" fillId="0" borderId="0" xfId="24" applyNumberFormat="1" applyFont="1"/>
    <xf numFmtId="40" fontId="8" fillId="0" borderId="0" xfId="0" applyNumberFormat="1" applyFont="1" applyAlignment="1"/>
    <xf numFmtId="38" fontId="8" fillId="0" borderId="0" xfId="0" applyNumberFormat="1" applyFont="1" applyAlignment="1"/>
    <xf numFmtId="42" fontId="8" fillId="0" borderId="0" xfId="0" applyNumberFormat="1" applyFont="1" applyAlignment="1"/>
    <xf numFmtId="43" fontId="8" fillId="0" borderId="0" xfId="0" applyNumberFormat="1" applyFont="1" applyAlignment="1"/>
    <xf numFmtId="43" fontId="8" fillId="0" borderId="0" xfId="24" applyFont="1"/>
    <xf numFmtId="0" fontId="8" fillId="0" borderId="0" xfId="0" applyNumberFormat="1" applyFont="1" applyAlignment="1">
      <alignment horizontal="center"/>
    </xf>
    <xf numFmtId="164" fontId="8" fillId="0" borderId="0" xfId="24" applyNumberFormat="1" applyFont="1" applyAlignment="1">
      <alignment horizontal="center"/>
    </xf>
    <xf numFmtId="166" fontId="8" fillId="0" borderId="0" xfId="24" applyNumberFormat="1" applyFont="1" applyAlignment="1">
      <alignment horizontal="center"/>
    </xf>
    <xf numFmtId="37" fontId="8" fillId="0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/>
    <xf numFmtId="170" fontId="8" fillId="0" borderId="0" xfId="0" applyNumberFormat="1" applyFont="1" applyFill="1" applyAlignment="1" applyProtection="1">
      <alignment horizontal="left"/>
    </xf>
    <xf numFmtId="6" fontId="8" fillId="0" borderId="0" xfId="0" applyNumberFormat="1" applyFont="1" applyBorder="1" applyAlignment="1"/>
    <xf numFmtId="167" fontId="8" fillId="0" borderId="0" xfId="0" applyNumberFormat="1" applyFont="1" applyAlignment="1"/>
    <xf numFmtId="171" fontId="8" fillId="0" borderId="0" xfId="0" applyNumberFormat="1" applyFont="1" applyFill="1" applyAlignment="1" applyProtection="1">
      <alignment horizontal="left"/>
    </xf>
    <xf numFmtId="164" fontId="3" fillId="0" borderId="0" xfId="24" applyNumberFormat="1" applyFont="1"/>
    <xf numFmtId="6" fontId="8" fillId="0" borderId="0" xfId="0" applyNumberFormat="1" applyFont="1" applyAlignment="1"/>
    <xf numFmtId="41" fontId="3" fillId="0" borderId="0" xfId="24" applyNumberFormat="1" applyFont="1" applyFill="1" applyBorder="1"/>
    <xf numFmtId="41" fontId="8" fillId="0" borderId="0" xfId="0" applyNumberFormat="1" applyFont="1" applyAlignment="1"/>
    <xf numFmtId="41" fontId="8" fillId="0" borderId="2" xfId="0" applyNumberFormat="1" applyFont="1" applyBorder="1" applyAlignment="1"/>
    <xf numFmtId="41" fontId="11" fillId="0" borderId="0" xfId="0" applyNumberFormat="1" applyFont="1" applyAlignment="1"/>
    <xf numFmtId="41" fontId="12" fillId="0" borderId="0" xfId="0" applyNumberFormat="1" applyFont="1" applyAlignment="1"/>
    <xf numFmtId="41" fontId="8" fillId="0" borderId="0" xfId="0" applyNumberFormat="1" applyFont="1" applyBorder="1" applyAlignment="1"/>
    <xf numFmtId="41" fontId="8" fillId="0" borderId="0" xfId="24" applyNumberFormat="1" applyFont="1"/>
    <xf numFmtId="42" fontId="8" fillId="0" borderId="5" xfId="0" applyNumberFormat="1" applyFont="1" applyFill="1" applyBorder="1" applyAlignment="1"/>
    <xf numFmtId="42" fontId="8" fillId="0" borderId="4" xfId="0" applyNumberFormat="1" applyFont="1" applyBorder="1" applyAlignment="1"/>
    <xf numFmtId="42" fontId="8" fillId="0" borderId="2" xfId="0" applyNumberFormat="1" applyFont="1" applyBorder="1" applyAlignment="1"/>
    <xf numFmtId="41" fontId="9" fillId="0" borderId="0" xfId="0" applyNumberFormat="1" applyFont="1" applyAlignment="1"/>
    <xf numFmtId="42" fontId="10" fillId="0" borderId="0" xfId="0" applyNumberFormat="1" applyFont="1" applyAlignment="1"/>
    <xf numFmtId="41" fontId="5" fillId="0" borderId="0" xfId="0" applyNumberFormat="1" applyFont="1" applyFill="1" applyBorder="1" applyAlignment="1">
      <alignment horizontal="left"/>
    </xf>
    <xf numFmtId="42" fontId="12" fillId="0" borderId="0" xfId="0" applyNumberFormat="1" applyFont="1" applyAlignment="1"/>
    <xf numFmtId="41" fontId="5" fillId="0" borderId="0" xfId="24" applyNumberFormat="1" applyFont="1" applyFill="1" applyBorder="1" applyAlignment="1">
      <alignment horizontal="left"/>
    </xf>
    <xf numFmtId="0" fontId="3" fillId="0" borderId="0" xfId="0" applyNumberFormat="1" applyFont="1" applyFill="1" applyAlignment="1"/>
    <xf numFmtId="0" fontId="3" fillId="0" borderId="0" xfId="0" applyNumberFormat="1" applyFont="1" applyFill="1" applyBorder="1" applyAlignment="1"/>
    <xf numFmtId="0" fontId="6" fillId="0" borderId="0" xfId="0" applyNumberFormat="1" applyFont="1" applyFill="1" applyAlignment="1"/>
    <xf numFmtId="169" fontId="5" fillId="0" borderId="0" xfId="0" applyFont="1" applyFill="1">
      <alignment horizontal="left" wrapText="1"/>
    </xf>
    <xf numFmtId="169" fontId="3" fillId="0" borderId="0" xfId="0" applyFont="1" applyFill="1">
      <alignment horizontal="left" wrapText="1"/>
    </xf>
  </cellXfs>
  <cellStyles count="47">
    <cellStyle name="_Archer TD 1000MW 05-15-00" xfId="1"/>
    <cellStyle name="_El Dorado - 0100 v2" xfId="2"/>
    <cellStyle name="_El Dorado - 0100 v6" xfId="3"/>
    <cellStyle name="_El Dorado - Bank Version 1-15" xfId="4"/>
    <cellStyle name="_El Dorado 0101 v1 early ops test" xfId="5"/>
    <cellStyle name="_El Dorado 1000 v8" xfId="6"/>
    <cellStyle name="_El Dorado 1100 v1" xfId="7"/>
    <cellStyle name="_El Dorado 3-15" xfId="8"/>
    <cellStyle name="_El Dorado 3-19" xfId="9"/>
    <cellStyle name="_El Dorado 3-29" xfId="10"/>
    <cellStyle name="_El Dorado Project Model 0900 v2" xfId="11"/>
    <cellStyle name="_El_Do_Gila_2x2000MW_CC_101100_partcov4_17%_100%const" xfId="12"/>
    <cellStyle name="_Gila River - Bank Version 12-16" xfId="13"/>
    <cellStyle name="_Gila River 062600 v1" xfId="14"/>
    <cellStyle name="_Gila River 2-13.xls Chart 1149" xfId="15"/>
    <cellStyle name="_Illinois 111100 v1" xfId="16"/>
    <cellStyle name="_Loan Draw Schedule" xfId="17"/>
    <cellStyle name="_Oneta 052200 v1" xfId="18"/>
    <cellStyle name="_Oneta 061300" xfId="19"/>
    <cellStyle name="_Project Model Form Links" xfId="20"/>
    <cellStyle name="_TECO Combined Return Analysis NEW 01-23-01" xfId="21"/>
    <cellStyle name="_TIE Consolidated 09-18-00 c2 Teco" xfId="22"/>
    <cellStyle name="_West Michigan 0800 v1 test" xfId="23"/>
    <cellStyle name="Comma" xfId="24" builtinId="3"/>
    <cellStyle name="Comma 0" xfId="25"/>
    <cellStyle name="Comma 2" xfId="26"/>
    <cellStyle name="Currency 0" xfId="27"/>
    <cellStyle name="Currency 2" xfId="28"/>
    <cellStyle name="Date Aligned" xfId="29"/>
    <cellStyle name="decimal" xfId="30"/>
    <cellStyle name="Dotted Line" xfId="31"/>
    <cellStyle name="Footnote" xfId="32"/>
    <cellStyle name="Hard Percent" xfId="33"/>
    <cellStyle name="Header" xfId="34"/>
    <cellStyle name="Heading 2" xfId="35" builtinId="17" customBuiltin="1"/>
    <cellStyle name="Heading 3" xfId="36" builtinId="18" customBuiltin="1"/>
    <cellStyle name="Multiple" xfId="37"/>
    <cellStyle name="Normal" xfId="0" builtinId="0"/>
    <cellStyle name="Normal_MonthlyMCPep07" xfId="38"/>
    <cellStyle name="Page Number" xfId="39"/>
    <cellStyle name="Percent [.00%]" xfId="40"/>
    <cellStyle name="Table Head" xfId="41"/>
    <cellStyle name="Table Head Aligned" xfId="42"/>
    <cellStyle name="Table Head Blue" xfId="43"/>
    <cellStyle name="Table Head Green" xfId="44"/>
    <cellStyle name="Table Title" xfId="45"/>
    <cellStyle name="Table Unit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2.75" outlineLevelRow="1" outlineLevelCol="1"/>
  <cols>
    <col min="1" max="2" width="9.33203125" style="2"/>
    <col min="3" max="3" width="22.6640625" style="2" customWidth="1"/>
    <col min="4" max="10" width="12.5" style="55" bestFit="1" customWidth="1"/>
    <col min="11" max="17" width="12.5" style="55" hidden="1" customWidth="1" outlineLevel="1"/>
    <col min="18" max="18" width="12.83203125" style="55" hidden="1" customWidth="1" outlineLevel="1"/>
    <col min="19" max="23" width="13.1640625" style="55" hidden="1" customWidth="1" outlineLevel="1"/>
    <col min="24" max="40" width="0" style="2" hidden="1" customWidth="1" outlineLevel="1"/>
    <col min="41" max="41" width="9.33203125" style="2" collapsed="1"/>
    <col min="42" max="16384" width="9.33203125" style="2"/>
  </cols>
  <sheetData>
    <row r="2" spans="1:37" s="46" customFormat="1" ht="9">
      <c r="D2" s="47"/>
      <c r="E2" s="48">
        <v>37986</v>
      </c>
      <c r="F2" s="48">
        <v>38352</v>
      </c>
      <c r="G2" s="48">
        <v>38717</v>
      </c>
      <c r="H2" s="48">
        <v>39082</v>
      </c>
      <c r="I2" s="48">
        <v>39447</v>
      </c>
      <c r="J2" s="48">
        <v>39813</v>
      </c>
      <c r="K2" s="48">
        <f>J2+365</f>
        <v>40178</v>
      </c>
      <c r="L2" s="48">
        <f t="shared" ref="L2:AI2" si="0">K2+365</f>
        <v>40543</v>
      </c>
      <c r="M2" s="48">
        <f t="shared" si="0"/>
        <v>40908</v>
      </c>
      <c r="N2" s="48">
        <f t="shared" si="0"/>
        <v>41273</v>
      </c>
      <c r="O2" s="48">
        <f t="shared" si="0"/>
        <v>41638</v>
      </c>
      <c r="P2" s="48">
        <f t="shared" si="0"/>
        <v>42003</v>
      </c>
      <c r="Q2" s="48">
        <f t="shared" si="0"/>
        <v>42368</v>
      </c>
      <c r="R2" s="48">
        <f t="shared" si="0"/>
        <v>42733</v>
      </c>
      <c r="S2" s="48">
        <f t="shared" si="0"/>
        <v>43098</v>
      </c>
      <c r="T2" s="48">
        <f t="shared" si="0"/>
        <v>43463</v>
      </c>
      <c r="U2" s="48">
        <f t="shared" si="0"/>
        <v>43828</v>
      </c>
      <c r="V2" s="48">
        <f t="shared" si="0"/>
        <v>44193</v>
      </c>
      <c r="W2" s="48">
        <f t="shared" si="0"/>
        <v>44558</v>
      </c>
      <c r="X2" s="48">
        <f t="shared" si="0"/>
        <v>44923</v>
      </c>
      <c r="Y2" s="48">
        <f t="shared" si="0"/>
        <v>45288</v>
      </c>
      <c r="Z2" s="48">
        <f t="shared" si="0"/>
        <v>45653</v>
      </c>
      <c r="AA2" s="48">
        <f t="shared" si="0"/>
        <v>46018</v>
      </c>
      <c r="AB2" s="48">
        <f t="shared" si="0"/>
        <v>46383</v>
      </c>
      <c r="AC2" s="48">
        <f t="shared" si="0"/>
        <v>46748</v>
      </c>
      <c r="AD2" s="48">
        <f t="shared" si="0"/>
        <v>47113</v>
      </c>
      <c r="AE2" s="48">
        <f t="shared" si="0"/>
        <v>47478</v>
      </c>
      <c r="AF2" s="48">
        <f t="shared" si="0"/>
        <v>47843</v>
      </c>
      <c r="AG2" s="48">
        <f t="shared" si="0"/>
        <v>48208</v>
      </c>
      <c r="AH2" s="48">
        <f t="shared" si="0"/>
        <v>48573</v>
      </c>
      <c r="AI2" s="48">
        <f t="shared" si="0"/>
        <v>48938</v>
      </c>
    </row>
    <row r="3" spans="1:37">
      <c r="A3" s="49" t="s">
        <v>44</v>
      </c>
      <c r="B3" s="35"/>
      <c r="C3" s="35"/>
      <c r="D3" s="2"/>
      <c r="E3" s="64">
        <v>351316.86622116755</v>
      </c>
      <c r="F3" s="64">
        <v>529529.5383594915</v>
      </c>
      <c r="G3" s="64">
        <v>564144.85714685393</v>
      </c>
      <c r="H3" s="64">
        <v>587335.81974880141</v>
      </c>
      <c r="I3" s="64">
        <v>595959.24068447447</v>
      </c>
      <c r="J3" s="64">
        <v>598809.11623003776</v>
      </c>
      <c r="K3" s="64">
        <v>626717.10636176786</v>
      </c>
      <c r="L3" s="64">
        <v>658846.65081727377</v>
      </c>
      <c r="M3" s="64">
        <v>665272.65556919819</v>
      </c>
      <c r="N3" s="64">
        <v>681638.81758220121</v>
      </c>
      <c r="O3" s="64">
        <v>698349.36060778762</v>
      </c>
      <c r="P3" s="64">
        <v>715412.08154070051</v>
      </c>
      <c r="Q3" s="64">
        <v>732834.94279437966</v>
      </c>
      <c r="R3" s="64">
        <v>750864.24627906864</v>
      </c>
      <c r="S3" s="64">
        <v>769270.90258683858</v>
      </c>
      <c r="T3" s="64">
        <v>788063.40288364387</v>
      </c>
      <c r="U3" s="64">
        <v>807250.41665570461</v>
      </c>
      <c r="V3" s="64">
        <v>826840.79489262926</v>
      </c>
      <c r="W3" s="64">
        <v>853411.32383650378</v>
      </c>
      <c r="X3" s="64">
        <v>880835.69672798947</v>
      </c>
      <c r="Y3" s="64">
        <v>909141.35184234334</v>
      </c>
      <c r="Z3" s="64">
        <v>938356.60918379691</v>
      </c>
      <c r="AA3" s="64">
        <v>968510.69881991798</v>
      </c>
      <c r="AB3" s="64">
        <v>999633.79012649588</v>
      </c>
      <c r="AC3" s="64">
        <v>1031757.0219722107</v>
      </c>
      <c r="AD3" s="64">
        <v>1064912.5338732875</v>
      </c>
      <c r="AE3" s="64">
        <v>1099133.4981493053</v>
      </c>
      <c r="AF3" s="64">
        <v>1134454.153112333</v>
      </c>
      <c r="AG3" s="64">
        <v>1170909.8373225979</v>
      </c>
      <c r="AH3" s="64">
        <v>1208537.0249449592</v>
      </c>
      <c r="AI3" s="64">
        <v>831581.72175547574</v>
      </c>
    </row>
    <row r="4" spans="1:37">
      <c r="A4" s="50"/>
      <c r="B4" s="35"/>
      <c r="C4" s="35"/>
      <c r="D4" s="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7">
      <c r="A5" s="49" t="s">
        <v>45</v>
      </c>
      <c r="B5" s="35"/>
      <c r="C5" s="35"/>
      <c r="D5" s="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7">
      <c r="A6" s="51" t="s">
        <v>46</v>
      </c>
      <c r="B6" s="35"/>
      <c r="C6" s="35"/>
      <c r="D6" s="2"/>
      <c r="E6" s="58">
        <v>179717.12700441713</v>
      </c>
      <c r="F6" s="58">
        <v>263850.47612464539</v>
      </c>
      <c r="G6" s="58">
        <v>277427.9711693378</v>
      </c>
      <c r="H6" s="58">
        <v>285825.13896800356</v>
      </c>
      <c r="I6" s="58">
        <v>314074.10955194995</v>
      </c>
      <c r="J6" s="58">
        <v>314613.76902386907</v>
      </c>
      <c r="K6" s="58">
        <v>330009.30125005532</v>
      </c>
      <c r="L6" s="58">
        <v>349278.57701894466</v>
      </c>
      <c r="M6" s="58">
        <v>355799.17957100214</v>
      </c>
      <c r="N6" s="58">
        <v>367073.54459978978</v>
      </c>
      <c r="O6" s="58">
        <v>378705.911825396</v>
      </c>
      <c r="P6" s="58">
        <v>390707.66956128401</v>
      </c>
      <c r="Q6" s="58">
        <v>403090.56895001809</v>
      </c>
      <c r="R6" s="58">
        <v>415866.73553814844</v>
      </c>
      <c r="S6" s="58">
        <v>429048.6812207714</v>
      </c>
      <c r="T6" s="58">
        <v>442649.31656757998</v>
      </c>
      <c r="U6" s="58">
        <v>456681.96354260453</v>
      </c>
      <c r="V6" s="58">
        <v>471160.36863022367</v>
      </c>
      <c r="W6" s="58">
        <v>485632.02867503528</v>
      </c>
      <c r="X6" s="58">
        <v>500541.68245353515</v>
      </c>
      <c r="Y6" s="58">
        <v>515902.43178717006</v>
      </c>
      <c r="Z6" s="58">
        <v>531727.76669831271</v>
      </c>
      <c r="AA6" s="58">
        <v>548031.57682188391</v>
      </c>
      <c r="AB6" s="58">
        <v>564828.16315020516</v>
      </c>
      <c r="AC6" s="58">
        <v>582132.25012075237</v>
      </c>
      <c r="AD6" s="58">
        <v>599958.99805677286</v>
      </c>
      <c r="AE6" s="58">
        <v>618324.01597100042</v>
      </c>
      <c r="AF6" s="58">
        <v>637243.37474301259</v>
      </c>
      <c r="AG6" s="58">
        <v>656733.62068107107</v>
      </c>
      <c r="AH6" s="58">
        <v>676811.78947959654</v>
      </c>
      <c r="AI6" s="58">
        <v>464996.6481615887</v>
      </c>
    </row>
    <row r="7" spans="1:37">
      <c r="A7" s="51" t="s">
        <v>47</v>
      </c>
      <c r="B7" s="35"/>
      <c r="C7" s="35"/>
      <c r="D7" s="2"/>
      <c r="E7" s="58">
        <v>3950.6395280470838</v>
      </c>
      <c r="F7" s="58">
        <v>6582.8939381377404</v>
      </c>
      <c r="G7" s="58">
        <v>6900.9594146949157</v>
      </c>
      <c r="H7" s="58">
        <v>7083.2702885581339</v>
      </c>
      <c r="I7" s="58">
        <v>7246.8677894535531</v>
      </c>
      <c r="J7" s="58">
        <v>7219.6734867404884</v>
      </c>
      <c r="K7" s="58">
        <v>7540.148748147647</v>
      </c>
      <c r="L7" s="58">
        <v>7946.4735184740039</v>
      </c>
      <c r="M7" s="58">
        <v>8056.9209262289123</v>
      </c>
      <c r="N7" s="58">
        <v>8274.4577912370914</v>
      </c>
      <c r="O7" s="58">
        <v>8497.8681516004908</v>
      </c>
      <c r="P7" s="58">
        <v>8727.3105916937056</v>
      </c>
      <c r="Q7" s="58">
        <v>8962.9479776694334</v>
      </c>
      <c r="R7" s="58">
        <v>9204.9475730665072</v>
      </c>
      <c r="S7" s="58">
        <v>9453.4811575393014</v>
      </c>
      <c r="T7" s="58">
        <v>9708.7251487928625</v>
      </c>
      <c r="U7" s="58">
        <v>9970.8607278102681</v>
      </c>
      <c r="V7" s="58">
        <v>10240.073967461145</v>
      </c>
      <c r="W7" s="58">
        <v>10516.555964582596</v>
      </c>
      <c r="X7" s="58">
        <v>10800.502975626323</v>
      </c>
      <c r="Y7" s="58">
        <v>11092.116555968232</v>
      </c>
      <c r="Z7" s="58">
        <v>11391.603702979373</v>
      </c>
      <c r="AA7" s="58">
        <v>11699.177002959814</v>
      </c>
      <c r="AB7" s="58">
        <v>12015.054782039731</v>
      </c>
      <c r="AC7" s="58">
        <v>12339.4612611548</v>
      </c>
      <c r="AD7" s="58">
        <v>12672.626715205983</v>
      </c>
      <c r="AE7" s="58">
        <v>13014.787636516541</v>
      </c>
      <c r="AF7" s="58">
        <v>13366.186902702486</v>
      </c>
      <c r="AG7" s="58">
        <v>13727.073949075453</v>
      </c>
      <c r="AH7" s="58">
        <v>14097.704945700487</v>
      </c>
      <c r="AI7" s="58">
        <v>9652.2226201800258</v>
      </c>
    </row>
    <row r="8" spans="1:37">
      <c r="A8" s="51" t="s">
        <v>48</v>
      </c>
      <c r="B8" s="35"/>
      <c r="C8" s="35"/>
      <c r="D8" s="2"/>
      <c r="E8" s="58">
        <v>552.21495155942932</v>
      </c>
      <c r="F8" s="58">
        <v>831.91107034418678</v>
      </c>
      <c r="G8" s="58">
        <v>846.14620768664315</v>
      </c>
      <c r="H8" s="58">
        <v>844.36651824200351</v>
      </c>
      <c r="I8" s="58">
        <v>1002.4696928587956</v>
      </c>
      <c r="J8" s="58">
        <v>1035.1521086316552</v>
      </c>
      <c r="K8" s="58">
        <v>1067.405987841347</v>
      </c>
      <c r="L8" s="58">
        <v>1100.3855374190341</v>
      </c>
      <c r="M8" s="58">
        <v>1135.6788208333858</v>
      </c>
      <c r="N8" s="58">
        <v>1171.6655749258964</v>
      </c>
      <c r="O8" s="58">
        <v>1208.7950396711663</v>
      </c>
      <c r="P8" s="58">
        <v>1247.1035655363903</v>
      </c>
      <c r="Q8" s="58">
        <v>1286.6286611064593</v>
      </c>
      <c r="R8" s="58">
        <v>1327.4090300299445</v>
      </c>
      <c r="S8" s="58">
        <v>1369.484609145054</v>
      </c>
      <c r="T8" s="58">
        <v>1412.8966078232754</v>
      </c>
      <c r="U8" s="58">
        <v>1457.6875485696319</v>
      </c>
      <c r="V8" s="58">
        <v>1503.901308919729</v>
      </c>
      <c r="W8" s="58">
        <v>1550.0935397028622</v>
      </c>
      <c r="X8" s="58">
        <v>1597.6838068940822</v>
      </c>
      <c r="Y8" s="58">
        <v>1646.7139303231847</v>
      </c>
      <c r="Z8" s="58">
        <v>1697.2269689222333</v>
      </c>
      <c r="AA8" s="58">
        <v>1749.2672571504243</v>
      </c>
      <c r="AB8" s="58">
        <v>1802.8804424825939</v>
      </c>
      <c r="AC8" s="58">
        <v>1858.1135239922371</v>
      </c>
      <c r="AD8" s="58">
        <v>1915.0148920608324</v>
      </c>
      <c r="AE8" s="58">
        <v>1973.6343692461412</v>
      </c>
      <c r="AF8" s="58">
        <v>2034.0232523431434</v>
      </c>
      <c r="AG8" s="58">
        <v>2096.2343556722049</v>
      </c>
      <c r="AH8" s="58">
        <v>2160.3220556300757</v>
      </c>
      <c r="AI8" s="58">
        <v>1484.2272703168121</v>
      </c>
    </row>
    <row r="9" spans="1:37">
      <c r="A9" s="51" t="s">
        <v>49</v>
      </c>
      <c r="B9" s="35"/>
      <c r="C9" s="35"/>
      <c r="D9" s="2"/>
      <c r="E9" s="58">
        <v>257.45994519963449</v>
      </c>
      <c r="F9" s="58">
        <v>310.56160339470716</v>
      </c>
      <c r="G9" s="58">
        <v>325.56699848573635</v>
      </c>
      <c r="H9" s="58">
        <v>334.16789010503356</v>
      </c>
      <c r="I9" s="58">
        <v>341.88593974504062</v>
      </c>
      <c r="J9" s="58">
        <v>340.60299240711646</v>
      </c>
      <c r="K9" s="58">
        <v>355.72207407032511</v>
      </c>
      <c r="L9" s="58">
        <v>374.8912834419769</v>
      </c>
      <c r="M9" s="58">
        <v>380.1018677785151</v>
      </c>
      <c r="N9" s="58">
        <v>390.36461820853492</v>
      </c>
      <c r="O9" s="58">
        <v>400.90446290016536</v>
      </c>
      <c r="P9" s="58">
        <v>411.72888339846975</v>
      </c>
      <c r="Q9" s="58">
        <v>422.84556325022839</v>
      </c>
      <c r="R9" s="58">
        <v>434.2623934579845</v>
      </c>
      <c r="S9" s="58">
        <v>445.98747808135005</v>
      </c>
      <c r="T9" s="58">
        <v>458.02913998954654</v>
      </c>
      <c r="U9" s="58">
        <v>470.39592676926424</v>
      </c>
      <c r="V9" s="58">
        <v>483.0966167920343</v>
      </c>
      <c r="W9" s="58">
        <v>496.14022544541922</v>
      </c>
      <c r="X9" s="58">
        <v>509.53601153244546</v>
      </c>
      <c r="Y9" s="58">
        <v>523.29348384382138</v>
      </c>
      <c r="Z9" s="58">
        <v>537.42240790760445</v>
      </c>
      <c r="AA9" s="58">
        <v>551.93281292110987</v>
      </c>
      <c r="AB9" s="58">
        <v>566.8349988699797</v>
      </c>
      <c r="AC9" s="58">
        <v>582.13954383946907</v>
      </c>
      <c r="AD9" s="58">
        <v>597.85731152313474</v>
      </c>
      <c r="AE9" s="58">
        <v>613.99945893425922</v>
      </c>
      <c r="AF9" s="58">
        <v>630.57744432548429</v>
      </c>
      <c r="AG9" s="58">
        <v>647.60303532227238</v>
      </c>
      <c r="AH9" s="58">
        <v>665.08831727597362</v>
      </c>
      <c r="AI9" s="58">
        <v>303.57548801592492</v>
      </c>
    </row>
    <row r="10" spans="1:37">
      <c r="A10" s="51" t="s">
        <v>50</v>
      </c>
      <c r="B10" s="35"/>
      <c r="C10" s="35"/>
      <c r="D10" s="2"/>
      <c r="E10" s="58">
        <v>532.52884418015958</v>
      </c>
      <c r="F10" s="58">
        <v>642.36404452848956</v>
      </c>
      <c r="G10" s="58">
        <v>673.40112759046406</v>
      </c>
      <c r="H10" s="58">
        <v>691.19116817091867</v>
      </c>
      <c r="I10" s="58">
        <v>707.15514288135807</v>
      </c>
      <c r="J10" s="58">
        <v>704.50150111786343</v>
      </c>
      <c r="K10" s="58">
        <v>735.77373290883565</v>
      </c>
      <c r="L10" s="58">
        <v>775.42322829973136</v>
      </c>
      <c r="M10" s="58">
        <v>786.20077450051372</v>
      </c>
      <c r="N10" s="58">
        <v>807.42819541202743</v>
      </c>
      <c r="O10" s="58">
        <v>829.22875668815209</v>
      </c>
      <c r="P10" s="58">
        <v>851.61793311873214</v>
      </c>
      <c r="Q10" s="58">
        <v>874.61161731293771</v>
      </c>
      <c r="R10" s="58">
        <v>898.22613098038698</v>
      </c>
      <c r="S10" s="58">
        <v>922.47823651685735</v>
      </c>
      <c r="T10" s="58">
        <v>947.3851489028126</v>
      </c>
      <c r="U10" s="58">
        <v>972.96454792318821</v>
      </c>
      <c r="V10" s="58">
        <v>999.23459071711432</v>
      </c>
      <c r="W10" s="58">
        <v>1026.2139246664763</v>
      </c>
      <c r="X10" s="58">
        <v>1053.9217006324709</v>
      </c>
      <c r="Y10" s="58">
        <v>1082.3775865495475</v>
      </c>
      <c r="Z10" s="58">
        <v>1111.6017813863853</v>
      </c>
      <c r="AA10" s="58">
        <v>1141.6150294838178</v>
      </c>
      <c r="AB10" s="58">
        <v>1172.4386352798806</v>
      </c>
      <c r="AC10" s="58">
        <v>1204.0944784324374</v>
      </c>
      <c r="AD10" s="58">
        <v>1236.605029350113</v>
      </c>
      <c r="AE10" s="58">
        <v>1269.9933651425656</v>
      </c>
      <c r="AF10" s="58">
        <v>1304.2831860014151</v>
      </c>
      <c r="AG10" s="58">
        <v>1339.4988320234531</v>
      </c>
      <c r="AH10" s="58">
        <v>1375.6653004880861</v>
      </c>
      <c r="AI10" s="58">
        <v>627.91399892979507</v>
      </c>
    </row>
    <row r="11" spans="1:37">
      <c r="A11" s="51" t="s">
        <v>51</v>
      </c>
      <c r="B11" s="35"/>
      <c r="C11" s="35"/>
      <c r="D11" s="2"/>
      <c r="E11" s="59">
        <v>5012.906496977992</v>
      </c>
      <c r="F11" s="59">
        <v>3859.669973676615</v>
      </c>
      <c r="G11" s="59">
        <v>4169.5621834358762</v>
      </c>
      <c r="H11" s="59">
        <v>4388.3652737358252</v>
      </c>
      <c r="I11" s="59">
        <v>4088.8012885137859</v>
      </c>
      <c r="J11" s="59">
        <v>4123.4312567590723</v>
      </c>
      <c r="K11" s="59">
        <v>4305.1313185311656</v>
      </c>
      <c r="L11" s="59">
        <v>4490.5635034604147</v>
      </c>
      <c r="M11" s="59">
        <v>4486.7186041328205</v>
      </c>
      <c r="N11" s="59">
        <v>4558.8203520394172</v>
      </c>
      <c r="O11" s="59">
        <v>4630.5997855729747</v>
      </c>
      <c r="P11" s="59">
        <v>4701.9997650850382</v>
      </c>
      <c r="Q11" s="59">
        <v>4772.9601003753378</v>
      </c>
      <c r="R11" s="59">
        <v>4846.9899842007808</v>
      </c>
      <c r="S11" s="59">
        <v>4920.4618482717688</v>
      </c>
      <c r="T11" s="59">
        <v>4993.3057540583313</v>
      </c>
      <c r="U11" s="59">
        <v>5065.4481654304163</v>
      </c>
      <c r="V11" s="59">
        <v>5136.8117966777336</v>
      </c>
      <c r="W11" s="59">
        <v>5312.8543726060661</v>
      </c>
      <c r="X11" s="59">
        <v>5494.9855466965346</v>
      </c>
      <c r="Y11" s="59">
        <v>5683.4162774773267</v>
      </c>
      <c r="Z11" s="59">
        <v>5878.3648143643286</v>
      </c>
      <c r="AA11" s="59">
        <v>6080.0569484327834</v>
      </c>
      <c r="AB11" s="59">
        <v>6288.726271764278</v>
      </c>
      <c r="AC11" s="59">
        <v>6504.6144456605907</v>
      </c>
      <c r="AD11" s="59">
        <v>6727.971478025619</v>
      </c>
      <c r="AE11" s="59">
        <v>6959.056010226981</v>
      </c>
      <c r="AF11" s="59">
        <v>7198.1356137592184</v>
      </c>
      <c r="AG11" s="59">
        <v>7445.4870970415004</v>
      </c>
      <c r="AH11" s="59">
        <v>7701.3968226940206</v>
      </c>
      <c r="AI11" s="59">
        <v>5317.7570132466681</v>
      </c>
    </row>
    <row r="12" spans="1:37">
      <c r="A12" s="49" t="s">
        <v>52</v>
      </c>
      <c r="B12" s="35"/>
      <c r="C12" s="35"/>
      <c r="D12" s="2"/>
      <c r="E12" s="58">
        <f t="shared" ref="E12:J12" si="1">SUM(E6:E11)</f>
        <v>190022.87677038144</v>
      </c>
      <c r="F12" s="58">
        <f t="shared" si="1"/>
        <v>276077.87675472716</v>
      </c>
      <c r="G12" s="58">
        <f t="shared" si="1"/>
        <v>290343.60710123141</v>
      </c>
      <c r="H12" s="58">
        <f t="shared" si="1"/>
        <v>299166.50010681554</v>
      </c>
      <c r="I12" s="58">
        <f t="shared" si="1"/>
        <v>327461.28940540249</v>
      </c>
      <c r="J12" s="58">
        <f t="shared" si="1"/>
        <v>328037.13036952534</v>
      </c>
      <c r="K12" s="58">
        <v>344013.48311155464</v>
      </c>
      <c r="L12" s="58">
        <v>363966.31409003987</v>
      </c>
      <c r="M12" s="58">
        <v>370644.80056447629</v>
      </c>
      <c r="N12" s="58">
        <v>382276.28113161278</v>
      </c>
      <c r="O12" s="58">
        <v>394273.30802182894</v>
      </c>
      <c r="P12" s="58">
        <v>406647.43030011636</v>
      </c>
      <c r="Q12" s="58">
        <v>419410.5628697325</v>
      </c>
      <c r="R12" s="58">
        <v>432578.57064988406</v>
      </c>
      <c r="S12" s="58">
        <v>446160.57455032575</v>
      </c>
      <c r="T12" s="58">
        <v>460169.6583671468</v>
      </c>
      <c r="U12" s="58">
        <v>474619.32045910723</v>
      </c>
      <c r="V12" s="58">
        <v>489523.48691079137</v>
      </c>
      <c r="W12" s="58">
        <v>504533.88670203876</v>
      </c>
      <c r="X12" s="58">
        <v>519998.31249491702</v>
      </c>
      <c r="Y12" s="58">
        <v>535930.34962133202</v>
      </c>
      <c r="Z12" s="58">
        <v>552343.98637387261</v>
      </c>
      <c r="AA12" s="58">
        <v>569253.62587283179</v>
      </c>
      <c r="AB12" s="58">
        <v>586674.0982806416</v>
      </c>
      <c r="AC12" s="58">
        <v>604620.67337383202</v>
      </c>
      <c r="AD12" s="58">
        <v>623109.07348293858</v>
      </c>
      <c r="AE12" s="58">
        <v>642155.48681106698</v>
      </c>
      <c r="AF12" s="58">
        <v>661776.58114214428</v>
      </c>
      <c r="AG12" s="58">
        <v>681989.51795020595</v>
      </c>
      <c r="AH12" s="58">
        <v>702811.96692138514</v>
      </c>
      <c r="AI12" s="58">
        <v>482382.34455227794</v>
      </c>
    </row>
    <row r="13" spans="1:37">
      <c r="A13" s="50"/>
      <c r="B13" s="35"/>
      <c r="C13" s="35"/>
      <c r="D13" s="2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7">
      <c r="A14" s="49" t="s">
        <v>53</v>
      </c>
      <c r="B14" s="35"/>
      <c r="C14" s="35"/>
      <c r="D14" s="2"/>
      <c r="E14" s="59">
        <f>E3-E12</f>
        <v>161293.98945078612</v>
      </c>
      <c r="F14" s="59">
        <f t="shared" ref="F14:AI14" si="2">F3-F12</f>
        <v>253451.66160476435</v>
      </c>
      <c r="G14" s="59">
        <f t="shared" si="2"/>
        <v>273801.25004562252</v>
      </c>
      <c r="H14" s="59">
        <f t="shared" si="2"/>
        <v>288169.31964198587</v>
      </c>
      <c r="I14" s="59">
        <f t="shared" si="2"/>
        <v>268497.95127907197</v>
      </c>
      <c r="J14" s="59">
        <f t="shared" si="2"/>
        <v>270771.98586051242</v>
      </c>
      <c r="K14" s="59">
        <f t="shared" si="2"/>
        <v>282703.62325021322</v>
      </c>
      <c r="L14" s="59">
        <f t="shared" si="2"/>
        <v>294880.33672723389</v>
      </c>
      <c r="M14" s="59">
        <f t="shared" si="2"/>
        <v>294627.8550047219</v>
      </c>
      <c r="N14" s="59">
        <f t="shared" si="2"/>
        <v>299362.53645058844</v>
      </c>
      <c r="O14" s="59">
        <f t="shared" si="2"/>
        <v>304076.05258595868</v>
      </c>
      <c r="P14" s="59">
        <f t="shared" si="2"/>
        <v>308764.65124058415</v>
      </c>
      <c r="Q14" s="59">
        <f t="shared" si="2"/>
        <v>313424.37992464716</v>
      </c>
      <c r="R14" s="59">
        <f t="shared" si="2"/>
        <v>318285.67562918458</v>
      </c>
      <c r="S14" s="59">
        <f t="shared" si="2"/>
        <v>323110.32803651283</v>
      </c>
      <c r="T14" s="59">
        <f t="shared" si="2"/>
        <v>327893.74451649707</v>
      </c>
      <c r="U14" s="59">
        <f t="shared" si="2"/>
        <v>332631.09619659738</v>
      </c>
      <c r="V14" s="59">
        <f t="shared" si="2"/>
        <v>337317.30798183789</v>
      </c>
      <c r="W14" s="59">
        <f t="shared" si="2"/>
        <v>348877.43713446503</v>
      </c>
      <c r="X14" s="59">
        <f t="shared" si="2"/>
        <v>360837.38423307246</v>
      </c>
      <c r="Y14" s="59">
        <f t="shared" si="2"/>
        <v>373211.00222101132</v>
      </c>
      <c r="Z14" s="59">
        <f t="shared" si="2"/>
        <v>386012.6228099243</v>
      </c>
      <c r="AA14" s="59">
        <f t="shared" si="2"/>
        <v>399257.07294708618</v>
      </c>
      <c r="AB14" s="59">
        <f t="shared" si="2"/>
        <v>412959.69184585428</v>
      </c>
      <c r="AC14" s="59">
        <f t="shared" si="2"/>
        <v>427136.34859837871</v>
      </c>
      <c r="AD14" s="59">
        <f t="shared" si="2"/>
        <v>441803.46039034892</v>
      </c>
      <c r="AE14" s="59">
        <f t="shared" si="2"/>
        <v>456978.01133823837</v>
      </c>
      <c r="AF14" s="59">
        <f t="shared" si="2"/>
        <v>472677.57197018876</v>
      </c>
      <c r="AG14" s="59">
        <f t="shared" si="2"/>
        <v>488920.31937239191</v>
      </c>
      <c r="AH14" s="59">
        <f t="shared" si="2"/>
        <v>505725.05802357406</v>
      </c>
      <c r="AI14" s="59">
        <f t="shared" si="2"/>
        <v>349199.3772031978</v>
      </c>
      <c r="AJ14" s="52"/>
      <c r="AK14" s="52"/>
    </row>
    <row r="15" spans="1:37">
      <c r="A15" s="50"/>
      <c r="B15" s="35"/>
      <c r="C15" s="35"/>
      <c r="D15" s="2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3"/>
      <c r="AK15" s="53"/>
    </row>
    <row r="16" spans="1:37">
      <c r="A16" s="50" t="s">
        <v>54</v>
      </c>
      <c r="B16" s="35"/>
      <c r="C16" s="35"/>
      <c r="D16" s="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>
      <c r="A17" s="54" t="s">
        <v>100</v>
      </c>
      <c r="B17" s="35"/>
      <c r="C17" s="35"/>
      <c r="D17" s="2"/>
      <c r="E17" s="58">
        <v>3489.5172416666669</v>
      </c>
      <c r="F17" s="58">
        <v>4764.5556148444684</v>
      </c>
      <c r="G17" s="58">
        <v>4893.1986164452683</v>
      </c>
      <c r="H17" s="58">
        <v>5025.3149790892903</v>
      </c>
      <c r="I17" s="58">
        <v>5160.9984835247005</v>
      </c>
      <c r="J17" s="58">
        <v>5300.3454425798673</v>
      </c>
      <c r="K17" s="58">
        <v>5443.4547695295232</v>
      </c>
      <c r="L17" s="58">
        <v>5590.4280483068196</v>
      </c>
      <c r="M17" s="58">
        <v>5741.369605611103</v>
      </c>
      <c r="N17" s="58">
        <v>5896.3865849626027</v>
      </c>
      <c r="O17" s="58">
        <v>6055.5890227565924</v>
      </c>
      <c r="P17" s="58">
        <v>6219.0899263710198</v>
      </c>
      <c r="Q17" s="58">
        <v>6387.0053543830372</v>
      </c>
      <c r="R17" s="58">
        <v>6559.4544989513788</v>
      </c>
      <c r="S17" s="58">
        <v>6736.5597704230659</v>
      </c>
      <c r="T17" s="58">
        <v>6918.4468842244878</v>
      </c>
      <c r="U17" s="58">
        <v>7105.2449500985485</v>
      </c>
      <c r="V17" s="58">
        <v>7297.0865637512088</v>
      </c>
      <c r="W17" s="58">
        <v>7494.1079009724908</v>
      </c>
      <c r="X17" s="58">
        <v>7696.4488142987475</v>
      </c>
      <c r="Y17" s="58">
        <v>7904.2529322848131</v>
      </c>
      <c r="Z17" s="58">
        <v>8117.6677614565024</v>
      </c>
      <c r="AA17" s="58">
        <v>8336.8447910158266</v>
      </c>
      <c r="AB17" s="58">
        <v>8561.9396003732527</v>
      </c>
      <c r="AC17" s="58">
        <v>8793.1119695833295</v>
      </c>
      <c r="AD17" s="58">
        <v>9030.5259927620791</v>
      </c>
      <c r="AE17" s="58">
        <v>9274.350194566654</v>
      </c>
      <c r="AF17" s="58">
        <v>9524.7576498199523</v>
      </c>
      <c r="AG17" s="58">
        <v>9781.9261063650902</v>
      </c>
      <c r="AH17" s="58">
        <v>10046.038111236947</v>
      </c>
      <c r="AI17" s="58">
        <v>10317.281140240344</v>
      </c>
    </row>
    <row r="18" spans="1:35" hidden="1" outlineLevel="1">
      <c r="A18" s="54"/>
      <c r="B18" s="35"/>
      <c r="C18" s="35"/>
      <c r="D18" s="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idden="1" outlineLevel="1">
      <c r="A19" s="54" t="s">
        <v>55</v>
      </c>
      <c r="B19" s="35"/>
      <c r="C19" s="35"/>
      <c r="D19" s="2"/>
      <c r="E19" s="58">
        <v>14302.853734067136</v>
      </c>
      <c r="F19" s="58">
        <v>19354.420670242205</v>
      </c>
      <c r="G19" s="58">
        <v>16779.646683643601</v>
      </c>
      <c r="H19" s="58">
        <v>8519.5579220662039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hidden="1" outlineLevel="1">
      <c r="A20" s="54" t="s">
        <v>56</v>
      </c>
      <c r="B20" s="35"/>
      <c r="C20" s="35"/>
      <c r="D20" s="2"/>
      <c r="E20" s="58">
        <v>150.48900179695411</v>
      </c>
      <c r="F20" s="58">
        <v>185.46264581456626</v>
      </c>
      <c r="G20" s="58">
        <v>190.47013725155952</v>
      </c>
      <c r="H20" s="58">
        <v>195.6128309573516</v>
      </c>
      <c r="I20" s="58">
        <v>200.89437739320007</v>
      </c>
      <c r="J20" s="58">
        <v>206.31852558281645</v>
      </c>
      <c r="K20" s="58">
        <v>211.88912577355248</v>
      </c>
      <c r="L20" s="58">
        <v>217.61013216943837</v>
      </c>
      <c r="M20" s="58">
        <v>223.48560573801319</v>
      </c>
      <c r="N20" s="58">
        <v>229.51971709293952</v>
      </c>
      <c r="O20" s="58">
        <v>235.71674945444886</v>
      </c>
      <c r="P20" s="58">
        <v>242.08110168971896</v>
      </c>
      <c r="Q20" s="58">
        <v>248.61729143534134</v>
      </c>
      <c r="R20" s="58">
        <v>255.32995830409553</v>
      </c>
      <c r="S20" s="58">
        <v>262.22386717830608</v>
      </c>
      <c r="T20" s="58">
        <v>269.3039115921203</v>
      </c>
      <c r="U20" s="58">
        <v>276.57511720510752</v>
      </c>
      <c r="V20" s="58">
        <v>284.04264536964541</v>
      </c>
      <c r="W20" s="58">
        <v>291.7117967946258</v>
      </c>
      <c r="X20" s="58">
        <v>299.58801530808068</v>
      </c>
      <c r="Y20" s="58">
        <v>307.67689172139882</v>
      </c>
      <c r="Z20" s="58">
        <v>315.98416779787658</v>
      </c>
      <c r="AA20" s="58">
        <v>324.51574032841921</v>
      </c>
      <c r="AB20" s="58">
        <v>333.27766531728651</v>
      </c>
      <c r="AC20" s="58">
        <v>342.27616228085321</v>
      </c>
      <c r="AD20" s="58">
        <v>351.51761866243623</v>
      </c>
      <c r="AE20" s="58">
        <v>361.00859436632197</v>
      </c>
      <c r="AF20" s="58">
        <v>370.75582641421261</v>
      </c>
      <c r="AG20" s="58">
        <v>380.7662337273963</v>
      </c>
      <c r="AH20" s="58">
        <v>391.04692203803597</v>
      </c>
      <c r="AI20" s="58">
        <v>267.73662528654654</v>
      </c>
    </row>
    <row r="21" spans="1:35" ht="12.75" hidden="1" customHeight="1" outlineLevel="1">
      <c r="A21" s="54" t="s">
        <v>57</v>
      </c>
      <c r="B21" s="35"/>
      <c r="C21" s="35"/>
      <c r="D21" s="2"/>
      <c r="E21" s="60">
        <v>324.96200489999984</v>
      </c>
      <c r="F21" s="60">
        <v>400.48317483875985</v>
      </c>
      <c r="G21" s="60">
        <v>411.29622055940632</v>
      </c>
      <c r="H21" s="60">
        <v>422.40121851451028</v>
      </c>
      <c r="I21" s="60">
        <v>433.80605141440202</v>
      </c>
      <c r="J21" s="60">
        <v>445.51881480259084</v>
      </c>
      <c r="K21" s="60">
        <v>457.54782280226073</v>
      </c>
      <c r="L21" s="60">
        <v>469.9016140179217</v>
      </c>
      <c r="M21" s="60">
        <v>482.58895759640552</v>
      </c>
      <c r="N21" s="60">
        <v>495.61885945150846</v>
      </c>
      <c r="O21" s="60">
        <v>509.00056865669916</v>
      </c>
      <c r="P21" s="60">
        <v>522.74358401043003</v>
      </c>
      <c r="Q21" s="60">
        <v>536.85766077871165</v>
      </c>
      <c r="R21" s="60">
        <v>551.35281761973681</v>
      </c>
      <c r="S21" s="60">
        <v>566.23934369546964</v>
      </c>
      <c r="T21" s="60">
        <v>581.52780597524725</v>
      </c>
      <c r="U21" s="60">
        <v>597.22905673657885</v>
      </c>
      <c r="V21" s="60">
        <v>613.35424126846647</v>
      </c>
      <c r="W21" s="60">
        <v>629.91480578271501</v>
      </c>
      <c r="X21" s="60">
        <v>646.92250553884821</v>
      </c>
      <c r="Y21" s="60">
        <v>664.38941318839704</v>
      </c>
      <c r="Z21" s="60">
        <v>682.32792734448367</v>
      </c>
      <c r="AA21" s="60">
        <v>700.75078138278468</v>
      </c>
      <c r="AB21" s="60">
        <v>719.67105248011978</v>
      </c>
      <c r="AC21" s="60">
        <v>739.10217089708294</v>
      </c>
      <c r="AD21" s="60">
        <v>759.05792951130411</v>
      </c>
      <c r="AE21" s="60">
        <v>779.55249360810922</v>
      </c>
      <c r="AF21" s="60">
        <v>800.60041093552809</v>
      </c>
      <c r="AG21" s="60">
        <v>822.21662203078722</v>
      </c>
      <c r="AH21" s="60">
        <v>844.41647082561838</v>
      </c>
      <c r="AI21" s="60">
        <v>578.14344901872528</v>
      </c>
    </row>
    <row r="22" spans="1:35" collapsed="1">
      <c r="A22" s="54" t="s">
        <v>92</v>
      </c>
      <c r="B22" s="35"/>
      <c r="C22" s="35"/>
      <c r="D22" s="2"/>
      <c r="E22" s="58">
        <f>SUM(E19:E21)</f>
        <v>14778.30474076409</v>
      </c>
      <c r="F22" s="58">
        <f t="shared" ref="F22:AI22" si="3">SUM(F19:F21)</f>
        <v>19940.366490895529</v>
      </c>
      <c r="G22" s="58">
        <f t="shared" si="3"/>
        <v>17381.413041454565</v>
      </c>
      <c r="H22" s="58">
        <f t="shared" si="3"/>
        <v>9137.5719715380674</v>
      </c>
      <c r="I22" s="58">
        <f t="shared" si="3"/>
        <v>634.70042880760207</v>
      </c>
      <c r="J22" s="58">
        <f t="shared" si="3"/>
        <v>651.83734038540729</v>
      </c>
      <c r="K22" s="58">
        <f t="shared" si="3"/>
        <v>669.43694857581318</v>
      </c>
      <c r="L22" s="58">
        <f t="shared" si="3"/>
        <v>687.51174618736013</v>
      </c>
      <c r="M22" s="58">
        <f t="shared" si="3"/>
        <v>706.07456333441871</v>
      </c>
      <c r="N22" s="58">
        <f t="shared" si="3"/>
        <v>725.13857654444791</v>
      </c>
      <c r="O22" s="58">
        <f t="shared" si="3"/>
        <v>744.71731811114796</v>
      </c>
      <c r="P22" s="58">
        <f t="shared" si="3"/>
        <v>764.82468570014896</v>
      </c>
      <c r="Q22" s="58">
        <f t="shared" si="3"/>
        <v>785.47495221405302</v>
      </c>
      <c r="R22" s="58">
        <f t="shared" si="3"/>
        <v>806.68277592383231</v>
      </c>
      <c r="S22" s="58">
        <f t="shared" si="3"/>
        <v>828.46321087377578</v>
      </c>
      <c r="T22" s="58">
        <f t="shared" si="3"/>
        <v>850.8317175673676</v>
      </c>
      <c r="U22" s="58">
        <f t="shared" si="3"/>
        <v>873.80417394168637</v>
      </c>
      <c r="V22" s="58">
        <f t="shared" si="3"/>
        <v>897.39688663811194</v>
      </c>
      <c r="W22" s="58">
        <f t="shared" si="3"/>
        <v>921.6266025773408</v>
      </c>
      <c r="X22" s="58">
        <f t="shared" si="3"/>
        <v>946.5105208469289</v>
      </c>
      <c r="Y22" s="58">
        <f t="shared" si="3"/>
        <v>972.06630490979592</v>
      </c>
      <c r="Z22" s="58">
        <f t="shared" si="3"/>
        <v>998.31209514236025</v>
      </c>
      <c r="AA22" s="58">
        <f t="shared" si="3"/>
        <v>1025.2665217112039</v>
      </c>
      <c r="AB22" s="58">
        <f t="shared" si="3"/>
        <v>1052.9487177974063</v>
      </c>
      <c r="AC22" s="58">
        <f t="shared" si="3"/>
        <v>1081.3783331779362</v>
      </c>
      <c r="AD22" s="58">
        <f t="shared" si="3"/>
        <v>1110.5755481737403</v>
      </c>
      <c r="AE22" s="58">
        <f t="shared" si="3"/>
        <v>1140.5610879744313</v>
      </c>
      <c r="AF22" s="58">
        <f t="shared" si="3"/>
        <v>1171.3562373497407</v>
      </c>
      <c r="AG22" s="58">
        <f t="shared" si="3"/>
        <v>1202.9828557581836</v>
      </c>
      <c r="AH22" s="58">
        <f t="shared" si="3"/>
        <v>1235.4633928636545</v>
      </c>
      <c r="AI22" s="58">
        <f t="shared" si="3"/>
        <v>845.88007430527182</v>
      </c>
    </row>
    <row r="23" spans="1:35" hidden="1" outlineLevel="1">
      <c r="A23" s="54"/>
      <c r="B23" s="35"/>
      <c r="C23" s="35"/>
      <c r="D23" s="2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hidden="1" outlineLevel="1">
      <c r="A24" s="54" t="s">
        <v>7</v>
      </c>
      <c r="B24" s="35"/>
      <c r="C24" s="35"/>
      <c r="D24" s="2"/>
      <c r="E24" s="58">
        <v>567.81784590083578</v>
      </c>
      <c r="F24" s="58">
        <v>699.77871328818992</v>
      </c>
      <c r="G24" s="58">
        <v>718.672738546971</v>
      </c>
      <c r="H24" s="58">
        <v>738.07690248773918</v>
      </c>
      <c r="I24" s="58">
        <v>758.00497885490802</v>
      </c>
      <c r="J24" s="58">
        <v>778.47111328399046</v>
      </c>
      <c r="K24" s="58">
        <v>799.48983334265813</v>
      </c>
      <c r="L24" s="58">
        <v>821.07605884290979</v>
      </c>
      <c r="M24" s="58">
        <v>843.2451124316683</v>
      </c>
      <c r="N24" s="58">
        <v>866.01273046732331</v>
      </c>
      <c r="O24" s="58">
        <v>889.39507418994094</v>
      </c>
      <c r="P24" s="58">
        <v>913.40874119306932</v>
      </c>
      <c r="Q24" s="58">
        <v>938.07077720528207</v>
      </c>
      <c r="R24" s="58">
        <v>963.39868818982461</v>
      </c>
      <c r="S24" s="58">
        <v>989.41045277094975</v>
      </c>
      <c r="T24" s="58">
        <v>1016.1245349957653</v>
      </c>
      <c r="U24" s="58">
        <v>1043.559897440651</v>
      </c>
      <c r="V24" s="58">
        <v>1071.7360146715484</v>
      </c>
      <c r="W24" s="58">
        <v>1100.6728870676802</v>
      </c>
      <c r="X24" s="58">
        <v>1130.3910550185076</v>
      </c>
      <c r="Y24" s="58">
        <v>1160.9116135040072</v>
      </c>
      <c r="Z24" s="58">
        <v>1192.2562270686153</v>
      </c>
      <c r="AA24" s="58">
        <v>1224.4471451994677</v>
      </c>
      <c r="AB24" s="58">
        <v>1257.5072181198532</v>
      </c>
      <c r="AC24" s="58">
        <v>1291.4599130090892</v>
      </c>
      <c r="AD24" s="58">
        <v>1326.3293306603346</v>
      </c>
      <c r="AE24" s="58">
        <v>1362.1402225881634</v>
      </c>
      <c r="AF24" s="58">
        <v>1398.9180085980438</v>
      </c>
      <c r="AG24" s="58">
        <v>1436.6887948301908</v>
      </c>
      <c r="AH24" s="58">
        <v>1475.4793922906058</v>
      </c>
      <c r="AI24" s="58">
        <v>1010.2109258727447</v>
      </c>
    </row>
    <row r="25" spans="1:35" hidden="1" outlineLevel="1">
      <c r="A25" s="54" t="s">
        <v>8</v>
      </c>
      <c r="B25" s="35"/>
      <c r="C25" s="35"/>
      <c r="D25" s="2"/>
      <c r="E25" s="58">
        <v>521.92508675883334</v>
      </c>
      <c r="F25" s="58">
        <v>643.22047692158606</v>
      </c>
      <c r="G25" s="58">
        <v>660.58742979846886</v>
      </c>
      <c r="H25" s="58">
        <v>678.42329040302741</v>
      </c>
      <c r="I25" s="58">
        <v>696.7407192439091</v>
      </c>
      <c r="J25" s="58">
        <v>715.5527186634946</v>
      </c>
      <c r="K25" s="58">
        <v>734.87264206740895</v>
      </c>
      <c r="L25" s="58">
        <v>754.71420340322891</v>
      </c>
      <c r="M25" s="58">
        <v>775.09148689511608</v>
      </c>
      <c r="N25" s="58">
        <v>796.01895704128412</v>
      </c>
      <c r="O25" s="58">
        <v>817.51146888139874</v>
      </c>
      <c r="P25" s="58">
        <v>839.58427854119645</v>
      </c>
      <c r="Q25" s="58">
        <v>862.25305406180871</v>
      </c>
      <c r="R25" s="58">
        <v>885.53388652147748</v>
      </c>
      <c r="S25" s="58">
        <v>909.44330145755725</v>
      </c>
      <c r="T25" s="58">
        <v>933.9982705969112</v>
      </c>
      <c r="U25" s="58">
        <v>959.21622390302775</v>
      </c>
      <c r="V25" s="58">
        <v>985.11506194840945</v>
      </c>
      <c r="W25" s="58">
        <v>1011.7131686210164</v>
      </c>
      <c r="X25" s="58">
        <v>1039.0294241737838</v>
      </c>
      <c r="Y25" s="58">
        <v>1067.0832186264759</v>
      </c>
      <c r="Z25" s="58">
        <v>1095.8944655293906</v>
      </c>
      <c r="AA25" s="58">
        <v>1125.483616098684</v>
      </c>
      <c r="AB25" s="58">
        <v>1155.8716737333484</v>
      </c>
      <c r="AC25" s="58">
        <v>1187.0802089241488</v>
      </c>
      <c r="AD25" s="58">
        <v>1219.1313745651007</v>
      </c>
      <c r="AE25" s="58">
        <v>1252.0479216783583</v>
      </c>
      <c r="AF25" s="58">
        <v>1285.853215563674</v>
      </c>
      <c r="AG25" s="58">
        <v>1320.5712523838931</v>
      </c>
      <c r="AH25" s="58">
        <v>1356.226676198258</v>
      </c>
      <c r="AI25" s="58">
        <v>928.56261728507536</v>
      </c>
    </row>
    <row r="26" spans="1:35" hidden="1" outlineLevel="1">
      <c r="A26" s="54" t="s">
        <v>9</v>
      </c>
      <c r="B26" s="35"/>
      <c r="C26" s="35"/>
      <c r="D26" s="2"/>
      <c r="E26" s="58">
        <v>1299.8480195999998</v>
      </c>
      <c r="F26" s="58">
        <v>4004.8317483875985</v>
      </c>
      <c r="G26" s="58">
        <v>4112.9622055940636</v>
      </c>
      <c r="H26" s="58">
        <v>4224.0121851451031</v>
      </c>
      <c r="I26" s="58">
        <v>4338.0605141440201</v>
      </c>
      <c r="J26" s="58">
        <v>4455.188148025908</v>
      </c>
      <c r="K26" s="58">
        <v>4575.4782280226073</v>
      </c>
      <c r="L26" s="58">
        <v>4699.0161401792175</v>
      </c>
      <c r="M26" s="58">
        <v>4825.8895759640563</v>
      </c>
      <c r="N26" s="58">
        <v>4956.1885945150852</v>
      </c>
      <c r="O26" s="58">
        <v>5090.0056865669922</v>
      </c>
      <c r="P26" s="58">
        <v>5227.435840104301</v>
      </c>
      <c r="Q26" s="58">
        <v>5368.5766077871167</v>
      </c>
      <c r="R26" s="58">
        <v>5513.5281761973683</v>
      </c>
      <c r="S26" s="58">
        <v>5662.3934369546969</v>
      </c>
      <c r="T26" s="58">
        <v>5815.2780597524734</v>
      </c>
      <c r="U26" s="58">
        <v>5972.2905673657897</v>
      </c>
      <c r="V26" s="58">
        <v>6133.5424126846656</v>
      </c>
      <c r="W26" s="58">
        <v>6299.1480578271512</v>
      </c>
      <c r="X26" s="58">
        <v>6469.2250553884842</v>
      </c>
      <c r="Y26" s="58">
        <v>6643.8941318839725</v>
      </c>
      <c r="Z26" s="58">
        <v>6823.2792734448394</v>
      </c>
      <c r="AA26" s="58">
        <v>7007.5078138278495</v>
      </c>
      <c r="AB26" s="58">
        <v>7196.7105248012012</v>
      </c>
      <c r="AC26" s="58">
        <v>7391.0217089708331</v>
      </c>
      <c r="AD26" s="58">
        <v>7590.5792951130452</v>
      </c>
      <c r="AE26" s="58">
        <v>7795.5249360810967</v>
      </c>
      <c r="AF26" s="58">
        <v>8006.0041093552854</v>
      </c>
      <c r="AG26" s="58">
        <v>8222.1662203078777</v>
      </c>
      <c r="AH26" s="58">
        <v>8444.1647082561904</v>
      </c>
      <c r="AI26" s="58">
        <v>5781.4344901872573</v>
      </c>
    </row>
    <row r="27" spans="1:35" hidden="1" outlineLevel="1">
      <c r="A27" s="54" t="s">
        <v>58</v>
      </c>
      <c r="B27" s="35"/>
      <c r="C27" s="35"/>
      <c r="D27" s="2"/>
      <c r="E27" s="58">
        <v>2039.2665655494598</v>
      </c>
      <c r="F27" s="58">
        <v>2513.1921153831531</v>
      </c>
      <c r="G27" s="58">
        <v>2581.0483024984978</v>
      </c>
      <c r="H27" s="58">
        <v>2650.736606665957</v>
      </c>
      <c r="I27" s="58">
        <v>2722.3064950459375</v>
      </c>
      <c r="J27" s="58">
        <v>2795.8087704121776</v>
      </c>
      <c r="K27" s="58">
        <v>2871.2956072133061</v>
      </c>
      <c r="L27" s="58">
        <v>2948.820588608065</v>
      </c>
      <c r="M27" s="58">
        <v>3028.4387445004827</v>
      </c>
      <c r="N27" s="58">
        <v>3110.2065906019957</v>
      </c>
      <c r="O27" s="58">
        <v>3194.1821685482491</v>
      </c>
      <c r="P27" s="58">
        <v>3280.4250870990518</v>
      </c>
      <c r="Q27" s="58">
        <v>3368.9965644507261</v>
      </c>
      <c r="R27" s="58">
        <v>3459.9594716908955</v>
      </c>
      <c r="S27" s="58">
        <v>3553.3783774265494</v>
      </c>
      <c r="T27" s="58">
        <v>3649.3195936170659</v>
      </c>
      <c r="U27" s="58">
        <v>3747.8512226447265</v>
      </c>
      <c r="V27" s="58">
        <v>3849.043205656134</v>
      </c>
      <c r="W27" s="58">
        <v>3952.9673722088492</v>
      </c>
      <c r="X27" s="58">
        <v>4059.6974912584878</v>
      </c>
      <c r="Y27" s="58">
        <v>4169.3093235224669</v>
      </c>
      <c r="Z27" s="58">
        <v>4281.8806752575729</v>
      </c>
      <c r="AA27" s="58">
        <v>4397.491453489527</v>
      </c>
      <c r="AB27" s="58">
        <v>4516.2237227337437</v>
      </c>
      <c r="AC27" s="58">
        <v>4638.1617632475545</v>
      </c>
      <c r="AD27" s="58">
        <v>4763.3921308552381</v>
      </c>
      <c r="AE27" s="58">
        <v>4892.0037183883287</v>
      </c>
      <c r="AF27" s="58">
        <v>5024.087818784813</v>
      </c>
      <c r="AG27" s="58">
        <v>5159.7381898920021</v>
      </c>
      <c r="AH27" s="58">
        <v>5299.0511210190853</v>
      </c>
      <c r="AI27" s="58">
        <v>3628.0813999721081</v>
      </c>
    </row>
    <row r="28" spans="1:35" hidden="1" outlineLevel="1">
      <c r="A28" s="54" t="s">
        <v>101</v>
      </c>
      <c r="B28" s="35"/>
      <c r="C28" s="35"/>
      <c r="D28" s="2"/>
      <c r="E28" s="58">
        <v>851.66666666666674</v>
      </c>
      <c r="F28" s="58">
        <v>1825</v>
      </c>
      <c r="G28" s="58">
        <v>1825</v>
      </c>
      <c r="H28" s="58">
        <v>1825</v>
      </c>
      <c r="I28" s="58">
        <v>1825</v>
      </c>
      <c r="J28" s="58">
        <v>1825</v>
      </c>
      <c r="K28" s="58">
        <v>1825</v>
      </c>
      <c r="L28" s="58">
        <v>1825</v>
      </c>
      <c r="M28" s="58">
        <v>1825</v>
      </c>
      <c r="N28" s="58">
        <v>1825</v>
      </c>
      <c r="O28" s="58">
        <v>1825</v>
      </c>
      <c r="P28" s="58">
        <v>1825</v>
      </c>
      <c r="Q28" s="58">
        <v>1825</v>
      </c>
      <c r="R28" s="58">
        <v>1825</v>
      </c>
      <c r="S28" s="58">
        <v>1825</v>
      </c>
      <c r="T28" s="58">
        <v>1825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1:35" hidden="1" outlineLevel="1">
      <c r="A29" s="54" t="s">
        <v>86</v>
      </c>
      <c r="B29" s="35"/>
      <c r="C29" s="35"/>
      <c r="D29" s="2"/>
      <c r="E29" s="60">
        <v>0</v>
      </c>
      <c r="F29" s="60">
        <v>729.19371784545774</v>
      </c>
      <c r="G29" s="60">
        <v>810.91288881116157</v>
      </c>
      <c r="H29" s="60">
        <v>709.04407168423722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1:35" collapsed="1">
      <c r="A30" s="54" t="s">
        <v>96</v>
      </c>
      <c r="B30" s="35"/>
      <c r="C30" s="35"/>
      <c r="D30" s="2"/>
      <c r="E30" s="58">
        <f>SUM(E24:E29)</f>
        <v>5280.5241844757957</v>
      </c>
      <c r="F30" s="58">
        <f>SUM(F24:F29)</f>
        <v>10415.216771825984</v>
      </c>
      <c r="G30" s="58">
        <f t="shared" ref="G30:AI30" si="4">SUM(G24:G29)</f>
        <v>10709.183565249163</v>
      </c>
      <c r="H30" s="58">
        <f t="shared" si="4"/>
        <v>10825.293056386063</v>
      </c>
      <c r="I30" s="58">
        <f t="shared" si="4"/>
        <v>10340.112707288776</v>
      </c>
      <c r="J30" s="58">
        <f t="shared" si="4"/>
        <v>10570.020750385571</v>
      </c>
      <c r="K30" s="58">
        <f t="shared" si="4"/>
        <v>10806.136310645979</v>
      </c>
      <c r="L30" s="58">
        <f t="shared" si="4"/>
        <v>11048.626991033421</v>
      </c>
      <c r="M30" s="58">
        <f t="shared" si="4"/>
        <v>11297.664919791323</v>
      </c>
      <c r="N30" s="58">
        <f t="shared" si="4"/>
        <v>11553.426872625689</v>
      </c>
      <c r="O30" s="58">
        <f t="shared" si="4"/>
        <v>11816.094398186582</v>
      </c>
      <c r="P30" s="58">
        <f t="shared" si="4"/>
        <v>12085.853946937619</v>
      </c>
      <c r="Q30" s="58">
        <f t="shared" si="4"/>
        <v>12362.897003504933</v>
      </c>
      <c r="R30" s="58">
        <f t="shared" si="4"/>
        <v>12647.420222599567</v>
      </c>
      <c r="S30" s="58">
        <f t="shared" si="4"/>
        <v>12939.625568609754</v>
      </c>
      <c r="T30" s="58">
        <f t="shared" si="4"/>
        <v>13239.720458962216</v>
      </c>
      <c r="U30" s="58">
        <f t="shared" si="4"/>
        <v>11722.917911354194</v>
      </c>
      <c r="V30" s="58">
        <f t="shared" si="4"/>
        <v>12039.436694960757</v>
      </c>
      <c r="W30" s="58">
        <f t="shared" si="4"/>
        <v>12364.501485724697</v>
      </c>
      <c r="X30" s="58">
        <f t="shared" si="4"/>
        <v>12698.343025839264</v>
      </c>
      <c r="Y30" s="58">
        <f t="shared" si="4"/>
        <v>13041.198287536921</v>
      </c>
      <c r="Z30" s="58">
        <f t="shared" si="4"/>
        <v>13393.310641300417</v>
      </c>
      <c r="AA30" s="58">
        <f t="shared" si="4"/>
        <v>13754.930028615528</v>
      </c>
      <c r="AB30" s="58">
        <f t="shared" si="4"/>
        <v>14126.313139388145</v>
      </c>
      <c r="AC30" s="58">
        <f t="shared" si="4"/>
        <v>14507.723594151626</v>
      </c>
      <c r="AD30" s="58">
        <f t="shared" si="4"/>
        <v>14899.432131193718</v>
      </c>
      <c r="AE30" s="58">
        <f t="shared" si="4"/>
        <v>15301.716798735946</v>
      </c>
      <c r="AF30" s="58">
        <f t="shared" si="4"/>
        <v>15714.863152301816</v>
      </c>
      <c r="AG30" s="58">
        <f t="shared" si="4"/>
        <v>16139.164457413965</v>
      </c>
      <c r="AH30" s="58">
        <f t="shared" si="4"/>
        <v>16574.921897764139</v>
      </c>
      <c r="AI30" s="58">
        <f t="shared" si="4"/>
        <v>11348.289433317186</v>
      </c>
    </row>
    <row r="31" spans="1:35" hidden="1" outlineLevel="1">
      <c r="A31" s="54"/>
      <c r="B31" s="35"/>
      <c r="C31" s="35"/>
      <c r="D31" s="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idden="1" outlineLevel="1">
      <c r="A32" s="51" t="s">
        <v>59</v>
      </c>
      <c r="B32" s="35"/>
      <c r="C32" s="35"/>
      <c r="D32" s="2"/>
      <c r="E32" s="58">
        <v>1589.2173585539088</v>
      </c>
      <c r="F32" s="58">
        <v>4352.3366059596374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idden="1" outlineLevel="1">
      <c r="A33" s="54" t="s">
        <v>102</v>
      </c>
      <c r="B33" s="35"/>
      <c r="C33" s="35"/>
      <c r="D33" s="2"/>
      <c r="E33" s="58">
        <v>1616.1172908689243</v>
      </c>
      <c r="F33" s="58">
        <v>1991.7029492668623</v>
      </c>
      <c r="G33" s="58">
        <v>2045.4789288970674</v>
      </c>
      <c r="H33" s="58">
        <v>2100.7068599772879</v>
      </c>
      <c r="I33" s="58">
        <v>2157.4259451966745</v>
      </c>
      <c r="J33" s="58">
        <v>2215.6764457169847</v>
      </c>
      <c r="K33" s="58">
        <v>2275.4997097513433</v>
      </c>
      <c r="L33" s="58">
        <v>2336.9382019146292</v>
      </c>
      <c r="M33" s="58">
        <v>2400.0355333663238</v>
      </c>
      <c r="N33" s="58">
        <v>2464.8364927672142</v>
      </c>
      <c r="O33" s="58">
        <v>2531.387078071929</v>
      </c>
      <c r="P33" s="58">
        <v>2599.7345291798706</v>
      </c>
      <c r="Q33" s="58">
        <v>2669.9273614677268</v>
      </c>
      <c r="R33" s="58">
        <v>2742.0154002273553</v>
      </c>
      <c r="S33" s="58">
        <v>2816.0498160334937</v>
      </c>
      <c r="T33" s="58">
        <v>2892.0831610663977</v>
      </c>
      <c r="U33" s="58">
        <v>2970.1694064151902</v>
      </c>
      <c r="V33" s="58">
        <v>3050.3639803884003</v>
      </c>
      <c r="W33" s="58">
        <v>3132.7238078588866</v>
      </c>
      <c r="X33" s="58">
        <v>3217.3073506710762</v>
      </c>
      <c r="Y33" s="58">
        <v>3304.174649139195</v>
      </c>
      <c r="Z33" s="58">
        <v>3393.3873646659531</v>
      </c>
      <c r="AA33" s="58">
        <v>3485.0088235119333</v>
      </c>
      <c r="AB33" s="58">
        <v>3579.1040617467552</v>
      </c>
      <c r="AC33" s="58">
        <v>3675.7398714139172</v>
      </c>
      <c r="AD33" s="58">
        <v>3774.9848479420925</v>
      </c>
      <c r="AE33" s="58">
        <v>3876.9094388365288</v>
      </c>
      <c r="AF33" s="58">
        <v>3981.5859936851148</v>
      </c>
      <c r="AG33" s="58">
        <v>4089.0888155146126</v>
      </c>
      <c r="AH33" s="58">
        <v>4199.4942135335068</v>
      </c>
      <c r="AI33" s="58">
        <v>0</v>
      </c>
    </row>
    <row r="34" spans="1:35" hidden="1" outlineLevel="1">
      <c r="A34" s="54" t="s">
        <v>10</v>
      </c>
      <c r="B34" s="35"/>
      <c r="C34" s="35"/>
      <c r="D34" s="2"/>
      <c r="E34" s="60">
        <v>902.67223583333316</v>
      </c>
      <c r="F34" s="60">
        <v>1112.4532634409995</v>
      </c>
      <c r="G34" s="60">
        <v>1142.4895015539064</v>
      </c>
      <c r="H34" s="60">
        <v>1173.3367180958617</v>
      </c>
      <c r="I34" s="60">
        <v>1205.0168094844498</v>
      </c>
      <c r="J34" s="60">
        <v>1237.5522633405299</v>
      </c>
      <c r="K34" s="60">
        <v>1270.9661744507241</v>
      </c>
      <c r="L34" s="60">
        <v>1305.2822611608935</v>
      </c>
      <c r="M34" s="60">
        <v>1340.5248822122376</v>
      </c>
      <c r="N34" s="60">
        <v>1376.719054031968</v>
      </c>
      <c r="O34" s="60">
        <v>1413.8904684908309</v>
      </c>
      <c r="P34" s="60">
        <v>1452.0655111400833</v>
      </c>
      <c r="Q34" s="60">
        <v>1491.2712799408655</v>
      </c>
      <c r="R34" s="60">
        <v>1531.5356044992686</v>
      </c>
      <c r="S34" s="60">
        <v>1572.8870658207488</v>
      </c>
      <c r="T34" s="60">
        <v>1615.3550165979088</v>
      </c>
      <c r="U34" s="60">
        <v>1658.9696020460522</v>
      </c>
      <c r="V34" s="60">
        <v>1703.7617813012955</v>
      </c>
      <c r="W34" s="60">
        <v>1749.7633493964304</v>
      </c>
      <c r="X34" s="60">
        <v>1797.0069598301338</v>
      </c>
      <c r="Y34" s="60">
        <v>1845.5261477455474</v>
      </c>
      <c r="Z34" s="60">
        <v>1895.355353734677</v>
      </c>
      <c r="AA34" s="60">
        <v>1946.5299482855132</v>
      </c>
      <c r="AB34" s="60">
        <v>1999.0862568892219</v>
      </c>
      <c r="AC34" s="60">
        <v>2053.0615858252308</v>
      </c>
      <c r="AD34" s="60">
        <v>2108.494248642512</v>
      </c>
      <c r="AE34" s="60">
        <v>2165.4235933558598</v>
      </c>
      <c r="AF34" s="60">
        <v>2223.8900303764676</v>
      </c>
      <c r="AG34" s="60">
        <v>2283.935061196632</v>
      </c>
      <c r="AH34" s="60">
        <v>2345.6013078489409</v>
      </c>
      <c r="AI34" s="60">
        <v>2408.9325431608622</v>
      </c>
    </row>
    <row r="35" spans="1:35" collapsed="1">
      <c r="A35" s="54" t="s">
        <v>97</v>
      </c>
      <c r="B35" s="35"/>
      <c r="C35" s="35"/>
      <c r="D35" s="2"/>
      <c r="E35" s="58">
        <f>SUM(E32:E34)</f>
        <v>4108.0068852561662</v>
      </c>
      <c r="F35" s="58">
        <f t="shared" ref="F35:AI35" si="5">SUM(F32:F34)</f>
        <v>7456.4928186674997</v>
      </c>
      <c r="G35" s="58">
        <f t="shared" si="5"/>
        <v>3187.9684304509738</v>
      </c>
      <c r="H35" s="58">
        <f t="shared" si="5"/>
        <v>3274.0435780731495</v>
      </c>
      <c r="I35" s="58">
        <f t="shared" si="5"/>
        <v>3362.4427546811244</v>
      </c>
      <c r="J35" s="58">
        <f t="shared" si="5"/>
        <v>3453.2287090575146</v>
      </c>
      <c r="K35" s="58">
        <f t="shared" si="5"/>
        <v>3546.4658842020672</v>
      </c>
      <c r="L35" s="58">
        <f t="shared" si="5"/>
        <v>3642.2204630755227</v>
      </c>
      <c r="M35" s="58">
        <f t="shared" si="5"/>
        <v>3740.5604155785613</v>
      </c>
      <c r="N35" s="58">
        <f t="shared" si="5"/>
        <v>3841.5555467991821</v>
      </c>
      <c r="O35" s="58">
        <f t="shared" si="5"/>
        <v>3945.2775465627601</v>
      </c>
      <c r="P35" s="58">
        <f t="shared" si="5"/>
        <v>4051.800040319954</v>
      </c>
      <c r="Q35" s="58">
        <f t="shared" si="5"/>
        <v>4161.1986414085923</v>
      </c>
      <c r="R35" s="58">
        <f t="shared" si="5"/>
        <v>4273.5510047266234</v>
      </c>
      <c r="S35" s="58">
        <f t="shared" si="5"/>
        <v>4388.9368818542425</v>
      </c>
      <c r="T35" s="58">
        <f t="shared" si="5"/>
        <v>4507.4381776643067</v>
      </c>
      <c r="U35" s="58">
        <f t="shared" si="5"/>
        <v>4629.1390084612422</v>
      </c>
      <c r="V35" s="58">
        <f t="shared" si="5"/>
        <v>4754.1257616896955</v>
      </c>
      <c r="W35" s="58">
        <f t="shared" si="5"/>
        <v>4882.4871572553166</v>
      </c>
      <c r="X35" s="58">
        <f t="shared" si="5"/>
        <v>5014.3143105012095</v>
      </c>
      <c r="Y35" s="58">
        <f t="shared" si="5"/>
        <v>5149.7007968847429</v>
      </c>
      <c r="Z35" s="58">
        <f t="shared" si="5"/>
        <v>5288.7427184006301</v>
      </c>
      <c r="AA35" s="58">
        <f t="shared" si="5"/>
        <v>5431.5387717974463</v>
      </c>
      <c r="AB35" s="58">
        <f t="shared" si="5"/>
        <v>5578.1903186359768</v>
      </c>
      <c r="AC35" s="58">
        <f t="shared" si="5"/>
        <v>5728.8014572391476</v>
      </c>
      <c r="AD35" s="58">
        <f t="shared" si="5"/>
        <v>5883.4790965846041</v>
      </c>
      <c r="AE35" s="58">
        <f t="shared" si="5"/>
        <v>6042.3330321923886</v>
      </c>
      <c r="AF35" s="58">
        <f t="shared" si="5"/>
        <v>6205.4760240615824</v>
      </c>
      <c r="AG35" s="58">
        <f t="shared" si="5"/>
        <v>6373.0238767112442</v>
      </c>
      <c r="AH35" s="58">
        <f t="shared" si="5"/>
        <v>6545.0955213824473</v>
      </c>
      <c r="AI35" s="58">
        <f t="shared" si="5"/>
        <v>2408.9325431608622</v>
      </c>
    </row>
    <row r="36" spans="1:35" hidden="1" outlineLevel="1">
      <c r="A36" s="54"/>
      <c r="B36" s="35"/>
      <c r="C36" s="35"/>
      <c r="D36" s="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collapsed="1">
      <c r="A37" s="54" t="s">
        <v>60</v>
      </c>
      <c r="B37" s="35"/>
      <c r="C37" s="35"/>
      <c r="D37" s="2"/>
      <c r="E37" s="59">
        <v>825.55452277027223</v>
      </c>
      <c r="F37" s="59">
        <v>10122.124003686306</v>
      </c>
      <c r="G37" s="59">
        <v>13152.321879514591</v>
      </c>
      <c r="H37" s="59">
        <v>15669.850396702537</v>
      </c>
      <c r="I37" s="59">
        <v>18015.746128606541</v>
      </c>
      <c r="J37" s="59">
        <v>20259.107988782482</v>
      </c>
      <c r="K37" s="59">
        <v>19243.675925775045</v>
      </c>
      <c r="L37" s="59">
        <v>18674.043305063558</v>
      </c>
      <c r="M37" s="59">
        <v>17658.611242056122</v>
      </c>
      <c r="N37" s="59">
        <v>16643.17917904869</v>
      </c>
      <c r="O37" s="59">
        <v>15404.847394893279</v>
      </c>
      <c r="P37" s="59">
        <v>14389.415331885844</v>
      </c>
      <c r="Q37" s="59">
        <v>13151.083547730437</v>
      </c>
      <c r="R37" s="59">
        <v>12358.551205870972</v>
      </c>
      <c r="S37" s="59">
        <v>11120.219421715565</v>
      </c>
      <c r="T37" s="59">
        <v>9658.9879164121812</v>
      </c>
      <c r="U37" s="59">
        <v>8197.7564111088013</v>
      </c>
      <c r="V37" s="59">
        <v>6513.625184657446</v>
      </c>
      <c r="W37" s="59">
        <v>5052.3936793540634</v>
      </c>
      <c r="X37" s="59">
        <v>3368.2624529027084</v>
      </c>
      <c r="Y37" s="59">
        <v>1907.0309475993263</v>
      </c>
      <c r="Z37" s="59">
        <v>1238.3317841554058</v>
      </c>
      <c r="AA37" s="59">
        <v>1238.3317841554058</v>
      </c>
      <c r="AB37" s="59">
        <v>1238.3317841554058</v>
      </c>
      <c r="AC37" s="59">
        <v>1238.3317841554058</v>
      </c>
      <c r="AD37" s="59">
        <v>1238.3317841554058</v>
      </c>
      <c r="AE37" s="59">
        <v>1238.3317841554058</v>
      </c>
      <c r="AF37" s="59">
        <v>1238.3317841554058</v>
      </c>
      <c r="AG37" s="59">
        <v>1238.3317841554058</v>
      </c>
      <c r="AH37" s="59">
        <v>1238.3317841554058</v>
      </c>
      <c r="AI37" s="59">
        <v>1238.3317841554058</v>
      </c>
    </row>
    <row r="38" spans="1:35">
      <c r="A38" s="49" t="s">
        <v>87</v>
      </c>
      <c r="B38" s="35"/>
      <c r="C38" s="35"/>
      <c r="D38" s="2"/>
      <c r="E38" s="58">
        <f>E17+E22+E30+E35+E37</f>
        <v>28481.90757493299</v>
      </c>
      <c r="F38" s="58">
        <f t="shared" ref="F38:AI38" si="6">F17+F22+F30+F35+F37</f>
        <v>52698.755699919799</v>
      </c>
      <c r="G38" s="58">
        <f t="shared" si="6"/>
        <v>49324.085533114558</v>
      </c>
      <c r="H38" s="58">
        <f t="shared" si="6"/>
        <v>43932.073981789108</v>
      </c>
      <c r="I38" s="58">
        <f t="shared" si="6"/>
        <v>37514.000502908748</v>
      </c>
      <c r="J38" s="58">
        <f t="shared" si="6"/>
        <v>40234.54023119084</v>
      </c>
      <c r="K38" s="58">
        <f t="shared" si="6"/>
        <v>39709.169838728427</v>
      </c>
      <c r="L38" s="58">
        <f t="shared" si="6"/>
        <v>39642.830553666681</v>
      </c>
      <c r="M38" s="58">
        <f t="shared" si="6"/>
        <v>39144.280746371529</v>
      </c>
      <c r="N38" s="58">
        <f t="shared" si="6"/>
        <v>38659.686759980614</v>
      </c>
      <c r="O38" s="58">
        <f t="shared" si="6"/>
        <v>37966.525680510364</v>
      </c>
      <c r="P38" s="58">
        <f t="shared" si="6"/>
        <v>37510.983931214585</v>
      </c>
      <c r="Q38" s="58">
        <f t="shared" si="6"/>
        <v>36847.659499241054</v>
      </c>
      <c r="R38" s="58">
        <f t="shared" si="6"/>
        <v>36645.659708072373</v>
      </c>
      <c r="S38" s="58">
        <f t="shared" si="6"/>
        <v>36013.804853476402</v>
      </c>
      <c r="T38" s="58">
        <f t="shared" si="6"/>
        <v>35175.425154830562</v>
      </c>
      <c r="U38" s="58">
        <f t="shared" si="6"/>
        <v>32528.862454964474</v>
      </c>
      <c r="V38" s="58">
        <f t="shared" si="6"/>
        <v>31501.671091697219</v>
      </c>
      <c r="W38" s="58">
        <f t="shared" si="6"/>
        <v>30715.11682588391</v>
      </c>
      <c r="X38" s="58">
        <f t="shared" si="6"/>
        <v>29723.879124388859</v>
      </c>
      <c r="Y38" s="58">
        <f t="shared" si="6"/>
        <v>28974.249269215601</v>
      </c>
      <c r="Z38" s="58">
        <f t="shared" si="6"/>
        <v>29036.365000455316</v>
      </c>
      <c r="AA38" s="58">
        <f t="shared" si="6"/>
        <v>29786.911897295413</v>
      </c>
      <c r="AB38" s="58">
        <f t="shared" si="6"/>
        <v>30557.723560350187</v>
      </c>
      <c r="AC38" s="58">
        <f t="shared" si="6"/>
        <v>31349.347138307447</v>
      </c>
      <c r="AD38" s="58">
        <f t="shared" si="6"/>
        <v>32162.344552869548</v>
      </c>
      <c r="AE38" s="58">
        <f t="shared" si="6"/>
        <v>32997.292897624829</v>
      </c>
      <c r="AF38" s="58">
        <f t="shared" si="6"/>
        <v>33854.784847688497</v>
      </c>
      <c r="AG38" s="58">
        <f t="shared" si="6"/>
        <v>34735.42908040389</v>
      </c>
      <c r="AH38" s="58">
        <f t="shared" si="6"/>
        <v>35639.850707402598</v>
      </c>
      <c r="AI38" s="58">
        <f t="shared" si="6"/>
        <v>26158.714975179071</v>
      </c>
    </row>
    <row r="39" spans="1:35">
      <c r="A39" s="49"/>
      <c r="B39" s="35"/>
      <c r="C39" s="35"/>
      <c r="D39" s="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>
      <c r="A40" s="49" t="s">
        <v>61</v>
      </c>
      <c r="B40" s="35"/>
      <c r="C40" s="35"/>
      <c r="D40" s="70">
        <f>SUM(E40:AI40)</f>
        <v>9577435.1698413752</v>
      </c>
      <c r="E40" s="66">
        <f t="shared" ref="E40:AI40" si="7">E14-E38</f>
        <v>132812.08187585312</v>
      </c>
      <c r="F40" s="66">
        <f t="shared" si="7"/>
        <v>200752.90590484455</v>
      </c>
      <c r="G40" s="66">
        <f t="shared" si="7"/>
        <v>224477.16451250797</v>
      </c>
      <c r="H40" s="66">
        <f t="shared" si="7"/>
        <v>244237.24566019676</v>
      </c>
      <c r="I40" s="66">
        <f t="shared" si="7"/>
        <v>230983.95077616323</v>
      </c>
      <c r="J40" s="66">
        <f t="shared" si="7"/>
        <v>230537.44562932156</v>
      </c>
      <c r="K40" s="66">
        <f t="shared" si="7"/>
        <v>242994.45341148478</v>
      </c>
      <c r="L40" s="66">
        <f t="shared" si="7"/>
        <v>255237.50617356721</v>
      </c>
      <c r="M40" s="66">
        <f t="shared" si="7"/>
        <v>255483.57425835036</v>
      </c>
      <c r="N40" s="66">
        <f t="shared" si="7"/>
        <v>260702.84969060781</v>
      </c>
      <c r="O40" s="66">
        <f t="shared" si="7"/>
        <v>266109.52690544829</v>
      </c>
      <c r="P40" s="66">
        <f t="shared" si="7"/>
        <v>271253.66730936954</v>
      </c>
      <c r="Q40" s="66">
        <f t="shared" si="7"/>
        <v>276576.72042540612</v>
      </c>
      <c r="R40" s="66">
        <f t="shared" si="7"/>
        <v>281640.01592111221</v>
      </c>
      <c r="S40" s="66">
        <f t="shared" si="7"/>
        <v>287096.52318303642</v>
      </c>
      <c r="T40" s="66">
        <f t="shared" si="7"/>
        <v>292718.31936166651</v>
      </c>
      <c r="U40" s="66">
        <f t="shared" si="7"/>
        <v>300102.2337416329</v>
      </c>
      <c r="V40" s="66">
        <f t="shared" si="7"/>
        <v>305815.63689014065</v>
      </c>
      <c r="W40" s="66">
        <f t="shared" si="7"/>
        <v>318162.32030858111</v>
      </c>
      <c r="X40" s="66">
        <f t="shared" si="7"/>
        <v>331113.5051086836</v>
      </c>
      <c r="Y40" s="66">
        <f t="shared" si="7"/>
        <v>344236.7529517957</v>
      </c>
      <c r="Z40" s="66">
        <f t="shared" si="7"/>
        <v>356976.25780946901</v>
      </c>
      <c r="AA40" s="66">
        <f t="shared" si="7"/>
        <v>369470.1610497908</v>
      </c>
      <c r="AB40" s="66">
        <f t="shared" si="7"/>
        <v>382401.96828550409</v>
      </c>
      <c r="AC40" s="66">
        <f t="shared" si="7"/>
        <v>395787.00146007125</v>
      </c>
      <c r="AD40" s="66">
        <f t="shared" si="7"/>
        <v>409641.11583747936</v>
      </c>
      <c r="AE40" s="66">
        <f t="shared" si="7"/>
        <v>423980.71844061353</v>
      </c>
      <c r="AF40" s="66">
        <f t="shared" si="7"/>
        <v>438822.78712250025</v>
      </c>
      <c r="AG40" s="66">
        <f t="shared" si="7"/>
        <v>454184.89029198803</v>
      </c>
      <c r="AH40" s="66">
        <f t="shared" si="7"/>
        <v>470085.20731617149</v>
      </c>
      <c r="AI40" s="66">
        <f t="shared" si="7"/>
        <v>323040.66222801874</v>
      </c>
    </row>
    <row r="41" spans="1:35">
      <c r="A41" s="49"/>
      <c r="B41" s="35"/>
      <c r="C41" s="35"/>
      <c r="D41" s="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42" s="50" t="s">
        <v>62</v>
      </c>
      <c r="B42" s="35"/>
      <c r="C42" s="35"/>
      <c r="D42" s="2"/>
      <c r="E42" s="58">
        <v>10044.130530996825</v>
      </c>
      <c r="F42" s="58">
        <v>22840.85408648743</v>
      </c>
      <c r="G42" s="58">
        <v>29659.701280077086</v>
      </c>
      <c r="H42" s="58">
        <v>30685.133454188755</v>
      </c>
      <c r="I42" s="58">
        <v>23312.45932648598</v>
      </c>
      <c r="J42" s="58">
        <v>24459.466708908578</v>
      </c>
      <c r="K42" s="58">
        <v>25855.100655432845</v>
      </c>
      <c r="L42" s="58">
        <v>28228.933495020341</v>
      </c>
      <c r="M42" s="58">
        <v>19872.540810802195</v>
      </c>
      <c r="N42" s="58">
        <v>21033.388144332261</v>
      </c>
      <c r="O42" s="58">
        <v>22395.343925140383</v>
      </c>
      <c r="P42" s="58">
        <v>23936.138073600923</v>
      </c>
      <c r="Q42" s="58">
        <v>21526.926282748504</v>
      </c>
      <c r="R42" s="58">
        <v>22382.004411484246</v>
      </c>
      <c r="S42" s="58">
        <v>23280.219659380866</v>
      </c>
      <c r="T42" s="58">
        <v>888.67844165793281</v>
      </c>
      <c r="U42" s="58">
        <v>1.3360730509725921E-2</v>
      </c>
      <c r="V42" s="58">
        <v>11393.356478307662</v>
      </c>
      <c r="W42" s="58">
        <v>11700.977103221967</v>
      </c>
      <c r="X42" s="58">
        <v>12016.903485008959</v>
      </c>
      <c r="Y42" s="58">
        <v>12341.3598791042</v>
      </c>
      <c r="Z42" s="58">
        <v>12674.576595840012</v>
      </c>
      <c r="AA42" s="58">
        <v>13016.79016392769</v>
      </c>
      <c r="AB42" s="58">
        <v>13368.243498353737</v>
      </c>
      <c r="AC42" s="58">
        <v>13729.186072809285</v>
      </c>
      <c r="AD42" s="58">
        <v>14099.874096775136</v>
      </c>
      <c r="AE42" s="58">
        <v>14480.570697388062</v>
      </c>
      <c r="AF42" s="58">
        <v>14871.546106217538</v>
      </c>
      <c r="AG42" s="58">
        <v>15273.077851085412</v>
      </c>
      <c r="AH42" s="58">
        <v>15685.450953064716</v>
      </c>
      <c r="AI42" s="58">
        <v>10739.298707132422</v>
      </c>
    </row>
    <row r="43" spans="1:35">
      <c r="A43" s="49" t="s">
        <v>4</v>
      </c>
      <c r="B43" s="35"/>
      <c r="C43" s="35"/>
      <c r="D43" s="2"/>
      <c r="E43" s="58">
        <v>26334.368504424616</v>
      </c>
      <c r="F43" s="58">
        <v>46730.366008522004</v>
      </c>
      <c r="G43" s="58">
        <v>46730.366008522004</v>
      </c>
      <c r="H43" s="58">
        <v>46730.366008522004</v>
      </c>
      <c r="I43" s="58">
        <v>46730.366008522004</v>
      </c>
      <c r="J43" s="58">
        <v>46730.366008522004</v>
      </c>
      <c r="K43" s="58">
        <v>46730.366008522004</v>
      </c>
      <c r="L43" s="58">
        <v>46730.366008522004</v>
      </c>
      <c r="M43" s="58">
        <v>46730.366008522004</v>
      </c>
      <c r="N43" s="58">
        <v>46730.366008522004</v>
      </c>
      <c r="O43" s="58">
        <v>46730.366008522004</v>
      </c>
      <c r="P43" s="58">
        <v>46730.366008522004</v>
      </c>
      <c r="Q43" s="58">
        <v>46730.366008522004</v>
      </c>
      <c r="R43" s="58">
        <v>46730.366008522004</v>
      </c>
      <c r="S43" s="58">
        <v>46730.366008522004</v>
      </c>
      <c r="T43" s="58">
        <v>46730.366008522004</v>
      </c>
      <c r="U43" s="58">
        <v>46730.366008522004</v>
      </c>
      <c r="V43" s="58">
        <v>46730.366008522004</v>
      </c>
      <c r="W43" s="58">
        <v>46201.787252248978</v>
      </c>
      <c r="X43" s="58">
        <v>45144.63172187077</v>
      </c>
      <c r="Y43" s="58">
        <v>45144.63172187077</v>
      </c>
      <c r="Z43" s="58">
        <v>45144.63172187077</v>
      </c>
      <c r="AA43" s="58">
        <v>45144.63172187077</v>
      </c>
      <c r="AB43" s="58">
        <v>45144.63172187077</v>
      </c>
      <c r="AC43" s="58">
        <v>45144.63172187077</v>
      </c>
      <c r="AD43" s="58">
        <v>45144.63172187077</v>
      </c>
      <c r="AE43" s="58">
        <v>45144.63172187077</v>
      </c>
      <c r="AF43" s="58">
        <v>45144.63172187077</v>
      </c>
      <c r="AG43" s="58">
        <v>45144.63172187077</v>
      </c>
      <c r="AH43" s="58">
        <v>45144.63172187077</v>
      </c>
      <c r="AI43" s="58">
        <v>18810.263217446918</v>
      </c>
    </row>
    <row r="44" spans="1:35">
      <c r="A44" s="49" t="s">
        <v>5</v>
      </c>
      <c r="B44" s="35"/>
      <c r="C44" s="35"/>
      <c r="D44" s="2"/>
      <c r="E44" s="58">
        <v>31230.062500000004</v>
      </c>
      <c r="F44" s="58">
        <v>53973.324327798888</v>
      </c>
      <c r="G44" s="58">
        <v>53700.06906412197</v>
      </c>
      <c r="H44" s="58">
        <v>51932.340922988093</v>
      </c>
      <c r="I44" s="58">
        <v>50765.771909623545</v>
      </c>
      <c r="J44" s="58">
        <v>48638.909987655992</v>
      </c>
      <c r="K44" s="58">
        <v>46355.723714423839</v>
      </c>
      <c r="L44" s="58">
        <v>43904.723250109113</v>
      </c>
      <c r="M44" s="58">
        <v>41273.574251667254</v>
      </c>
      <c r="N44" s="58">
        <v>38449.03580183992</v>
      </c>
      <c r="O44" s="58">
        <v>35416.893775950273</v>
      </c>
      <c r="P44" s="58">
        <v>32161.889311157738</v>
      </c>
      <c r="Q44" s="58">
        <v>28667.642018202954</v>
      </c>
      <c r="R44" s="58">
        <v>24916.567549215993</v>
      </c>
      <c r="S44" s="58">
        <v>20889.789106758493</v>
      </c>
      <c r="T44" s="58">
        <v>16567.042448780361</v>
      </c>
      <c r="U44" s="58">
        <v>11926.573911440841</v>
      </c>
      <c r="V44" s="58">
        <v>6945.0309366068623</v>
      </c>
      <c r="W44" s="58">
        <v>1597.3445531225836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1:35">
      <c r="A45" s="49"/>
      <c r="B45" s="35"/>
      <c r="C45" s="35"/>
      <c r="D45" s="2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>
      <c r="A46" s="49" t="s">
        <v>103</v>
      </c>
      <c r="B46" s="35"/>
      <c r="C46" s="35"/>
      <c r="D46" s="2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1" t="s">
        <v>63</v>
      </c>
      <c r="B47" s="35"/>
      <c r="C47" s="35"/>
      <c r="D47" s="2"/>
      <c r="E47" s="58">
        <v>5216.2815068710024</v>
      </c>
      <c r="F47" s="58">
        <v>1966.6611427081184</v>
      </c>
      <c r="G47" s="58">
        <v>3928.1958463662677</v>
      </c>
      <c r="H47" s="58">
        <v>6110.1215962055958</v>
      </c>
      <c r="I47" s="58">
        <v>6235.7280756230512</v>
      </c>
      <c r="J47" s="58">
        <v>6742.1216840863699</v>
      </c>
      <c r="K47" s="58">
        <v>8239.8245438420454</v>
      </c>
      <c r="L47" s="58">
        <v>9621.992619831728</v>
      </c>
      <c r="M47" s="58">
        <v>10585.689670906677</v>
      </c>
      <c r="N47" s="58">
        <v>11137.410465952376</v>
      </c>
      <c r="O47" s="58">
        <v>11702.476071584813</v>
      </c>
      <c r="P47" s="58">
        <v>12252.227600366399</v>
      </c>
      <c r="Q47" s="58">
        <v>13149.265105192579</v>
      </c>
      <c r="R47" s="58">
        <v>13787.091923230486</v>
      </c>
      <c r="S47" s="58">
        <v>14472.814088587971</v>
      </c>
      <c r="T47" s="58">
        <v>17060.784284095789</v>
      </c>
      <c r="U47" s="58">
        <v>18092.744652793128</v>
      </c>
      <c r="V47" s="58">
        <v>18037.956364415615</v>
      </c>
      <c r="W47" s="58">
        <v>19470.099127916968</v>
      </c>
      <c r="X47" s="58">
        <v>20694.363279223599</v>
      </c>
      <c r="Y47" s="58">
        <v>24134.407284899469</v>
      </c>
      <c r="Z47" s="58">
        <v>27544.134497090323</v>
      </c>
      <c r="AA47" s="58">
        <v>28516.269670869049</v>
      </c>
      <c r="AB47" s="58">
        <v>29522.697982972026</v>
      </c>
      <c r="AC47" s="58">
        <v>30564.625230980957</v>
      </c>
      <c r="AD47" s="58">
        <v>31643.29933925634</v>
      </c>
      <c r="AE47" s="58">
        <v>32760.011819458035</v>
      </c>
      <c r="AF47" s="58">
        <v>33916.099281302617</v>
      </c>
      <c r="AG47" s="58">
        <v>35112.944995272213</v>
      </c>
      <c r="AH47" s="58">
        <v>36351.980509048546</v>
      </c>
      <c r="AI47" s="58">
        <v>24984.109081670911</v>
      </c>
    </row>
    <row r="48" spans="1:35">
      <c r="A48" s="51" t="s">
        <v>104</v>
      </c>
      <c r="B48" s="35"/>
      <c r="C48" s="35"/>
      <c r="D48" s="2"/>
      <c r="E48" s="63">
        <v>20995.533065155782</v>
      </c>
      <c r="F48" s="63">
        <v>26334.595118764839</v>
      </c>
      <c r="G48" s="63">
        <v>31660.591309697218</v>
      </c>
      <c r="H48" s="63">
        <v>38072.749287402294</v>
      </c>
      <c r="I48" s="63">
        <v>36378.868909568017</v>
      </c>
      <c r="J48" s="63">
        <v>36388.30343405201</v>
      </c>
      <c r="K48" s="63">
        <v>40534.703471242414</v>
      </c>
      <c r="L48" s="63">
        <v>44363.021780029398</v>
      </c>
      <c r="M48" s="63">
        <v>47957.491230758278</v>
      </c>
      <c r="N48" s="63">
        <v>50173.427244486418</v>
      </c>
      <c r="O48" s="63">
        <v>52452.556493487769</v>
      </c>
      <c r="P48" s="63">
        <v>54660.56621050286</v>
      </c>
      <c r="Q48" s="63">
        <v>58275.882353759021</v>
      </c>
      <c r="R48" s="63">
        <v>60838.395110030811</v>
      </c>
      <c r="S48" s="63">
        <v>63603.167011925478</v>
      </c>
      <c r="T48" s="63">
        <v>74015.006862513634</v>
      </c>
      <c r="U48" s="63">
        <v>78173.387532851237</v>
      </c>
      <c r="V48" s="63">
        <v>77948.12448580096</v>
      </c>
      <c r="W48" s="63">
        <v>83717.239295224703</v>
      </c>
      <c r="X48" s="63">
        <v>88640.162317903101</v>
      </c>
      <c r="Y48" s="63">
        <v>91915.723923072437</v>
      </c>
      <c r="Z48" s="63">
        <v>95064.520248133762</v>
      </c>
      <c r="AA48" s="63">
        <v>98977.364322593145</v>
      </c>
      <c r="AB48" s="63">
        <v>103028.23827880762</v>
      </c>
      <c r="AC48" s="63">
        <v>107221.99545204356</v>
      </c>
      <c r="AD48" s="63">
        <v>111563.65873785196</v>
      </c>
      <c r="AE48" s="63">
        <v>116058.42647066382</v>
      </c>
      <c r="AF48" s="63">
        <v>120711.67850458827</v>
      </c>
      <c r="AG48" s="63">
        <v>125528.98250331586</v>
      </c>
      <c r="AH48" s="63">
        <v>130516.10044626561</v>
      </c>
      <c r="AI48" s="63">
        <v>93977.446927618992</v>
      </c>
    </row>
    <row r="49" spans="1:35" ht="13.5" thickBot="1">
      <c r="A49" s="49" t="s">
        <v>6</v>
      </c>
      <c r="B49" s="35"/>
      <c r="C49" s="35"/>
      <c r="D49" s="70">
        <f>SUM(E49:AI49)</f>
        <v>4196674.6884218939</v>
      </c>
      <c r="E49" s="65">
        <f>E40-SUM(E42:E48)</f>
        <v>38991.705768404907</v>
      </c>
      <c r="F49" s="65">
        <f t="shared" ref="F49:AI49" si="8">F40-SUM(F42:F48)</f>
        <v>48907.105220563273</v>
      </c>
      <c r="G49" s="65">
        <f t="shared" si="8"/>
        <v>58798.241003723408</v>
      </c>
      <c r="H49" s="65">
        <f t="shared" si="8"/>
        <v>70706.53439089004</v>
      </c>
      <c r="I49" s="65">
        <f t="shared" si="8"/>
        <v>67560.756546340621</v>
      </c>
      <c r="J49" s="65">
        <f t="shared" si="8"/>
        <v>67578.277806096623</v>
      </c>
      <c r="K49" s="65">
        <f t="shared" si="8"/>
        <v>75278.735018021631</v>
      </c>
      <c r="L49" s="65">
        <f t="shared" si="8"/>
        <v>82388.469020054617</v>
      </c>
      <c r="M49" s="65">
        <f t="shared" si="8"/>
        <v>89063.91228569395</v>
      </c>
      <c r="N49" s="65">
        <f t="shared" si="8"/>
        <v>93179.222025474824</v>
      </c>
      <c r="O49" s="65">
        <f t="shared" si="8"/>
        <v>97411.890630763053</v>
      </c>
      <c r="P49" s="65">
        <f t="shared" si="8"/>
        <v>101512.48010521961</v>
      </c>
      <c r="Q49" s="65">
        <f t="shared" si="8"/>
        <v>108226.63865698106</v>
      </c>
      <c r="R49" s="65">
        <f t="shared" si="8"/>
        <v>112985.59091862867</v>
      </c>
      <c r="S49" s="65">
        <f t="shared" si="8"/>
        <v>118120.16730786161</v>
      </c>
      <c r="T49" s="65">
        <f t="shared" si="8"/>
        <v>137456.44131609678</v>
      </c>
      <c r="U49" s="65">
        <f t="shared" si="8"/>
        <v>145179.14827529516</v>
      </c>
      <c r="V49" s="65">
        <f t="shared" si="8"/>
        <v>144760.80261648755</v>
      </c>
      <c r="W49" s="65">
        <f t="shared" si="8"/>
        <v>155474.87297684592</v>
      </c>
      <c r="X49" s="65">
        <f t="shared" si="8"/>
        <v>164617.44430467719</v>
      </c>
      <c r="Y49" s="65">
        <f t="shared" si="8"/>
        <v>170700.63014284882</v>
      </c>
      <c r="Z49" s="65">
        <f t="shared" si="8"/>
        <v>176548.39474653412</v>
      </c>
      <c r="AA49" s="65">
        <f t="shared" si="8"/>
        <v>183815.10517053015</v>
      </c>
      <c r="AB49" s="65">
        <f t="shared" si="8"/>
        <v>191338.15680349994</v>
      </c>
      <c r="AC49" s="65">
        <f t="shared" si="8"/>
        <v>199126.56298236665</v>
      </c>
      <c r="AD49" s="65">
        <f t="shared" si="8"/>
        <v>207189.65194172517</v>
      </c>
      <c r="AE49" s="65">
        <f t="shared" si="8"/>
        <v>215537.07773123286</v>
      </c>
      <c r="AF49" s="65">
        <f t="shared" si="8"/>
        <v>224178.83150852105</v>
      </c>
      <c r="AG49" s="65">
        <f t="shared" si="8"/>
        <v>233125.25322044379</v>
      </c>
      <c r="AH49" s="65">
        <f t="shared" si="8"/>
        <v>242387.04368592185</v>
      </c>
      <c r="AI49" s="65">
        <f t="shared" si="8"/>
        <v>174529.5442941495</v>
      </c>
    </row>
    <row r="50" spans="1:35" ht="13.5" thickTop="1"/>
    <row r="53" spans="1:35">
      <c r="A53" s="50"/>
      <c r="B53" s="35"/>
      <c r="C53" s="35"/>
      <c r="D53" s="2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5" spans="1:35">
      <c r="A55" s="50"/>
      <c r="B55" s="35"/>
      <c r="C55" s="35"/>
      <c r="D55" s="2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</sheetData>
  <phoneticPr fontId="0" type="noConversion"/>
  <printOptions horizontalCentered="1"/>
  <pageMargins left="0.5" right="0.5" top="1" bottom="0.5" header="0.25" footer="0.25"/>
  <pageSetup fitToWidth="2" orientation="landscape" r:id="rId1"/>
  <headerFooter alignWithMargins="0">
    <oddHeader>&amp;C&amp;"Times New Roman,Bold"Panda Gila River, LP
Pro forma Income Statement</oddHeader>
    <oddFooter>&amp;R&amp;7&amp;D
&amp;F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X21"/>
  <sheetViews>
    <sheetView workbookViewId="0">
      <selection activeCell="A2" sqref="A2"/>
    </sheetView>
  </sheetViews>
  <sheetFormatPr defaultRowHeight="9" outlineLevelCol="1"/>
  <cols>
    <col min="1" max="1" width="45.33203125" style="35" bestFit="1" customWidth="1"/>
    <col min="2" max="2" width="2" style="35" customWidth="1"/>
    <col min="3" max="8" width="12.5" style="35" customWidth="1"/>
    <col min="9" max="22" width="12.5" style="35" hidden="1" customWidth="1" outlineLevel="1"/>
    <col min="23" max="33" width="11.5" style="35" hidden="1" customWidth="1" outlineLevel="1"/>
    <col min="34" max="43" width="0" style="35" hidden="1" customWidth="1" outlineLevel="1"/>
    <col min="44" max="44" width="9.33203125" style="35" collapsed="1"/>
    <col min="45" max="16384" width="9.33203125" style="35"/>
  </cols>
  <sheetData>
    <row r="2" spans="1:76" ht="11.25">
      <c r="C2" s="36">
        <v>37986</v>
      </c>
      <c r="D2" s="36">
        <v>38352</v>
      </c>
      <c r="E2" s="36">
        <v>38717</v>
      </c>
      <c r="F2" s="36">
        <v>39082</v>
      </c>
      <c r="G2" s="36">
        <v>39447</v>
      </c>
      <c r="H2" s="36">
        <v>39813</v>
      </c>
      <c r="I2" s="36">
        <v>40178</v>
      </c>
      <c r="J2" s="36">
        <v>40543</v>
      </c>
      <c r="K2" s="36">
        <v>40908</v>
      </c>
      <c r="L2" s="36">
        <v>41274</v>
      </c>
      <c r="M2" s="36">
        <v>41639</v>
      </c>
      <c r="N2" s="36">
        <v>42004</v>
      </c>
      <c r="O2" s="36">
        <v>42369</v>
      </c>
      <c r="P2" s="36">
        <v>42735</v>
      </c>
      <c r="Q2" s="36">
        <v>43100</v>
      </c>
      <c r="R2" s="36">
        <v>43465</v>
      </c>
      <c r="S2" s="36">
        <v>43830</v>
      </c>
      <c r="T2" s="36">
        <v>44196</v>
      </c>
      <c r="U2" s="36">
        <v>44561</v>
      </c>
      <c r="V2" s="36">
        <v>44926</v>
      </c>
      <c r="W2" s="36">
        <f>V2+365</f>
        <v>45291</v>
      </c>
      <c r="X2" s="36">
        <f t="shared" ref="X2:AG2" si="0">W2+365</f>
        <v>45656</v>
      </c>
      <c r="Y2" s="36">
        <f t="shared" si="0"/>
        <v>46021</v>
      </c>
      <c r="Z2" s="36">
        <f t="shared" si="0"/>
        <v>46386</v>
      </c>
      <c r="AA2" s="36">
        <f t="shared" si="0"/>
        <v>46751</v>
      </c>
      <c r="AB2" s="36">
        <f t="shared" si="0"/>
        <v>47116</v>
      </c>
      <c r="AC2" s="36">
        <f t="shared" si="0"/>
        <v>47481</v>
      </c>
      <c r="AD2" s="36">
        <f t="shared" si="0"/>
        <v>47846</v>
      </c>
      <c r="AE2" s="36">
        <f t="shared" si="0"/>
        <v>48211</v>
      </c>
      <c r="AF2" s="36">
        <f t="shared" si="0"/>
        <v>48576</v>
      </c>
      <c r="AG2" s="36">
        <f t="shared" si="0"/>
        <v>48941</v>
      </c>
    </row>
    <row r="3" spans="1:76">
      <c r="A3" s="35" t="s">
        <v>93</v>
      </c>
      <c r="C3" s="68">
        <f>'Income Statement'!E40</f>
        <v>132812.08187585312</v>
      </c>
      <c r="D3" s="68">
        <f>'Income Statement'!F40</f>
        <v>200752.90590484455</v>
      </c>
      <c r="E3" s="68">
        <f>'Income Statement'!G40</f>
        <v>224477.16451250797</v>
      </c>
      <c r="F3" s="68">
        <f>'Income Statement'!H40</f>
        <v>244237.24566019676</v>
      </c>
      <c r="G3" s="68">
        <f>'Income Statement'!I40</f>
        <v>230983.95077616323</v>
      </c>
      <c r="H3" s="68">
        <f>'Income Statement'!J40</f>
        <v>230537.44562932156</v>
      </c>
      <c r="I3" s="68">
        <f>'Income Statement'!K40</f>
        <v>242994.45341148478</v>
      </c>
      <c r="J3" s="68">
        <f>'Income Statement'!L40</f>
        <v>255237.50617356721</v>
      </c>
      <c r="K3" s="68">
        <f>'Income Statement'!M40</f>
        <v>255483.57425835036</v>
      </c>
      <c r="L3" s="68">
        <f>'Income Statement'!N40</f>
        <v>260702.84969060781</v>
      </c>
      <c r="M3" s="68">
        <f>'Income Statement'!O40</f>
        <v>266109.52690544829</v>
      </c>
      <c r="N3" s="68">
        <f>'Income Statement'!P40</f>
        <v>271253.66730936954</v>
      </c>
      <c r="O3" s="68">
        <f>'Income Statement'!Q40</f>
        <v>276576.72042540612</v>
      </c>
      <c r="P3" s="68">
        <f>'Income Statement'!R40</f>
        <v>281640.01592111221</v>
      </c>
      <c r="Q3" s="68">
        <f>'Income Statement'!S40</f>
        <v>287096.52318303642</v>
      </c>
      <c r="R3" s="68">
        <f>'Income Statement'!T40</f>
        <v>292718.31936166651</v>
      </c>
      <c r="S3" s="68">
        <f>'Income Statement'!U40</f>
        <v>300102.2337416329</v>
      </c>
      <c r="T3" s="68">
        <f>'Income Statement'!V40</f>
        <v>305815.63689014065</v>
      </c>
      <c r="U3" s="68">
        <f>'Income Statement'!W40</f>
        <v>318162.32030858111</v>
      </c>
      <c r="V3" s="68">
        <f>'Income Statement'!X40</f>
        <v>331113.5051086836</v>
      </c>
      <c r="W3" s="68">
        <f>'Income Statement'!Y40</f>
        <v>344236.7529517957</v>
      </c>
      <c r="X3" s="68">
        <f>'Income Statement'!Z40</f>
        <v>356976.25780946901</v>
      </c>
      <c r="Y3" s="68">
        <f>'Income Statement'!AA40</f>
        <v>369470.1610497908</v>
      </c>
      <c r="Z3" s="68">
        <f>'Income Statement'!AB40</f>
        <v>382401.96828550409</v>
      </c>
      <c r="AA3" s="68">
        <f>'Income Statement'!AC40</f>
        <v>395787.00146007125</v>
      </c>
      <c r="AB3" s="68">
        <f>'Income Statement'!AD40</f>
        <v>409641.11583747936</v>
      </c>
      <c r="AC3" s="68">
        <f>'Income Statement'!AE40</f>
        <v>423980.71844061353</v>
      </c>
      <c r="AD3" s="68">
        <f>'Income Statement'!AF40</f>
        <v>438822.78712250025</v>
      </c>
      <c r="AE3" s="68">
        <f>'Income Statement'!AG40</f>
        <v>454184.89029198803</v>
      </c>
      <c r="AF3" s="68">
        <f>'Income Statement'!AH40</f>
        <v>470085.20731617149</v>
      </c>
      <c r="AG3" s="68">
        <f>'Income Statement'!AI40</f>
        <v>323040.66222801874</v>
      </c>
      <c r="AH3" s="70">
        <f>SUM(C3:AG3)</f>
        <v>9577435.1698413752</v>
      </c>
    </row>
    <row r="4" spans="1:76" ht="11.25">
      <c r="A4" s="37" t="s">
        <v>88</v>
      </c>
      <c r="C4" s="67">
        <v>-10044.130530996825</v>
      </c>
      <c r="D4" s="67">
        <v>-22840.85408648743</v>
      </c>
      <c r="E4" s="67">
        <v>-29659.701280077086</v>
      </c>
      <c r="F4" s="67">
        <v>-30685.133454188755</v>
      </c>
      <c r="G4" s="67">
        <v>-23312.45932648598</v>
      </c>
      <c r="H4" s="67">
        <v>-24459.466708908578</v>
      </c>
      <c r="I4" s="67">
        <v>-25855.100655432845</v>
      </c>
      <c r="J4" s="67">
        <v>-28228.933495020341</v>
      </c>
      <c r="K4" s="67">
        <v>-19872.540810802195</v>
      </c>
      <c r="L4" s="67">
        <v>-21033.388144332261</v>
      </c>
      <c r="M4" s="67">
        <v>-22395.343925140383</v>
      </c>
      <c r="N4" s="67">
        <v>-23936.138073600923</v>
      </c>
      <c r="O4" s="67">
        <v>-21526.926282748504</v>
      </c>
      <c r="P4" s="67">
        <v>-22382.004411484246</v>
      </c>
      <c r="Q4" s="67">
        <v>-23280.219659380866</v>
      </c>
      <c r="R4" s="67">
        <v>-888.67844165793281</v>
      </c>
      <c r="S4" s="67">
        <v>-1.3360730509725921E-2</v>
      </c>
      <c r="T4" s="67">
        <v>-11393.356478307662</v>
      </c>
      <c r="U4" s="67">
        <v>-11700.977103221967</v>
      </c>
      <c r="V4" s="67">
        <v>-12016.903485008959</v>
      </c>
      <c r="W4" s="67">
        <v>-12341.3598791042</v>
      </c>
      <c r="X4" s="67">
        <v>-12674.576595840012</v>
      </c>
      <c r="Y4" s="67">
        <v>-13016.79016392769</v>
      </c>
      <c r="Z4" s="67">
        <v>-13368.243498353737</v>
      </c>
      <c r="AA4" s="67">
        <v>-13729.186072809285</v>
      </c>
      <c r="AB4" s="67">
        <v>-14099.874096775136</v>
      </c>
      <c r="AC4" s="67">
        <v>-14480.570697388062</v>
      </c>
      <c r="AD4" s="67">
        <v>-14871.546106217538</v>
      </c>
      <c r="AE4" s="67">
        <v>-15273.077851085412</v>
      </c>
      <c r="AF4" s="67">
        <v>-15685.450953064716</v>
      </c>
      <c r="AG4" s="67">
        <v>-10739.298707132422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pans="1:76">
      <c r="A5" s="35" t="s">
        <v>33</v>
      </c>
      <c r="C5" s="58">
        <f>+C3+C4</f>
        <v>122767.95134485629</v>
      </c>
      <c r="D5" s="58">
        <f t="shared" ref="D5:V5" si="1">+D3+D4</f>
        <v>177912.05181835711</v>
      </c>
      <c r="E5" s="58">
        <f t="shared" si="1"/>
        <v>194817.46323243089</v>
      </c>
      <c r="F5" s="58">
        <f t="shared" si="1"/>
        <v>213552.11220600799</v>
      </c>
      <c r="G5" s="58">
        <f t="shared" si="1"/>
        <v>207671.49144967724</v>
      </c>
      <c r="H5" s="58">
        <f t="shared" si="1"/>
        <v>206077.97892041298</v>
      </c>
      <c r="I5" s="58">
        <f t="shared" si="1"/>
        <v>217139.35275605193</v>
      </c>
      <c r="J5" s="58">
        <f t="shared" si="1"/>
        <v>227008.57267854686</v>
      </c>
      <c r="K5" s="58">
        <f t="shared" si="1"/>
        <v>235611.03344754816</v>
      </c>
      <c r="L5" s="58">
        <f t="shared" si="1"/>
        <v>239669.46154627553</v>
      </c>
      <c r="M5" s="58">
        <f t="shared" si="1"/>
        <v>243714.1829803079</v>
      </c>
      <c r="N5" s="58">
        <f t="shared" si="1"/>
        <v>247317.52923576863</v>
      </c>
      <c r="O5" s="58">
        <f t="shared" si="1"/>
        <v>255049.79414265763</v>
      </c>
      <c r="P5" s="58">
        <f t="shared" si="1"/>
        <v>259258.01150962798</v>
      </c>
      <c r="Q5" s="58">
        <f t="shared" si="1"/>
        <v>263816.30352365557</v>
      </c>
      <c r="R5" s="58">
        <f t="shared" si="1"/>
        <v>291829.64092000859</v>
      </c>
      <c r="S5" s="58">
        <f t="shared" si="1"/>
        <v>300102.22038090241</v>
      </c>
      <c r="T5" s="58">
        <f t="shared" si="1"/>
        <v>294422.28041183297</v>
      </c>
      <c r="U5" s="58">
        <f t="shared" si="1"/>
        <v>306461.34320535912</v>
      </c>
      <c r="V5" s="58">
        <f t="shared" si="1"/>
        <v>319096.60162367462</v>
      </c>
      <c r="W5" s="58">
        <f t="shared" ref="W5:AG5" si="2">+W3+W4</f>
        <v>331895.39307269151</v>
      </c>
      <c r="X5" s="58">
        <f t="shared" si="2"/>
        <v>344301.68121362902</v>
      </c>
      <c r="Y5" s="58">
        <f t="shared" si="2"/>
        <v>356453.37088586309</v>
      </c>
      <c r="Z5" s="58">
        <f t="shared" si="2"/>
        <v>369033.72478715034</v>
      </c>
      <c r="AA5" s="58">
        <f t="shared" si="2"/>
        <v>382057.81538726197</v>
      </c>
      <c r="AB5" s="58">
        <f t="shared" si="2"/>
        <v>395541.24174070422</v>
      </c>
      <c r="AC5" s="58">
        <f t="shared" si="2"/>
        <v>409500.14774322545</v>
      </c>
      <c r="AD5" s="58">
        <f t="shared" si="2"/>
        <v>423951.2410162827</v>
      </c>
      <c r="AE5" s="58">
        <f t="shared" si="2"/>
        <v>438911.81244090263</v>
      </c>
      <c r="AF5" s="58">
        <f t="shared" si="2"/>
        <v>454399.75636310678</v>
      </c>
      <c r="AG5" s="58">
        <f t="shared" si="2"/>
        <v>312301.36352088634</v>
      </c>
    </row>
    <row r="6" spans="1:76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76">
      <c r="A7" s="35" t="s">
        <v>0</v>
      </c>
      <c r="C7" s="63">
        <v>-31230.062500000004</v>
      </c>
      <c r="D7" s="63">
        <v>-53973.324327798888</v>
      </c>
      <c r="E7" s="63">
        <v>-53700.06906412197</v>
      </c>
      <c r="F7" s="63">
        <v>-51932.340922988093</v>
      </c>
      <c r="G7" s="63">
        <v>-50765.771909623545</v>
      </c>
      <c r="H7" s="63">
        <v>-48638.909987655992</v>
      </c>
      <c r="I7" s="63">
        <v>-46355.723714423839</v>
      </c>
      <c r="J7" s="63">
        <v>-43904.723250109113</v>
      </c>
      <c r="K7" s="63">
        <v>-41273.574251667254</v>
      </c>
      <c r="L7" s="63">
        <v>-38449.03580183992</v>
      </c>
      <c r="M7" s="63">
        <v>-35416.893775950273</v>
      </c>
      <c r="N7" s="63">
        <v>-32161.889311157738</v>
      </c>
      <c r="O7" s="63">
        <v>-28667.642018202954</v>
      </c>
      <c r="P7" s="63">
        <v>-24916.567549215993</v>
      </c>
      <c r="Q7" s="63">
        <v>-20889.789106758493</v>
      </c>
      <c r="R7" s="63">
        <v>-16567.042448780361</v>
      </c>
      <c r="S7" s="63">
        <v>-11926.573911440841</v>
      </c>
      <c r="T7" s="63">
        <v>-6945.0309366068623</v>
      </c>
      <c r="U7" s="63">
        <v>-1597.3445531225836</v>
      </c>
      <c r="V7" s="63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</row>
    <row r="8" spans="1:76">
      <c r="A8" s="35" t="s">
        <v>1</v>
      </c>
      <c r="C8" s="63">
        <v>-5024.583685399879</v>
      </c>
      <c r="D8" s="63">
        <v>-21038.72346862534</v>
      </c>
      <c r="E8" s="63">
        <v>-22628.215317744725</v>
      </c>
      <c r="F8" s="63">
        <v>-24337.794506867624</v>
      </c>
      <c r="G8" s="63">
        <v>-27985.025289046665</v>
      </c>
      <c r="H8" s="63">
        <v>-30041.924647791588</v>
      </c>
      <c r="I8" s="63">
        <v>-32250.00610940429</v>
      </c>
      <c r="J8" s="63">
        <v>-34620.381558445486</v>
      </c>
      <c r="K8" s="63">
        <v>-37164.979602991254</v>
      </c>
      <c r="L8" s="63">
        <v>-39896.605603811113</v>
      </c>
      <c r="M8" s="63">
        <v>-42829.006115691242</v>
      </c>
      <c r="N8" s="63">
        <v>-45976.938065194525</v>
      </c>
      <c r="O8" s="63">
        <v>-49356.243012986342</v>
      </c>
      <c r="P8" s="63">
        <v>-52983.926874440825</v>
      </c>
      <c r="Q8" s="63">
        <v>-56878.245499712226</v>
      </c>
      <c r="R8" s="63">
        <v>-61058.796543941091</v>
      </c>
      <c r="S8" s="63">
        <v>-65546.618089920768</v>
      </c>
      <c r="T8" s="63">
        <v>-70364.294519529984</v>
      </c>
      <c r="U8" s="63">
        <v>-21017.69148845505</v>
      </c>
      <c r="V8" s="63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1:76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76">
      <c r="A10" s="35" t="s">
        <v>12</v>
      </c>
      <c r="C10" s="63">
        <v>-26211.814572026786</v>
      </c>
      <c r="D10" s="63">
        <v>-28301.256261472958</v>
      </c>
      <c r="E10" s="63">
        <v>-35588.787156063489</v>
      </c>
      <c r="F10" s="63">
        <v>-44182.870883607888</v>
      </c>
      <c r="G10" s="63">
        <v>-42614.59698519107</v>
      </c>
      <c r="H10" s="63">
        <v>-43130.425118138381</v>
      </c>
      <c r="I10" s="63">
        <v>-48774.528015084463</v>
      </c>
      <c r="J10" s="63">
        <v>-53985.014399861124</v>
      </c>
      <c r="K10" s="63">
        <v>-58543.180901664957</v>
      </c>
      <c r="L10" s="63">
        <v>-61310.837710438791</v>
      </c>
      <c r="M10" s="63">
        <v>-64155.032565072586</v>
      </c>
      <c r="N10" s="63">
        <v>-66912.793810869262</v>
      </c>
      <c r="O10" s="63">
        <v>-71425.1474589516</v>
      </c>
      <c r="P10" s="63">
        <v>-74625.487033261292</v>
      </c>
      <c r="Q10" s="63">
        <v>-78075.981100513454</v>
      </c>
      <c r="R10" s="63">
        <v>-91075.791146609423</v>
      </c>
      <c r="S10" s="63">
        <v>-96266.132185644368</v>
      </c>
      <c r="T10" s="63">
        <v>-95986.080850216575</v>
      </c>
      <c r="U10" s="63">
        <v>-103187.33842314167</v>
      </c>
      <c r="V10" s="63">
        <v>-109334.5255971267</v>
      </c>
      <c r="W10" s="63">
        <v>-116050.13120797191</v>
      </c>
      <c r="X10" s="63">
        <v>-122608.65474522408</v>
      </c>
      <c r="Y10" s="63">
        <v>-127493.63399346219</v>
      </c>
      <c r="Z10" s="63">
        <v>-132550.93626177966</v>
      </c>
      <c r="AA10" s="63">
        <v>-137786.62068302452</v>
      </c>
      <c r="AB10" s="63">
        <v>-143206.95807710831</v>
      </c>
      <c r="AC10" s="63">
        <v>-148818.43829012185</v>
      </c>
      <c r="AD10" s="63">
        <v>-154627.77778589088</v>
      </c>
      <c r="AE10" s="63">
        <v>-160641.92749858808</v>
      </c>
      <c r="AF10" s="63">
        <v>-166868.08095531416</v>
      </c>
      <c r="AG10" s="63">
        <v>-118961.5560092899</v>
      </c>
    </row>
    <row r="11" spans="1:76">
      <c r="A11" s="35" t="s">
        <v>11</v>
      </c>
      <c r="C11" s="63">
        <v>8743.6718020431072</v>
      </c>
      <c r="D11" s="63">
        <v>18418.784019364663</v>
      </c>
      <c r="E11" s="63">
        <v>15849.603028072992</v>
      </c>
      <c r="F11" s="63">
        <v>13479.509862674775</v>
      </c>
      <c r="G11" s="63">
        <v>11280.063405185236</v>
      </c>
      <c r="H11" s="63">
        <v>9251.2636556043726</v>
      </c>
      <c r="I11" s="63">
        <v>7369.4096822781867</v>
      </c>
      <c r="J11" s="63">
        <v>5634.5014852066961</v>
      </c>
      <c r="K11" s="63">
        <v>5350.0903053589063</v>
      </c>
      <c r="L11" s="63">
        <v>5345.3501190281022</v>
      </c>
      <c r="M11" s="63">
        <v>5350.0903053588991</v>
      </c>
      <c r="N11" s="63">
        <v>5345.3501190281095</v>
      </c>
      <c r="O11" s="63">
        <v>5350.0903053588991</v>
      </c>
      <c r="P11" s="63">
        <v>5345.3501190281022</v>
      </c>
      <c r="Q11" s="63">
        <v>5350.0903053588991</v>
      </c>
      <c r="R11" s="63">
        <v>5345.3501190280949</v>
      </c>
      <c r="S11" s="63">
        <v>5350.0903053588991</v>
      </c>
      <c r="T11" s="63">
        <v>5345.3501190281095</v>
      </c>
      <c r="U11" s="63">
        <v>5350.0903053589136</v>
      </c>
      <c r="V11" s="63">
        <v>5345.350119028124</v>
      </c>
      <c r="W11" s="63">
        <v>-5225.2653986479418</v>
      </c>
      <c r="X11" s="63">
        <v>-15800.621102654783</v>
      </c>
      <c r="Y11" s="63">
        <v>-15800.621102654753</v>
      </c>
      <c r="Z11" s="63">
        <v>-15800.621102654783</v>
      </c>
      <c r="AA11" s="63">
        <v>-15800.621102654783</v>
      </c>
      <c r="AB11" s="63">
        <v>-15800.621102654783</v>
      </c>
      <c r="AC11" s="63">
        <v>-15800.621102654768</v>
      </c>
      <c r="AD11" s="63">
        <v>-15800.621102654768</v>
      </c>
      <c r="AE11" s="63">
        <v>-15800.621102654797</v>
      </c>
      <c r="AF11" s="63">
        <v>-15800.621102654739</v>
      </c>
      <c r="AG11" s="63">
        <v>-6583.5921261064359</v>
      </c>
    </row>
    <row r="12" spans="1:76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spans="1:76" ht="9.75" thickBot="1">
      <c r="A13" s="35" t="s">
        <v>2</v>
      </c>
      <c r="C13" s="65">
        <f>SUM(C5:C11)</f>
        <v>69045.162389472738</v>
      </c>
      <c r="D13" s="65">
        <f t="shared" ref="D13:AG13" si="3">SUM(D5:D11)</f>
        <v>93017.531779824611</v>
      </c>
      <c r="E13" s="65">
        <f t="shared" si="3"/>
        <v>98749.994722573712</v>
      </c>
      <c r="F13" s="65">
        <f t="shared" si="3"/>
        <v>106578.61575521919</v>
      </c>
      <c r="G13" s="65">
        <f t="shared" si="3"/>
        <v>97586.160671001184</v>
      </c>
      <c r="H13" s="65">
        <f t="shared" si="3"/>
        <v>93517.982822431382</v>
      </c>
      <c r="I13" s="65">
        <f t="shared" si="3"/>
        <v>97128.504599417531</v>
      </c>
      <c r="J13" s="65">
        <f t="shared" si="3"/>
        <v>100132.95495533782</v>
      </c>
      <c r="K13" s="65">
        <f t="shared" si="3"/>
        <v>103979.38899658361</v>
      </c>
      <c r="L13" s="65">
        <f t="shared" si="3"/>
        <v>105358.33254921378</v>
      </c>
      <c r="M13" s="65">
        <f t="shared" si="3"/>
        <v>106663.3408289527</v>
      </c>
      <c r="N13" s="65">
        <f t="shared" si="3"/>
        <v>107611.2581675752</v>
      </c>
      <c r="O13" s="65">
        <f t="shared" si="3"/>
        <v>110950.85195787562</v>
      </c>
      <c r="P13" s="65">
        <f t="shared" si="3"/>
        <v>112077.38017173798</v>
      </c>
      <c r="Q13" s="65">
        <f t="shared" si="3"/>
        <v>113322.37812203029</v>
      </c>
      <c r="R13" s="65">
        <f t="shared" si="3"/>
        <v>128473.3608997058</v>
      </c>
      <c r="S13" s="65">
        <f t="shared" si="3"/>
        <v>131712.98649925529</v>
      </c>
      <c r="T13" s="65">
        <f t="shared" si="3"/>
        <v>126472.22422450766</v>
      </c>
      <c r="U13" s="65">
        <f t="shared" si="3"/>
        <v>186009.05904599873</v>
      </c>
      <c r="V13" s="65">
        <f t="shared" si="3"/>
        <v>215107.42614557606</v>
      </c>
      <c r="W13" s="65">
        <f t="shared" si="3"/>
        <v>210619.99646607169</v>
      </c>
      <c r="X13" s="65">
        <f t="shared" si="3"/>
        <v>205892.40536575016</v>
      </c>
      <c r="Y13" s="65">
        <f t="shared" si="3"/>
        <v>213159.11578974614</v>
      </c>
      <c r="Z13" s="65">
        <f t="shared" si="3"/>
        <v>220682.16742271589</v>
      </c>
      <c r="AA13" s="65">
        <f t="shared" si="3"/>
        <v>228470.57360158267</v>
      </c>
      <c r="AB13" s="65">
        <f t="shared" si="3"/>
        <v>236533.66256094113</v>
      </c>
      <c r="AC13" s="65">
        <f t="shared" si="3"/>
        <v>244881.08835044882</v>
      </c>
      <c r="AD13" s="65">
        <f t="shared" si="3"/>
        <v>253522.84212773707</v>
      </c>
      <c r="AE13" s="65">
        <f t="shared" si="3"/>
        <v>262469.2638396598</v>
      </c>
      <c r="AF13" s="65">
        <f t="shared" si="3"/>
        <v>271731.05430513789</v>
      </c>
      <c r="AG13" s="65">
        <f t="shared" si="3"/>
        <v>186756.21538549001</v>
      </c>
    </row>
    <row r="14" spans="1:76" ht="9.75" thickTop="1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76">
      <c r="A15" s="35" t="s">
        <v>3</v>
      </c>
      <c r="C15" s="40">
        <f>IF(-SUM(C7:C8)&lt;1,"",C5/(-SUM(C7:C8)))</f>
        <v>3.386268085945249</v>
      </c>
      <c r="D15" s="40">
        <f t="shared" ref="D15:V15" si="4">IF(-SUM(D7:D8)&lt;1,"",D5/(-SUM(D7:D8)))</f>
        <v>2.3717796946591032</v>
      </c>
      <c r="E15" s="40">
        <f t="shared" si="4"/>
        <v>2.5523626635935979</v>
      </c>
      <c r="F15" s="40">
        <f t="shared" si="4"/>
        <v>2.7999440541495835</v>
      </c>
      <c r="G15" s="40">
        <f t="shared" si="4"/>
        <v>2.6370716086310804</v>
      </c>
      <c r="H15" s="40">
        <f t="shared" si="4"/>
        <v>2.6191636104933993</v>
      </c>
      <c r="I15" s="40">
        <f t="shared" si="4"/>
        <v>2.7623858113486972</v>
      </c>
      <c r="J15" s="40">
        <f t="shared" si="4"/>
        <v>2.8909044213566757</v>
      </c>
      <c r="K15" s="40">
        <f t="shared" si="4"/>
        <v>3.0037656467267353</v>
      </c>
      <c r="L15" s="40">
        <f t="shared" si="4"/>
        <v>3.0591294837365171</v>
      </c>
      <c r="M15" s="40">
        <f t="shared" si="4"/>
        <v>3.1147214527255027</v>
      </c>
      <c r="N15" s="40">
        <f t="shared" si="4"/>
        <v>3.1651041811079978</v>
      </c>
      <c r="O15" s="40">
        <f t="shared" si="4"/>
        <v>3.268868168262884</v>
      </c>
      <c r="P15" s="40">
        <f t="shared" si="4"/>
        <v>3.3280663162376096</v>
      </c>
      <c r="Q15" s="40">
        <f t="shared" si="4"/>
        <v>3.3923488597679516</v>
      </c>
      <c r="R15" s="40">
        <f t="shared" si="4"/>
        <v>3.7594394431907117</v>
      </c>
      <c r="S15" s="40">
        <f t="shared" si="4"/>
        <v>3.8736266394655336</v>
      </c>
      <c r="T15" s="40">
        <f t="shared" si="4"/>
        <v>3.8083669554053983</v>
      </c>
      <c r="U15" s="40">
        <f t="shared" si="4"/>
        <v>13.551220641078414</v>
      </c>
      <c r="V15" s="40" t="str">
        <f t="shared" si="4"/>
        <v/>
      </c>
    </row>
    <row r="16" spans="1:76">
      <c r="C16" s="41"/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>
      <c r="C17" s="70">
        <f>SUM(C13:AG13)</f>
        <v>4838213.2805195721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>
      <c r="C18" s="44"/>
    </row>
    <row r="19" spans="1:22">
      <c r="C19" s="44"/>
    </row>
    <row r="20" spans="1:22">
      <c r="A20" s="37"/>
    </row>
    <row r="21" spans="1:22">
      <c r="C21" s="45"/>
    </row>
  </sheetData>
  <phoneticPr fontId="0" type="noConversion"/>
  <printOptions horizontalCentered="1"/>
  <pageMargins left="0.5" right="0.5" top="1" bottom="0.75" header="0.25" footer="0.25"/>
  <pageSetup fitToWidth="2" orientation="landscape" r:id="rId1"/>
  <headerFooter alignWithMargins="0">
    <oddHeader>&amp;C&amp;"Times New Roman,Bold"Panda Gila River, LP
Pro forma Cash Flow Statement</oddHeader>
    <oddFooter>&amp;R&amp;7&amp;D
&amp;F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87"/>
  <sheetViews>
    <sheetView tabSelected="1" topLeftCell="A2" zoomScale="85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15" sqref="A15"/>
    </sheetView>
  </sheetViews>
  <sheetFormatPr defaultRowHeight="12.75" outlineLevelRow="1" outlineLevelCol="1"/>
  <cols>
    <col min="1" max="1" width="46.83203125" style="72" customWidth="1"/>
    <col min="2" max="2" width="15.6640625" style="2" customWidth="1"/>
    <col min="3" max="7" width="13.5" style="2" hidden="1" customWidth="1" outlineLevel="1"/>
    <col min="8" max="8" width="15.6640625" style="2" bestFit="1" customWidth="1" collapsed="1"/>
    <col min="9" max="13" width="13.5" style="2" hidden="1" customWidth="1" outlineLevel="1"/>
    <col min="14" max="14" width="15.33203125" style="2" bestFit="1" customWidth="1" collapsed="1"/>
    <col min="15" max="19" width="13.5" style="2" hidden="1" customWidth="1" outlineLevel="1"/>
    <col min="20" max="20" width="15.33203125" style="2" customWidth="1" collapsed="1"/>
    <col min="21" max="25" width="13.5" style="2" hidden="1" customWidth="1" outlineLevel="1"/>
    <col min="26" max="26" width="15.33203125" style="2" customWidth="1" collapsed="1"/>
    <col min="27" max="31" width="13.5" style="2" hidden="1" customWidth="1" outlineLevel="1"/>
    <col min="32" max="32" width="15.33203125" style="2" customWidth="1" collapsed="1"/>
    <col min="33" max="37" width="13.5" style="2" hidden="1" customWidth="1" outlineLevel="1"/>
    <col min="38" max="38" width="15.33203125" style="2" customWidth="1" collapsed="1"/>
    <col min="39" max="16384" width="9.33203125" style="2"/>
  </cols>
  <sheetData>
    <row r="1" spans="1:41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.1" customHeight="1">
      <c r="A2" s="11"/>
      <c r="B2" s="1"/>
      <c r="C2" s="3" t="s">
        <v>37</v>
      </c>
      <c r="D2" s="3"/>
      <c r="E2" s="1"/>
      <c r="F2" s="1"/>
      <c r="G2" s="1"/>
      <c r="H2" s="1"/>
      <c r="I2" s="3" t="s">
        <v>37</v>
      </c>
      <c r="J2" s="3"/>
      <c r="K2" s="1"/>
      <c r="L2" s="1"/>
      <c r="M2" s="1"/>
      <c r="N2" s="1"/>
      <c r="O2" s="3" t="s">
        <v>37</v>
      </c>
      <c r="P2" s="3"/>
      <c r="Q2" s="1"/>
      <c r="R2" s="1"/>
      <c r="S2" s="1"/>
      <c r="T2" s="1"/>
      <c r="U2" s="3" t="s">
        <v>37</v>
      </c>
      <c r="V2" s="3"/>
      <c r="W2" s="1"/>
      <c r="X2" s="1"/>
      <c r="Y2" s="1"/>
      <c r="Z2" s="1"/>
      <c r="AA2" s="3" t="s">
        <v>37</v>
      </c>
      <c r="AB2" s="3"/>
      <c r="AC2" s="1"/>
      <c r="AD2" s="1"/>
      <c r="AE2" s="1"/>
      <c r="AF2" s="1"/>
      <c r="AG2" s="3" t="s">
        <v>37</v>
      </c>
      <c r="AH2" s="3"/>
      <c r="AI2" s="1"/>
      <c r="AJ2" s="1"/>
      <c r="AK2" s="1"/>
      <c r="AL2" s="1"/>
      <c r="AM2" s="1"/>
      <c r="AN2" s="1"/>
      <c r="AO2" s="1"/>
    </row>
    <row r="3" spans="1:41" ht="14.1" customHeight="1">
      <c r="A3" s="11"/>
      <c r="B3" s="4" t="s">
        <v>98</v>
      </c>
      <c r="C3" s="4" t="s">
        <v>34</v>
      </c>
      <c r="D3" s="4" t="s">
        <v>38</v>
      </c>
      <c r="E3" s="5" t="s">
        <v>85</v>
      </c>
      <c r="F3" s="4" t="s">
        <v>39</v>
      </c>
      <c r="G3" s="4" t="s">
        <v>36</v>
      </c>
      <c r="H3" s="5" t="s">
        <v>13</v>
      </c>
      <c r="I3" s="4" t="s">
        <v>34</v>
      </c>
      <c r="J3" s="4" t="s">
        <v>38</v>
      </c>
      <c r="K3" s="5" t="s">
        <v>85</v>
      </c>
      <c r="L3" s="4" t="s">
        <v>39</v>
      </c>
      <c r="M3" s="4" t="s">
        <v>36</v>
      </c>
      <c r="N3" s="5" t="s">
        <v>14</v>
      </c>
      <c r="O3" s="4" t="s">
        <v>34</v>
      </c>
      <c r="P3" s="4" t="s">
        <v>38</v>
      </c>
      <c r="Q3" s="5" t="s">
        <v>85</v>
      </c>
      <c r="R3" s="4" t="s">
        <v>39</v>
      </c>
      <c r="S3" s="4" t="s">
        <v>36</v>
      </c>
      <c r="T3" s="5" t="s">
        <v>15</v>
      </c>
      <c r="U3" s="4" t="s">
        <v>34</v>
      </c>
      <c r="V3" s="4" t="s">
        <v>38</v>
      </c>
      <c r="W3" s="5" t="s">
        <v>85</v>
      </c>
      <c r="X3" s="4" t="s">
        <v>39</v>
      </c>
      <c r="Y3" s="4" t="s">
        <v>36</v>
      </c>
      <c r="Z3" s="5" t="s">
        <v>30</v>
      </c>
      <c r="AA3" s="4" t="s">
        <v>34</v>
      </c>
      <c r="AB3" s="4" t="s">
        <v>38</v>
      </c>
      <c r="AC3" s="5" t="s">
        <v>85</v>
      </c>
      <c r="AD3" s="4" t="s">
        <v>39</v>
      </c>
      <c r="AE3" s="4" t="s">
        <v>36</v>
      </c>
      <c r="AF3" s="5" t="s">
        <v>31</v>
      </c>
      <c r="AG3" s="4" t="s">
        <v>34</v>
      </c>
      <c r="AH3" s="4" t="s">
        <v>38</v>
      </c>
      <c r="AI3" s="5" t="s">
        <v>85</v>
      </c>
      <c r="AJ3" s="4" t="s">
        <v>39</v>
      </c>
      <c r="AK3" s="4" t="s">
        <v>36</v>
      </c>
      <c r="AL3" s="5" t="s">
        <v>32</v>
      </c>
      <c r="AM3" s="6"/>
      <c r="AN3" s="6"/>
      <c r="AO3" s="1"/>
    </row>
    <row r="4" spans="1:41" ht="14.1" customHeight="1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"/>
    </row>
    <row r="5" spans="1:41" s="1" customFormat="1" ht="14.1" customHeight="1">
      <c r="A5" s="71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7"/>
      <c r="P5" s="7"/>
      <c r="Q5" s="7"/>
      <c r="R5" s="7"/>
      <c r="S5" s="7"/>
      <c r="U5" s="7"/>
      <c r="V5" s="7"/>
      <c r="W5" s="7"/>
      <c r="X5" s="7"/>
      <c r="Y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41" s="1" customFormat="1" ht="14.1" customHeight="1">
      <c r="A6" s="7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7"/>
      <c r="P6" s="7"/>
      <c r="Q6" s="7"/>
      <c r="R6" s="7"/>
      <c r="S6" s="7"/>
      <c r="U6" s="7"/>
      <c r="V6" s="7"/>
      <c r="W6" s="7"/>
      <c r="X6" s="7"/>
      <c r="Y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41" s="1" customFormat="1" ht="14.1" customHeight="1">
      <c r="A7" s="8" t="s">
        <v>17</v>
      </c>
      <c r="B7" s="9">
        <v>0</v>
      </c>
      <c r="C7" s="9">
        <f>+('Income Statement'!E14-'Income Statement'!E38)*0.9</f>
        <v>119530.87368826782</v>
      </c>
      <c r="D7" s="9">
        <f>-D9+D25</f>
        <v>-18904</v>
      </c>
      <c r="E7" s="9">
        <f>E28</f>
        <v>-46298.776716396707</v>
      </c>
      <c r="F7" s="9"/>
      <c r="G7" s="9"/>
      <c r="H7" s="9">
        <f>SUM(B7:G7)</f>
        <v>54328.096971871113</v>
      </c>
      <c r="I7" s="9">
        <f>+('Income Statement'!F14-'Income Statement'!F38)*11/12</f>
        <v>184023.49707944083</v>
      </c>
      <c r="J7" s="9">
        <f>-J9+J25</f>
        <v>-12930.606384441475</v>
      </c>
      <c r="K7" s="9">
        <f>K28</f>
        <v>-97852.901882911654</v>
      </c>
      <c r="L7" s="9"/>
      <c r="M7" s="9">
        <f>-'Cash Flow Statement'!D13*'Balance Sheet'!$D$71</f>
        <v>-55810.519067894762</v>
      </c>
      <c r="N7" s="9">
        <f>SUM(H7:M7)</f>
        <v>71757.566716064059</v>
      </c>
      <c r="O7" s="9">
        <f>+('Income Statement'!G14-'Income Statement'!G38)*11/12</f>
        <v>205770.73413646562</v>
      </c>
      <c r="P7" s="9">
        <f>-P9+P25</f>
        <v>-11571.847436069249</v>
      </c>
      <c r="Q7" s="9">
        <f>Q28</f>
        <v>-105987.98566194379</v>
      </c>
      <c r="R7" s="9"/>
      <c r="S7" s="9">
        <f>-'Cash Flow Statement'!E13*'Balance Sheet'!$D$71</f>
        <v>-59249.996833544225</v>
      </c>
      <c r="T7" s="9">
        <f>SUM(N7:S7)</f>
        <v>100718.47092097241</v>
      </c>
      <c r="U7" s="9">
        <f>+('Income Statement'!H14-'Income Statement'!H38)*11/12</f>
        <v>223884.14185518035</v>
      </c>
      <c r="V7" s="9">
        <f>-V9+V25</f>
        <v>-16882.35678002116</v>
      </c>
      <c r="W7" s="9">
        <f>W28</f>
        <v>-106955.26888404446</v>
      </c>
      <c r="X7" s="9"/>
      <c r="Y7" s="9">
        <f>-'Cash Flow Statement'!F13*'Balance Sheet'!$D$71</f>
        <v>-63947.169453131508</v>
      </c>
      <c r="Z7" s="9">
        <f>SUM(T7:Y7)</f>
        <v>136817.81765895567</v>
      </c>
      <c r="AA7" s="9">
        <f>+('Income Statement'!I14-'Income Statement'!I38)*11/12</f>
        <v>211735.28821148296</v>
      </c>
      <c r="AB7" s="9">
        <f>-AB9+AB25</f>
        <v>-23829.767078591511</v>
      </c>
      <c r="AC7" s="9">
        <f>AC28</f>
        <v>-102063.25652515619</v>
      </c>
      <c r="AD7" s="9"/>
      <c r="AE7" s="9">
        <f>-'Cash Flow Statement'!G13*'Balance Sheet'!$D$71</f>
        <v>-58551.696402600712</v>
      </c>
      <c r="AF7" s="9">
        <f>SUM(Z7:AE7)</f>
        <v>164108.3858640902</v>
      </c>
      <c r="AG7" s="9">
        <f>+('Income Statement'!J14-'Income Statement'!J38)*11/12</f>
        <v>211325.99182687807</v>
      </c>
      <c r="AH7" s="9">
        <f>-AH9+AH25</f>
        <v>-23365.934420510792</v>
      </c>
      <c r="AI7" s="9">
        <f>AI28</f>
        <v>-103140.30134435616</v>
      </c>
      <c r="AJ7" s="9"/>
      <c r="AK7" s="9">
        <f>-'Cash Flow Statement'!H13*'Balance Sheet'!$D$71</f>
        <v>-56110.789693458828</v>
      </c>
      <c r="AL7" s="9">
        <f>SUM(AF7:AK7)-1</f>
        <v>192816.35223264253</v>
      </c>
    </row>
    <row r="8" spans="1:41" s="1" customFormat="1" ht="14.1" customHeight="1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0"/>
      <c r="V8" s="10"/>
      <c r="W8" s="10"/>
      <c r="X8" s="10"/>
      <c r="Y8" s="10"/>
      <c r="Z8" s="11"/>
      <c r="AA8" s="10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1"/>
    </row>
    <row r="9" spans="1:41" s="1" customFormat="1" ht="14.1" customHeight="1">
      <c r="A9" s="8" t="s">
        <v>18</v>
      </c>
      <c r="B9" s="11"/>
      <c r="C9" s="11">
        <f>+'Income Statement'!E3/10</f>
        <v>35131.686622116758</v>
      </c>
      <c r="D9" s="11">
        <f>-B9</f>
        <v>0</v>
      </c>
      <c r="E9" s="11"/>
      <c r="F9" s="11"/>
      <c r="G9" s="11"/>
      <c r="H9" s="11">
        <f>SUM(B9:G9)</f>
        <v>35131.686622116758</v>
      </c>
      <c r="I9" s="11">
        <f>+'Income Statement'!F3/12</f>
        <v>44127.461529957625</v>
      </c>
      <c r="J9" s="11">
        <f>-H9</f>
        <v>-35131.686622116758</v>
      </c>
      <c r="K9" s="11"/>
      <c r="L9" s="11"/>
      <c r="M9" s="11"/>
      <c r="N9" s="11">
        <f>SUM(H9:M9)</f>
        <v>44127.461529957625</v>
      </c>
      <c r="O9" s="11">
        <f>+'Income Statement'!G3/12</f>
        <v>47012.071428904492</v>
      </c>
      <c r="P9" s="11">
        <f>-N9</f>
        <v>-44127.461529957625</v>
      </c>
      <c r="Q9" s="11"/>
      <c r="R9" s="11"/>
      <c r="S9" s="11"/>
      <c r="T9" s="11">
        <f>SUM(N9:S9)</f>
        <v>47012.071428904484</v>
      </c>
      <c r="U9" s="11">
        <f>+'Income Statement'!H3/12</f>
        <v>48944.651645733451</v>
      </c>
      <c r="V9" s="11">
        <f>-T9</f>
        <v>-47012.071428904484</v>
      </c>
      <c r="W9" s="11"/>
      <c r="X9" s="11"/>
      <c r="Y9" s="11"/>
      <c r="Z9" s="11">
        <f>SUM(T9:Y9)</f>
        <v>48944.651645733451</v>
      </c>
      <c r="AA9" s="11">
        <f>+'Income Statement'!I3/12</f>
        <v>49663.270057039539</v>
      </c>
      <c r="AB9" s="11">
        <f>-Z9</f>
        <v>-48944.651645733451</v>
      </c>
      <c r="AC9" s="11"/>
      <c r="AD9" s="11"/>
      <c r="AE9" s="11"/>
      <c r="AF9" s="11">
        <f>SUM(Z9:AE9)</f>
        <v>49663.270057039539</v>
      </c>
      <c r="AG9" s="11">
        <f>+'Income Statement'!J3/12</f>
        <v>49900.759685836478</v>
      </c>
      <c r="AH9" s="11">
        <f>-AF9</f>
        <v>-49663.270057039539</v>
      </c>
      <c r="AI9" s="11"/>
      <c r="AJ9" s="11"/>
      <c r="AK9" s="11"/>
      <c r="AL9" s="11">
        <f>SUM(AF9:AK9)</f>
        <v>49900.75968583647</v>
      </c>
    </row>
    <row r="10" spans="1:41" s="1" customFormat="1" ht="14.1" customHeight="1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0"/>
      <c r="V10" s="10"/>
      <c r="W10" s="10"/>
      <c r="X10" s="10"/>
      <c r="Y10" s="10"/>
      <c r="Z10" s="11"/>
      <c r="AA10" s="10"/>
      <c r="AB10" s="10"/>
      <c r="AC10" s="10"/>
      <c r="AD10" s="10"/>
      <c r="AE10" s="10"/>
      <c r="AF10" s="11"/>
      <c r="AG10" s="10"/>
      <c r="AH10" s="10"/>
      <c r="AI10" s="10"/>
      <c r="AJ10" s="10"/>
      <c r="AK10" s="10"/>
      <c r="AL10" s="11"/>
    </row>
    <row r="11" spans="1:41" s="1" customFormat="1" ht="14.1" customHeight="1">
      <c r="A11" s="8" t="s">
        <v>19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0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1"/>
      <c r="AG11" s="10"/>
      <c r="AH11" s="10"/>
      <c r="AI11" s="10"/>
      <c r="AJ11" s="10"/>
      <c r="AK11" s="10"/>
      <c r="AL11" s="11"/>
    </row>
    <row r="12" spans="1:41" s="1" customFormat="1" ht="14.1" customHeight="1">
      <c r="A12" s="10" t="s">
        <v>20</v>
      </c>
      <c r="B12" s="10">
        <v>3983</v>
      </c>
      <c r="C12" s="10"/>
      <c r="D12" s="10"/>
      <c r="E12" s="10"/>
      <c r="F12" s="10"/>
      <c r="G12" s="10"/>
      <c r="H12" s="10">
        <f>SUM(B12:G12)</f>
        <v>3983</v>
      </c>
      <c r="I12" s="10"/>
      <c r="J12" s="10"/>
      <c r="K12" s="10"/>
      <c r="L12" s="10"/>
      <c r="M12" s="10"/>
      <c r="N12" s="11">
        <f>SUM(H12:M12)</f>
        <v>3983</v>
      </c>
      <c r="O12" s="10"/>
      <c r="P12" s="10"/>
      <c r="Q12" s="10"/>
      <c r="R12" s="10"/>
      <c r="S12" s="10"/>
      <c r="T12" s="11">
        <f>SUM(N12:S12)</f>
        <v>3983</v>
      </c>
      <c r="U12" s="10"/>
      <c r="V12" s="10"/>
      <c r="W12" s="10"/>
      <c r="X12" s="10"/>
      <c r="Y12" s="10"/>
      <c r="Z12" s="11">
        <f>SUM(T12:Y12)</f>
        <v>3983</v>
      </c>
      <c r="AA12" s="10"/>
      <c r="AB12" s="10"/>
      <c r="AC12" s="10"/>
      <c r="AD12" s="10"/>
      <c r="AE12" s="10"/>
      <c r="AF12" s="11">
        <f>SUM(Z12:AE12)</f>
        <v>3983</v>
      </c>
      <c r="AG12" s="10"/>
      <c r="AH12" s="10"/>
      <c r="AI12" s="10"/>
      <c r="AJ12" s="10"/>
      <c r="AK12" s="10"/>
      <c r="AL12" s="11">
        <f>SUM(AF12:AK12)</f>
        <v>3983</v>
      </c>
    </row>
    <row r="13" spans="1:41" s="1" customFormat="1" ht="14.1" customHeight="1">
      <c r="A13" s="10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0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1"/>
    </row>
    <row r="14" spans="1:41" s="1" customFormat="1" ht="14.1" customHeight="1">
      <c r="A14" s="10" t="s">
        <v>99</v>
      </c>
      <c r="B14" s="12">
        <f>SUM('Income Statement'!E43:AI43)-39433</f>
        <v>1342920.5900595726</v>
      </c>
      <c r="C14" s="12">
        <f>-'Income Statement'!E43</f>
        <v>-26334.368504424616</v>
      </c>
      <c r="D14" s="12"/>
      <c r="E14" s="12"/>
      <c r="F14" s="12"/>
      <c r="G14" s="12"/>
      <c r="H14" s="12">
        <f>SUM(B14:G14)</f>
        <v>1316586.221555148</v>
      </c>
      <c r="I14" s="12">
        <f>-'Income Statement'!F43</f>
        <v>-46730.366008522004</v>
      </c>
      <c r="J14" s="12"/>
      <c r="K14" s="12"/>
      <c r="L14" s="12"/>
      <c r="M14" s="12"/>
      <c r="N14" s="13">
        <f>SUM(H14:M14)</f>
        <v>1269855.855546626</v>
      </c>
      <c r="O14" s="12">
        <f>-'Income Statement'!G43</f>
        <v>-46730.366008522004</v>
      </c>
      <c r="P14" s="12"/>
      <c r="Q14" s="12"/>
      <c r="R14" s="12"/>
      <c r="S14" s="12"/>
      <c r="T14" s="13">
        <f>SUM(N14:S14)</f>
        <v>1223125.489538104</v>
      </c>
      <c r="U14" s="12">
        <f>-'Income Statement'!H43</f>
        <v>-46730.366008522004</v>
      </c>
      <c r="V14" s="12"/>
      <c r="W14" s="12"/>
      <c r="X14" s="12"/>
      <c r="Y14" s="12"/>
      <c r="Z14" s="13">
        <f>SUM(T14:Y14)</f>
        <v>1176395.1235295821</v>
      </c>
      <c r="AA14" s="12">
        <f>-'Income Statement'!I43</f>
        <v>-46730.366008522004</v>
      </c>
      <c r="AB14" s="12"/>
      <c r="AC14" s="12"/>
      <c r="AD14" s="12"/>
      <c r="AE14" s="12"/>
      <c r="AF14" s="13">
        <f>SUM(Z14:AE14)</f>
        <v>1129664.7575210601</v>
      </c>
      <c r="AG14" s="12">
        <f>-'Income Statement'!J43</f>
        <v>-46730.366008522004</v>
      </c>
      <c r="AH14" s="12"/>
      <c r="AI14" s="12"/>
      <c r="AJ14" s="12"/>
      <c r="AK14" s="12"/>
      <c r="AL14" s="13">
        <f>SUM(AF14:AK14)</f>
        <v>1082934.3915125381</v>
      </c>
    </row>
    <row r="15" spans="1:41" s="1" customFormat="1" ht="14.1" customHeight="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3"/>
      <c r="U15" s="12"/>
      <c r="V15" s="12"/>
      <c r="W15" s="12"/>
      <c r="X15" s="12"/>
      <c r="Y15" s="12"/>
      <c r="Z15" s="13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3"/>
    </row>
    <row r="16" spans="1:41" s="1" customFormat="1" ht="14.1" customHeight="1">
      <c r="A16" s="14" t="s">
        <v>94</v>
      </c>
      <c r="B16" s="12">
        <f t="shared" ref="B16:T16" si="0">+B14+B12</f>
        <v>1346903.5900595726</v>
      </c>
      <c r="C16" s="12">
        <f t="shared" si="0"/>
        <v>-26334.368504424616</v>
      </c>
      <c r="D16" s="12">
        <f t="shared" si="0"/>
        <v>0</v>
      </c>
      <c r="E16" s="12">
        <f t="shared" si="0"/>
        <v>0</v>
      </c>
      <c r="F16" s="12">
        <f>+F14+F12</f>
        <v>0</v>
      </c>
      <c r="G16" s="12">
        <f>+G14+G12</f>
        <v>0</v>
      </c>
      <c r="H16" s="12">
        <f t="shared" si="0"/>
        <v>1320569.221555148</v>
      </c>
      <c r="I16" s="12">
        <f t="shared" si="0"/>
        <v>-46730.366008522004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1273838.855546626</v>
      </c>
      <c r="O16" s="12">
        <f t="shared" si="0"/>
        <v>-46730.366008522004</v>
      </c>
      <c r="P16" s="12">
        <f t="shared" si="0"/>
        <v>0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1227108.489538104</v>
      </c>
      <c r="U16" s="12">
        <f t="shared" ref="U16:AL16" si="1">+U14+U12</f>
        <v>-46730.366008522004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  <c r="Z16" s="12">
        <f t="shared" si="1"/>
        <v>1180378.1235295821</v>
      </c>
      <c r="AA16" s="12">
        <f t="shared" si="1"/>
        <v>-46730.366008522004</v>
      </c>
      <c r="AB16" s="12">
        <f t="shared" si="1"/>
        <v>0</v>
      </c>
      <c r="AC16" s="12">
        <f t="shared" si="1"/>
        <v>0</v>
      </c>
      <c r="AD16" s="12">
        <f t="shared" si="1"/>
        <v>0</v>
      </c>
      <c r="AE16" s="12">
        <f t="shared" si="1"/>
        <v>0</v>
      </c>
      <c r="AF16" s="12">
        <f t="shared" si="1"/>
        <v>1133647.7575210601</v>
      </c>
      <c r="AG16" s="12">
        <f t="shared" si="1"/>
        <v>-46730.366008522004</v>
      </c>
      <c r="AH16" s="12">
        <f t="shared" si="1"/>
        <v>0</v>
      </c>
      <c r="AI16" s="12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1086917.3915125381</v>
      </c>
    </row>
    <row r="17" spans="1:38" s="1" customFormat="1" ht="14.1" customHeight="1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" customFormat="1" ht="14.1" customHeight="1" thickBot="1">
      <c r="A18" s="14" t="s">
        <v>22</v>
      </c>
      <c r="B18" s="15">
        <f t="shared" ref="B18:K18" si="2">+B16+B9+B7</f>
        <v>1346903.5900595726</v>
      </c>
      <c r="C18" s="15">
        <f t="shared" si="2"/>
        <v>128328.19180595997</v>
      </c>
      <c r="D18" s="15">
        <f t="shared" si="2"/>
        <v>-18904</v>
      </c>
      <c r="E18" s="15">
        <f t="shared" si="2"/>
        <v>-46298.776716396707</v>
      </c>
      <c r="F18" s="15">
        <f t="shared" si="2"/>
        <v>0</v>
      </c>
      <c r="G18" s="15">
        <f t="shared" si="2"/>
        <v>0</v>
      </c>
      <c r="H18" s="15">
        <f t="shared" si="2"/>
        <v>1410029.0051491358</v>
      </c>
      <c r="I18" s="15">
        <f t="shared" si="2"/>
        <v>181420.59260087647</v>
      </c>
      <c r="J18" s="15">
        <f t="shared" si="2"/>
        <v>-48062.293006558233</v>
      </c>
      <c r="K18" s="15">
        <f t="shared" si="2"/>
        <v>-97852.901882911654</v>
      </c>
      <c r="L18" s="15">
        <f t="shared" ref="L18:Q18" si="3">+L16+L9+L7</f>
        <v>0</v>
      </c>
      <c r="M18" s="15">
        <f t="shared" si="3"/>
        <v>-55810.519067894762</v>
      </c>
      <c r="N18" s="15">
        <f t="shared" si="3"/>
        <v>1389723.8837926476</v>
      </c>
      <c r="O18" s="15">
        <f t="shared" si="3"/>
        <v>206052.43955684811</v>
      </c>
      <c r="P18" s="15">
        <f t="shared" si="3"/>
        <v>-55699.308966026874</v>
      </c>
      <c r="Q18" s="15">
        <f t="shared" si="3"/>
        <v>-105987.98566194379</v>
      </c>
      <c r="R18" s="15">
        <f t="shared" ref="R18:AL18" si="4">+R16+R9+R7</f>
        <v>0</v>
      </c>
      <c r="S18" s="15">
        <f t="shared" si="4"/>
        <v>-59249.996833544225</v>
      </c>
      <c r="T18" s="15">
        <f t="shared" si="4"/>
        <v>1374839.0318879811</v>
      </c>
      <c r="U18" s="15">
        <f t="shared" si="4"/>
        <v>226098.42749239178</v>
      </c>
      <c r="V18" s="15">
        <f t="shared" si="4"/>
        <v>-63894.428208925645</v>
      </c>
      <c r="W18" s="15">
        <f t="shared" si="4"/>
        <v>-106955.26888404446</v>
      </c>
      <c r="X18" s="15">
        <f t="shared" si="4"/>
        <v>0</v>
      </c>
      <c r="Y18" s="15">
        <f t="shared" si="4"/>
        <v>-63947.169453131508</v>
      </c>
      <c r="Z18" s="15">
        <f t="shared" si="4"/>
        <v>1366140.5928342713</v>
      </c>
      <c r="AA18" s="15">
        <f t="shared" si="4"/>
        <v>214668.19226000051</v>
      </c>
      <c r="AB18" s="15">
        <f t="shared" si="4"/>
        <v>-72774.418724324962</v>
      </c>
      <c r="AC18" s="15">
        <f t="shared" si="4"/>
        <v>-102063.25652515619</v>
      </c>
      <c r="AD18" s="15">
        <f t="shared" si="4"/>
        <v>0</v>
      </c>
      <c r="AE18" s="15">
        <f t="shared" si="4"/>
        <v>-58551.696402600712</v>
      </c>
      <c r="AF18" s="15">
        <f t="shared" si="4"/>
        <v>1347419.4134421898</v>
      </c>
      <c r="AG18" s="15">
        <f t="shared" si="4"/>
        <v>214496.38550419256</v>
      </c>
      <c r="AH18" s="15">
        <f t="shared" si="4"/>
        <v>-73029.204477550331</v>
      </c>
      <c r="AI18" s="15">
        <f t="shared" si="4"/>
        <v>-103140.30134435616</v>
      </c>
      <c r="AJ18" s="15">
        <f t="shared" si="4"/>
        <v>0</v>
      </c>
      <c r="AK18" s="15">
        <f t="shared" si="4"/>
        <v>-56110.789693458828</v>
      </c>
      <c r="AL18" s="15">
        <f t="shared" si="4"/>
        <v>1329634.503431017</v>
      </c>
    </row>
    <row r="19" spans="1:38" s="1" customFormat="1" ht="14.1" customHeight="1" thickTop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s="1" customFormat="1" ht="14.1" customHeight="1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s="1" customFormat="1" ht="14.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1" customFormat="1" ht="14.1" customHeight="1">
      <c r="A22" s="6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1" customFormat="1" ht="14.1" customHeight="1">
      <c r="A23" s="6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s="1" customFormat="1" ht="14.1" customHeight="1">
      <c r="A24" s="8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s="1" customFormat="1" ht="14.1" customHeight="1">
      <c r="A25" s="10" t="s">
        <v>25</v>
      </c>
      <c r="B25" s="9">
        <v>18904</v>
      </c>
      <c r="C25" s="9">
        <f>+('Income Statement'!E38+'Income Statement'!E12)/10+'Income Statement'!E42+'Income Statement'!E44+'Income Statement'!E47+'Income Statement'!E48</f>
        <v>89336.486037555063</v>
      </c>
      <c r="D25" s="9">
        <f>-B25</f>
        <v>-18904</v>
      </c>
      <c r="E25" s="9">
        <f>-'Income Statement'!E44-'Income Statement'!E42</f>
        <v>-41274.19303099683</v>
      </c>
      <c r="F25" s="9"/>
      <c r="G25" s="9"/>
      <c r="H25" s="9">
        <f>SUM(B25:G25)</f>
        <v>48062.293006558233</v>
      </c>
      <c r="I25" s="9">
        <f>+('Income Statement'!F38+'Income Statement'!F12)/12+'Income Statement'!F42+'Income Statement'!F44+'Income Statement'!F47+'Income Statement'!F48</f>
        <v>132513.48738031319</v>
      </c>
      <c r="J25" s="9">
        <f>-H25</f>
        <v>-48062.293006558233</v>
      </c>
      <c r="K25" s="9">
        <f>-'Income Statement'!F44-'Income Statement'!F42</f>
        <v>-76814.178414286318</v>
      </c>
      <c r="L25" s="9"/>
      <c r="M25" s="9"/>
      <c r="N25" s="9">
        <f>SUM(H25:M25)</f>
        <v>55699.308966026874</v>
      </c>
      <c r="O25" s="9">
        <f>+('Income Statement'!G38+'Income Statement'!G12)/12+'Income Statement'!G42+'Income Statement'!G44+'Income Statement'!G47+'Income Statement'!G48</f>
        <v>147254.1985531247</v>
      </c>
      <c r="P25" s="9">
        <f>-N25</f>
        <v>-55699.308966026874</v>
      </c>
      <c r="Q25" s="9">
        <f>-'Income Statement'!G44-'Income Statement'!G42</f>
        <v>-83359.77034419906</v>
      </c>
      <c r="R25" s="9"/>
      <c r="S25" s="9"/>
      <c r="T25" s="9">
        <f>SUM(N25:S25)</f>
        <v>63894.428208925645</v>
      </c>
      <c r="U25" s="9">
        <f>+('Income Statement'!H38+'Income Statement'!H12)/12+'Income Statement'!H42+'Income Statement'!H44+'Income Statement'!H47+'Income Statement'!H48</f>
        <v>155391.8931015018</v>
      </c>
      <c r="V25" s="9">
        <f>-T25</f>
        <v>-63894.428208925645</v>
      </c>
      <c r="W25" s="9">
        <f>-'Income Statement'!H44-'Income Statement'!H42</f>
        <v>-82617.474377176841</v>
      </c>
      <c r="X25" s="9"/>
      <c r="Y25" s="9"/>
      <c r="Z25" s="9">
        <f>SUM(T25:Y25)</f>
        <v>72774.418724324962</v>
      </c>
      <c r="AA25" s="9">
        <f>+('Income Statement'!I38+'Income Statement'!I12)/12+'Income Statement'!I42+'Income Statement'!I44+'Income Statement'!I47+'Income Statement'!I48</f>
        <v>147107.43571365986</v>
      </c>
      <c r="AB25" s="9">
        <f>-Z25</f>
        <v>-72774.418724324962</v>
      </c>
      <c r="AC25" s="9">
        <f>-'Income Statement'!I44-'Income Statement'!I42</f>
        <v>-74078.231236109525</v>
      </c>
      <c r="AD25" s="9"/>
      <c r="AE25" s="9"/>
      <c r="AF25" s="9">
        <f>SUM(Z25:AE25)</f>
        <v>73029.204477550331</v>
      </c>
      <c r="AG25" s="9">
        <f>+('Income Statement'!J38+'Income Statement'!J12)/12+'Income Statement'!J42+'Income Statement'!J44+'Income Statement'!J47+'Income Statement'!J48</f>
        <v>146918.10769809596</v>
      </c>
      <c r="AH25" s="9">
        <f>-AF25</f>
        <v>-73029.204477550331</v>
      </c>
      <c r="AI25" s="9">
        <f>-'Income Statement'!J44-'Income Statement'!J42</f>
        <v>-73098.376696564577</v>
      </c>
      <c r="AJ25" s="9"/>
      <c r="AK25" s="9"/>
      <c r="AL25" s="9">
        <f>SUM(AF25:AK25)-0.5</f>
        <v>73819.231001531385</v>
      </c>
    </row>
    <row r="26" spans="1:38" s="1" customFormat="1" ht="14.1" customHeight="1">
      <c r="A26" s="10" t="s">
        <v>26</v>
      </c>
      <c r="B26" s="10">
        <f>-'Cash Flow Statement'!C8</f>
        <v>5024.583685399879</v>
      </c>
      <c r="C26" s="10"/>
      <c r="D26" s="10"/>
      <c r="E26" s="10">
        <f>'Cash Flow Statement'!C8</f>
        <v>-5024.583685399879</v>
      </c>
      <c r="F26" s="10">
        <f>-'Cash Flow Statement'!D8</f>
        <v>21038.72346862534</v>
      </c>
      <c r="G26" s="10"/>
      <c r="H26" s="10">
        <f>SUM(B26:G26)</f>
        <v>21038.72346862534</v>
      </c>
      <c r="I26" s="10"/>
      <c r="J26" s="10"/>
      <c r="K26" s="10">
        <f>'Cash Flow Statement'!D8</f>
        <v>-21038.72346862534</v>
      </c>
      <c r="L26" s="10">
        <f>-'Cash Flow Statement'!E8</f>
        <v>22628.215317744725</v>
      </c>
      <c r="M26" s="10"/>
      <c r="N26" s="10">
        <f>SUM(H26:M26)</f>
        <v>22628.215317744725</v>
      </c>
      <c r="O26" s="10"/>
      <c r="P26" s="10"/>
      <c r="Q26" s="10">
        <f>'Cash Flow Statement'!E8</f>
        <v>-22628.215317744725</v>
      </c>
      <c r="R26" s="10">
        <f>-'Cash Flow Statement'!F8</f>
        <v>24337.794506867624</v>
      </c>
      <c r="S26" s="10"/>
      <c r="T26" s="10">
        <f>SUM(N26:S26)</f>
        <v>24337.794506867624</v>
      </c>
      <c r="U26" s="10"/>
      <c r="V26" s="10"/>
      <c r="W26" s="10">
        <f>'Cash Flow Statement'!F8</f>
        <v>-24337.794506867624</v>
      </c>
      <c r="X26" s="10">
        <f>-'Cash Flow Statement'!G8</f>
        <v>27985.025289046665</v>
      </c>
      <c r="Y26" s="10"/>
      <c r="Z26" s="10">
        <f>SUM(T26:Y26)</f>
        <v>27985.025289046665</v>
      </c>
      <c r="AA26" s="10"/>
      <c r="AB26" s="10"/>
      <c r="AC26" s="10">
        <f>'Cash Flow Statement'!G8</f>
        <v>-27985.025289046665</v>
      </c>
      <c r="AD26" s="10">
        <f>-'Cash Flow Statement'!H8</f>
        <v>30041.924647791588</v>
      </c>
      <c r="AE26" s="10"/>
      <c r="AF26" s="10">
        <f>SUM(Z26:AE26)</f>
        <v>30041.924647791588</v>
      </c>
      <c r="AG26" s="10"/>
      <c r="AH26" s="10"/>
      <c r="AI26" s="10">
        <f>'Cash Flow Statement'!H8</f>
        <v>-30041.924647791588</v>
      </c>
      <c r="AJ26" s="10">
        <f>-'Cash Flow Statement'!I8</f>
        <v>32250.00610940429</v>
      </c>
      <c r="AK26" s="10"/>
      <c r="AL26" s="10">
        <f>SUM(AF26:AK26)</f>
        <v>32250.00610940429</v>
      </c>
    </row>
    <row r="27" spans="1:38" s="1" customFormat="1" ht="14.1" customHeight="1">
      <c r="A27" s="10" t="s">
        <v>27</v>
      </c>
      <c r="B27" s="12">
        <f>-SUM('Cash Flow Statement'!D8:AH8)</f>
        <v>735975.41631460015</v>
      </c>
      <c r="C27" s="12"/>
      <c r="D27" s="12"/>
      <c r="E27" s="12"/>
      <c r="F27" s="12">
        <f>-F26</f>
        <v>-21038.72346862534</v>
      </c>
      <c r="G27" s="12"/>
      <c r="H27" s="12">
        <f>SUM(B27:G27)</f>
        <v>714936.69284597482</v>
      </c>
      <c r="I27" s="12"/>
      <c r="J27" s="12"/>
      <c r="K27" s="12"/>
      <c r="L27" s="12">
        <f>-L26</f>
        <v>-22628.215317744725</v>
      </c>
      <c r="M27" s="12"/>
      <c r="N27" s="12">
        <f>SUM(H27:M27)</f>
        <v>692308.47752823005</v>
      </c>
      <c r="O27" s="12"/>
      <c r="P27" s="12"/>
      <c r="Q27" s="12"/>
      <c r="R27" s="12">
        <f>-R26</f>
        <v>-24337.794506867624</v>
      </c>
      <c r="S27" s="12"/>
      <c r="T27" s="12">
        <f>SUM(N27:S27)</f>
        <v>667970.68302136241</v>
      </c>
      <c r="U27" s="12"/>
      <c r="V27" s="12"/>
      <c r="W27" s="12"/>
      <c r="X27" s="12">
        <f>-X26</f>
        <v>-27985.025289046665</v>
      </c>
      <c r="Y27" s="12"/>
      <c r="Z27" s="12">
        <f>SUM(T27:Y27)</f>
        <v>639985.65773231571</v>
      </c>
      <c r="AA27" s="12"/>
      <c r="AB27" s="12"/>
      <c r="AC27" s="12"/>
      <c r="AD27" s="12">
        <f>-AD26</f>
        <v>-30041.924647791588</v>
      </c>
      <c r="AE27" s="12"/>
      <c r="AF27" s="12">
        <f>SUM(Z27:AE27)</f>
        <v>609943.73308452417</v>
      </c>
      <c r="AG27" s="12"/>
      <c r="AH27" s="12"/>
      <c r="AI27" s="12"/>
      <c r="AJ27" s="12">
        <f>-AJ26</f>
        <v>-32250.00610940429</v>
      </c>
      <c r="AK27" s="12"/>
      <c r="AL27" s="12">
        <f>SUM(AF27:AK27)</f>
        <v>577693.72697511991</v>
      </c>
    </row>
    <row r="28" spans="1:38" s="1" customFormat="1" ht="14.1" customHeight="1">
      <c r="A28" s="8" t="s">
        <v>95</v>
      </c>
      <c r="B28" s="12">
        <f t="shared" ref="B28:T28" si="5">SUM(B25:B27)</f>
        <v>759904</v>
      </c>
      <c r="C28" s="12">
        <f t="shared" si="5"/>
        <v>89336.486037555063</v>
      </c>
      <c r="D28" s="12">
        <f t="shared" si="5"/>
        <v>-18904</v>
      </c>
      <c r="E28" s="12">
        <f t="shared" si="5"/>
        <v>-46298.776716396707</v>
      </c>
      <c r="F28" s="12">
        <f>SUM(F25:F27)</f>
        <v>0</v>
      </c>
      <c r="G28" s="12">
        <f>SUM(G25:G27)</f>
        <v>0</v>
      </c>
      <c r="H28" s="12">
        <f t="shared" si="5"/>
        <v>784037.70932115836</v>
      </c>
      <c r="I28" s="12">
        <f t="shared" si="5"/>
        <v>132513.48738031319</v>
      </c>
      <c r="J28" s="12">
        <f t="shared" si="5"/>
        <v>-48062.293006558233</v>
      </c>
      <c r="K28" s="12">
        <f t="shared" si="5"/>
        <v>-97852.901882911654</v>
      </c>
      <c r="L28" s="12">
        <f t="shared" si="5"/>
        <v>0</v>
      </c>
      <c r="M28" s="12">
        <f t="shared" si="5"/>
        <v>0</v>
      </c>
      <c r="N28" s="12">
        <f t="shared" si="5"/>
        <v>770636.00181200169</v>
      </c>
      <c r="O28" s="12">
        <f t="shared" si="5"/>
        <v>147254.1985531247</v>
      </c>
      <c r="P28" s="12">
        <f t="shared" si="5"/>
        <v>-55699.308966026874</v>
      </c>
      <c r="Q28" s="12">
        <f t="shared" si="5"/>
        <v>-105987.98566194379</v>
      </c>
      <c r="R28" s="12">
        <f t="shared" si="5"/>
        <v>0</v>
      </c>
      <c r="S28" s="12">
        <f t="shared" si="5"/>
        <v>0</v>
      </c>
      <c r="T28" s="12">
        <f t="shared" si="5"/>
        <v>756202.9057371557</v>
      </c>
      <c r="U28" s="12">
        <f t="shared" ref="U28:AL28" si="6">SUM(U25:U27)</f>
        <v>155391.8931015018</v>
      </c>
      <c r="V28" s="12">
        <f t="shared" si="6"/>
        <v>-63894.428208925645</v>
      </c>
      <c r="W28" s="12">
        <f t="shared" si="6"/>
        <v>-106955.26888404446</v>
      </c>
      <c r="X28" s="12">
        <f t="shared" si="6"/>
        <v>0</v>
      </c>
      <c r="Y28" s="12">
        <f t="shared" si="6"/>
        <v>0</v>
      </c>
      <c r="Z28" s="12">
        <f t="shared" si="6"/>
        <v>740745.10174568731</v>
      </c>
      <c r="AA28" s="12">
        <f t="shared" si="6"/>
        <v>147107.43571365986</v>
      </c>
      <c r="AB28" s="12">
        <f t="shared" si="6"/>
        <v>-72774.418724324962</v>
      </c>
      <c r="AC28" s="12">
        <f t="shared" si="6"/>
        <v>-102063.25652515619</v>
      </c>
      <c r="AD28" s="12">
        <f t="shared" si="6"/>
        <v>0</v>
      </c>
      <c r="AE28" s="12">
        <f t="shared" si="6"/>
        <v>0</v>
      </c>
      <c r="AF28" s="12">
        <f t="shared" si="6"/>
        <v>713014.86220986606</v>
      </c>
      <c r="AG28" s="12">
        <f t="shared" si="6"/>
        <v>146918.10769809596</v>
      </c>
      <c r="AH28" s="12">
        <f t="shared" si="6"/>
        <v>-73029.204477550331</v>
      </c>
      <c r="AI28" s="12">
        <f t="shared" si="6"/>
        <v>-103140.30134435616</v>
      </c>
      <c r="AJ28" s="12">
        <f t="shared" si="6"/>
        <v>0</v>
      </c>
      <c r="AK28" s="12">
        <f t="shared" si="6"/>
        <v>0</v>
      </c>
      <c r="AL28" s="12">
        <f t="shared" si="6"/>
        <v>683762.96408605552</v>
      </c>
    </row>
    <row r="29" spans="1:38" s="1" customFormat="1" ht="14.1" customHeight="1">
      <c r="A29" s="8"/>
      <c r="C29" s="57"/>
      <c r="D29" s="10"/>
      <c r="E29" s="10"/>
      <c r="F29" s="10"/>
      <c r="G29" s="10"/>
      <c r="I29" s="57"/>
      <c r="J29" s="10"/>
      <c r="K29" s="10"/>
      <c r="L29" s="10"/>
      <c r="M29" s="10"/>
      <c r="N29" s="10"/>
      <c r="O29" s="57"/>
      <c r="P29" s="10"/>
      <c r="Q29" s="10"/>
      <c r="R29" s="10"/>
      <c r="S29" s="10"/>
      <c r="T29" s="10"/>
      <c r="U29" s="57"/>
      <c r="V29" s="10"/>
      <c r="W29" s="10"/>
      <c r="X29" s="10"/>
      <c r="Y29" s="10"/>
      <c r="Z29" s="10"/>
      <c r="AA29" s="57"/>
      <c r="AB29" s="10"/>
      <c r="AC29" s="10"/>
      <c r="AD29" s="10"/>
      <c r="AE29" s="10"/>
      <c r="AF29" s="10"/>
      <c r="AG29" s="57"/>
      <c r="AH29" s="10"/>
      <c r="AI29" s="10"/>
      <c r="AJ29" s="10"/>
      <c r="AK29" s="10"/>
      <c r="AL29" s="10"/>
    </row>
    <row r="30" spans="1:38" s="1" customFormat="1" ht="14.1" customHeight="1">
      <c r="A30" s="8" t="s">
        <v>28</v>
      </c>
      <c r="B30" s="57">
        <v>587000</v>
      </c>
      <c r="C30" s="10">
        <f>+'Income Statement'!E49</f>
        <v>38991.705768404907</v>
      </c>
      <c r="D30" s="10"/>
      <c r="E30" s="10"/>
      <c r="F30" s="10"/>
      <c r="G30" s="10">
        <f>+G7</f>
        <v>0</v>
      </c>
      <c r="H30" s="57">
        <f>SUM(B30:G30)</f>
        <v>625991.70576840488</v>
      </c>
      <c r="I30" s="10">
        <f>+'Income Statement'!F49</f>
        <v>48907.105220563273</v>
      </c>
      <c r="J30" s="10"/>
      <c r="K30" s="10"/>
      <c r="L30" s="10"/>
      <c r="M30" s="10">
        <f>+M7</f>
        <v>-55810.519067894762</v>
      </c>
      <c r="N30" s="10">
        <f>SUM(H30:M30)</f>
        <v>619088.29192107334</v>
      </c>
      <c r="O30" s="10">
        <f>+'Income Statement'!G49</f>
        <v>58798.241003723408</v>
      </c>
      <c r="P30" s="10"/>
      <c r="Q30" s="10"/>
      <c r="R30" s="10"/>
      <c r="S30" s="10">
        <f>+S7</f>
        <v>-59249.996833544225</v>
      </c>
      <c r="T30" s="10">
        <f>SUM(N30:S30)</f>
        <v>618636.53609125246</v>
      </c>
      <c r="U30" s="10">
        <f>+'Income Statement'!H49</f>
        <v>70706.53439089004</v>
      </c>
      <c r="V30" s="10"/>
      <c r="W30" s="10"/>
      <c r="X30" s="10"/>
      <c r="Y30" s="10">
        <f>+Y7</f>
        <v>-63947.169453131508</v>
      </c>
      <c r="Z30" s="10">
        <f>SUM(T30:Y30)</f>
        <v>625395.901029011</v>
      </c>
      <c r="AA30" s="10">
        <f>+'Income Statement'!I49</f>
        <v>67560.756546340621</v>
      </c>
      <c r="AB30" s="10"/>
      <c r="AC30" s="10"/>
      <c r="AD30" s="10"/>
      <c r="AE30" s="10">
        <f>+AE7</f>
        <v>-58551.696402600712</v>
      </c>
      <c r="AF30" s="10">
        <f>SUM(Z30:AE30)</f>
        <v>634404.96117275092</v>
      </c>
      <c r="AG30" s="10">
        <f>+'Income Statement'!J49</f>
        <v>67578.277806096623</v>
      </c>
      <c r="AH30" s="10"/>
      <c r="AI30" s="10"/>
      <c r="AJ30" s="10"/>
      <c r="AK30" s="10">
        <f>+AK7</f>
        <v>-56110.789693458828</v>
      </c>
      <c r="AL30" s="10">
        <f>SUM(AF30:AK30)</f>
        <v>645872.44928538869</v>
      </c>
    </row>
    <row r="31" spans="1:38" s="1" customFormat="1" ht="14.1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1" customFormat="1" ht="14.1" customHeight="1" thickBot="1">
      <c r="A32" s="8" t="s">
        <v>29</v>
      </c>
      <c r="B32" s="15">
        <f t="shared" ref="B32:K32" si="7">+B30+B28</f>
        <v>1346904</v>
      </c>
      <c r="C32" s="15">
        <f t="shared" si="7"/>
        <v>128328.19180595997</v>
      </c>
      <c r="D32" s="15">
        <f t="shared" si="7"/>
        <v>-18904</v>
      </c>
      <c r="E32" s="15">
        <f t="shared" si="7"/>
        <v>-46298.776716396707</v>
      </c>
      <c r="F32" s="15">
        <f t="shared" si="7"/>
        <v>0</v>
      </c>
      <c r="G32" s="15">
        <f t="shared" si="7"/>
        <v>0</v>
      </c>
      <c r="H32" s="15">
        <f t="shared" si="7"/>
        <v>1410029.4150895632</v>
      </c>
      <c r="I32" s="15">
        <f t="shared" si="7"/>
        <v>181420.59260087647</v>
      </c>
      <c r="J32" s="15">
        <f t="shared" si="7"/>
        <v>-48062.293006558233</v>
      </c>
      <c r="K32" s="15">
        <f t="shared" si="7"/>
        <v>-97852.901882911654</v>
      </c>
      <c r="L32" s="15">
        <f t="shared" ref="L32:Q32" si="8">+L30+L28</f>
        <v>0</v>
      </c>
      <c r="M32" s="15">
        <f t="shared" si="8"/>
        <v>-55810.519067894762</v>
      </c>
      <c r="N32" s="15">
        <f t="shared" si="8"/>
        <v>1389724.293733075</v>
      </c>
      <c r="O32" s="15">
        <f t="shared" si="8"/>
        <v>206052.43955684811</v>
      </c>
      <c r="P32" s="15">
        <f t="shared" si="8"/>
        <v>-55699.308966026874</v>
      </c>
      <c r="Q32" s="15">
        <f t="shared" si="8"/>
        <v>-105987.98566194379</v>
      </c>
      <c r="R32" s="15">
        <f t="shared" ref="R32:AL32" si="9">+R30+R28</f>
        <v>0</v>
      </c>
      <c r="S32" s="15">
        <f t="shared" si="9"/>
        <v>-59249.996833544225</v>
      </c>
      <c r="T32" s="15">
        <f t="shared" si="9"/>
        <v>1374839.4418284083</v>
      </c>
      <c r="U32" s="15">
        <f t="shared" si="9"/>
        <v>226098.42749239184</v>
      </c>
      <c r="V32" s="15">
        <f t="shared" si="9"/>
        <v>-63894.428208925645</v>
      </c>
      <c r="W32" s="15">
        <f t="shared" si="9"/>
        <v>-106955.26888404446</v>
      </c>
      <c r="X32" s="15">
        <f t="shared" si="9"/>
        <v>0</v>
      </c>
      <c r="Y32" s="15">
        <f t="shared" si="9"/>
        <v>-63947.169453131508</v>
      </c>
      <c r="Z32" s="15">
        <f t="shared" si="9"/>
        <v>1366141.0027746982</v>
      </c>
      <c r="AA32" s="15">
        <f t="shared" si="9"/>
        <v>214668.19226000048</v>
      </c>
      <c r="AB32" s="15">
        <f t="shared" si="9"/>
        <v>-72774.418724324962</v>
      </c>
      <c r="AC32" s="15">
        <f t="shared" si="9"/>
        <v>-102063.25652515619</v>
      </c>
      <c r="AD32" s="15">
        <f t="shared" si="9"/>
        <v>0</v>
      </c>
      <c r="AE32" s="15">
        <f t="shared" si="9"/>
        <v>-58551.696402600712</v>
      </c>
      <c r="AF32" s="15">
        <f t="shared" si="9"/>
        <v>1347419.823382617</v>
      </c>
      <c r="AG32" s="15">
        <f t="shared" si="9"/>
        <v>214496.38550419259</v>
      </c>
      <c r="AH32" s="15">
        <f t="shared" si="9"/>
        <v>-73029.204477550331</v>
      </c>
      <c r="AI32" s="15">
        <f t="shared" si="9"/>
        <v>-103140.30134435616</v>
      </c>
      <c r="AJ32" s="15">
        <f t="shared" si="9"/>
        <v>0</v>
      </c>
      <c r="AK32" s="15">
        <f t="shared" si="9"/>
        <v>-56110.789693458828</v>
      </c>
      <c r="AL32" s="15">
        <f t="shared" si="9"/>
        <v>1329635.4133714442</v>
      </c>
    </row>
    <row r="33" spans="1:38" s="1" customFormat="1" ht="14.1" customHeight="1" thickTop="1">
      <c r="A33" s="8"/>
      <c r="B33" s="17">
        <f>B18-B32</f>
        <v>-0.4099404274020344</v>
      </c>
      <c r="C33" s="17">
        <f t="shared" ref="C33:AL33" si="10">C18-C32</f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-0.4099404274020344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-0.4099404274020344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-0.40994042716920376</v>
      </c>
      <c r="U33" s="17">
        <f t="shared" si="10"/>
        <v>0</v>
      </c>
      <c r="V33" s="17">
        <f t="shared" si="10"/>
        <v>0</v>
      </c>
      <c r="W33" s="17">
        <f t="shared" si="10"/>
        <v>0</v>
      </c>
      <c r="X33" s="17">
        <f t="shared" si="10"/>
        <v>0</v>
      </c>
      <c r="Y33" s="17">
        <f t="shared" si="10"/>
        <v>0</v>
      </c>
      <c r="Z33" s="17">
        <f t="shared" si="10"/>
        <v>-0.40994042693637311</v>
      </c>
      <c r="AA33" s="17">
        <f t="shared" si="10"/>
        <v>0</v>
      </c>
      <c r="AB33" s="17">
        <f t="shared" si="10"/>
        <v>0</v>
      </c>
      <c r="AC33" s="17">
        <f t="shared" si="10"/>
        <v>0</v>
      </c>
      <c r="AD33" s="17">
        <f t="shared" si="10"/>
        <v>0</v>
      </c>
      <c r="AE33" s="17">
        <f t="shared" si="10"/>
        <v>0</v>
      </c>
      <c r="AF33" s="17">
        <f t="shared" si="10"/>
        <v>-0.40994042716920376</v>
      </c>
      <c r="AG33" s="17">
        <f t="shared" si="10"/>
        <v>0</v>
      </c>
      <c r="AH33" s="17">
        <f t="shared" si="10"/>
        <v>0</v>
      </c>
      <c r="AI33" s="17">
        <f t="shared" si="10"/>
        <v>0</v>
      </c>
      <c r="AJ33" s="17">
        <f t="shared" si="10"/>
        <v>0</v>
      </c>
      <c r="AK33" s="17">
        <f t="shared" si="10"/>
        <v>0</v>
      </c>
      <c r="AL33" s="17">
        <f t="shared" si="10"/>
        <v>-0.90994042716920376</v>
      </c>
    </row>
    <row r="34" spans="1:38" s="1" customFormat="1" ht="14.1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1:38" s="1" customFormat="1" ht="14.1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38" s="1" customFormat="1" ht="14.1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1:38" s="1" customFormat="1" ht="14.1" customHeight="1">
      <c r="A37" s="8"/>
      <c r="B37" s="1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1:38" s="1" customForma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1:38" s="1" customForma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1:38" hidden="1" outlineLevel="1">
      <c r="A40" s="72" t="s">
        <v>40</v>
      </c>
      <c r="B40" s="18"/>
      <c r="C40" s="18"/>
      <c r="D40" s="18"/>
      <c r="E40" s="18"/>
      <c r="F40" s="18"/>
      <c r="G40" s="19"/>
      <c r="H40" s="18">
        <f>+H28/H32</f>
        <v>0.55604351294427234</v>
      </c>
      <c r="I40" s="18"/>
      <c r="J40" s="18"/>
      <c r="K40" s="18"/>
      <c r="L40" s="18"/>
      <c r="M40" s="19"/>
      <c r="N40" s="18">
        <f>+N28/N32</f>
        <v>0.55452437961052015</v>
      </c>
      <c r="O40" s="18"/>
      <c r="P40" s="18"/>
      <c r="Q40" s="18"/>
      <c r="R40" s="18"/>
      <c r="S40" s="19"/>
      <c r="T40" s="18">
        <f>+T28/T32</f>
        <v>0.55002997639599016</v>
      </c>
      <c r="U40" s="18"/>
      <c r="V40" s="18"/>
      <c r="W40" s="18"/>
      <c r="X40" s="18"/>
      <c r="Y40" s="19"/>
      <c r="Z40" s="18">
        <f>+Z28/Z32</f>
        <v>0.54221716516904062</v>
      </c>
      <c r="AA40" s="18"/>
      <c r="AB40" s="18"/>
      <c r="AC40" s="18"/>
      <c r="AD40" s="18"/>
      <c r="AE40" s="19"/>
      <c r="AF40" s="18">
        <f>+AF28/AF32</f>
        <v>0.52917053010240334</v>
      </c>
      <c r="AG40" s="18"/>
      <c r="AH40" s="18"/>
      <c r="AI40" s="18"/>
      <c r="AJ40" s="18"/>
      <c r="AK40" s="19"/>
      <c r="AL40" s="18">
        <f>+AL28/AL32</f>
        <v>0.51424846029957605</v>
      </c>
    </row>
    <row r="41" spans="1:38" hidden="1" outlineLevel="1">
      <c r="A41" s="72" t="s">
        <v>41</v>
      </c>
      <c r="B41" s="20"/>
      <c r="C41" s="20"/>
      <c r="D41" s="20"/>
      <c r="E41" s="20"/>
      <c r="F41" s="20"/>
      <c r="G41" s="20"/>
      <c r="H41" s="20">
        <f>+'Income Statement'!E40/'Income Statement'!E44</f>
        <v>4.2526998425268312</v>
      </c>
      <c r="I41" s="20"/>
      <c r="J41" s="20"/>
      <c r="K41" s="20"/>
      <c r="L41" s="20"/>
      <c r="M41" s="20"/>
      <c r="N41" s="20">
        <f>+'Income Statement'!F40/'Income Statement'!F44</f>
        <v>3.7194838080678871</v>
      </c>
      <c r="O41" s="20"/>
      <c r="P41" s="20"/>
      <c r="Q41" s="20"/>
      <c r="R41" s="20"/>
      <c r="S41" s="20"/>
      <c r="T41" s="20">
        <f>+'Income Statement'!G40/'Income Statement'!G44</f>
        <v>4.1802025290594162</v>
      </c>
      <c r="U41" s="20"/>
      <c r="V41" s="20"/>
      <c r="W41" s="20"/>
      <c r="X41" s="20"/>
      <c r="Y41" s="20"/>
      <c r="Z41" s="20">
        <f>+'Income Statement'!H40/'Income Statement'!H44</f>
        <v>4.702989338038563</v>
      </c>
      <c r="AA41" s="20"/>
      <c r="AB41" s="20"/>
      <c r="AC41" s="20"/>
      <c r="AD41" s="20"/>
      <c r="AE41" s="20"/>
      <c r="AF41" s="20">
        <f>+'Income Statement'!I40/'Income Statement'!I44</f>
        <v>4.5499938656970595</v>
      </c>
      <c r="AG41" s="20"/>
      <c r="AH41" s="20"/>
      <c r="AI41" s="20"/>
      <c r="AJ41" s="20"/>
      <c r="AK41" s="20"/>
      <c r="AL41" s="20">
        <f>+'Income Statement'!J40/'Income Statement'!J44</f>
        <v>4.7397740962498824</v>
      </c>
    </row>
    <row r="42" spans="1:38" hidden="1" outlineLevel="1">
      <c r="A42" s="72" t="s">
        <v>42</v>
      </c>
      <c r="B42" s="21"/>
      <c r="C42" s="21"/>
      <c r="D42" s="21"/>
      <c r="E42" s="21"/>
      <c r="F42" s="21"/>
      <c r="G42" s="21"/>
      <c r="H42" s="21">
        <f>+H14/H18</f>
        <v>0.93372988551813185</v>
      </c>
      <c r="I42" s="21"/>
      <c r="J42" s="21"/>
      <c r="K42" s="21"/>
      <c r="L42" s="21"/>
      <c r="M42" s="21"/>
      <c r="N42" s="21">
        <f>+N14/N18</f>
        <v>0.91374687472529159</v>
      </c>
      <c r="O42" s="21"/>
      <c r="P42" s="21"/>
      <c r="Q42" s="21"/>
      <c r="R42" s="21"/>
      <c r="S42" s="21"/>
      <c r="T42" s="21">
        <f>+T14/T18</f>
        <v>0.88964995986363704</v>
      </c>
      <c r="U42" s="21"/>
      <c r="V42" s="21"/>
      <c r="W42" s="21"/>
      <c r="X42" s="21"/>
      <c r="Y42" s="21"/>
      <c r="Z42" s="21">
        <f>+Z14/Z18</f>
        <v>0.86110838789217681</v>
      </c>
      <c r="AA42" s="21"/>
      <c r="AB42" s="21"/>
      <c r="AC42" s="21"/>
      <c r="AD42" s="21"/>
      <c r="AE42" s="21"/>
      <c r="AF42" s="21">
        <f>+AF14/AF18</f>
        <v>0.83839133253628728</v>
      </c>
      <c r="AG42" s="21"/>
      <c r="AH42" s="21"/>
      <c r="AI42" s="21"/>
      <c r="AJ42" s="21"/>
      <c r="AK42" s="21"/>
      <c r="AL42" s="21">
        <f>+AL14/AL18</f>
        <v>0.81446020595743507</v>
      </c>
    </row>
    <row r="43" spans="1:38" hidden="1" outlineLevel="1">
      <c r="A43" s="73" t="s">
        <v>43</v>
      </c>
      <c r="B43" s="19"/>
      <c r="C43" s="19"/>
      <c r="D43" s="19"/>
      <c r="E43" s="19"/>
      <c r="F43" s="19"/>
      <c r="G43" s="19"/>
      <c r="H43" s="19">
        <f>+(H7+H9)/(H25+H26)</f>
        <v>1.2946232654351155</v>
      </c>
      <c r="I43" s="19"/>
      <c r="J43" s="19"/>
      <c r="K43" s="19"/>
      <c r="L43" s="19"/>
      <c r="M43" s="19"/>
      <c r="N43" s="19">
        <f>+(N7+N9)/(N25+N26)</f>
        <v>1.4794930556745745</v>
      </c>
      <c r="O43" s="19"/>
      <c r="P43" s="19"/>
      <c r="Q43" s="19"/>
      <c r="R43" s="19"/>
      <c r="S43" s="19"/>
      <c r="T43" s="19">
        <f>+(T7+T9)/(T25+T26)</f>
        <v>1.6743377623584863</v>
      </c>
      <c r="U43" s="19"/>
      <c r="V43" s="19"/>
      <c r="W43" s="19"/>
      <c r="X43" s="19"/>
      <c r="Y43" s="19"/>
      <c r="Z43" s="19">
        <f>+(Z7+Z9)/(Z25+Z26)</f>
        <v>1.8436234054649694</v>
      </c>
      <c r="AA43" s="19"/>
      <c r="AB43" s="19"/>
      <c r="AC43" s="19"/>
      <c r="AD43" s="19"/>
      <c r="AE43" s="19"/>
      <c r="AF43" s="19">
        <f>+(AF7+AF9)/(AF25+AF26)</f>
        <v>2.074020705266244</v>
      </c>
      <c r="AG43" s="19"/>
      <c r="AH43" s="19"/>
      <c r="AI43" s="19"/>
      <c r="AJ43" s="19"/>
      <c r="AK43" s="19"/>
      <c r="AL43" s="19">
        <f>+(AL7+AL9)/(AL25+AL26)</f>
        <v>2.28828940915853</v>
      </c>
    </row>
    <row r="44" spans="1:38" hidden="1" outlineLevel="1">
      <c r="A44" s="7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idden="1" outlineLevel="1">
      <c r="A45" s="74"/>
      <c r="B45" s="19"/>
      <c r="C45" s="23"/>
      <c r="D45" s="23"/>
      <c r="E45" s="23"/>
      <c r="F45" s="23"/>
      <c r="G45" s="23"/>
      <c r="H45" s="1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idden="1" outlineLevel="1">
      <c r="A46" s="7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idden="1" outlineLevel="1">
      <c r="B47" s="24"/>
      <c r="H47" s="24"/>
    </row>
    <row r="48" spans="1:38" hidden="1" outlineLevel="1">
      <c r="A48" s="75"/>
      <c r="B48" s="25" t="s">
        <v>64</v>
      </c>
      <c r="D48" s="26"/>
      <c r="E48" s="26"/>
      <c r="I48" s="26"/>
      <c r="J48" s="26"/>
      <c r="K48" s="26"/>
    </row>
    <row r="49" spans="1:34" hidden="1" outlineLevel="1">
      <c r="A49" s="76"/>
      <c r="B49" s="26"/>
      <c r="D49" s="26"/>
      <c r="E49" s="26"/>
      <c r="I49" s="26"/>
      <c r="J49" s="26"/>
      <c r="K49" s="26"/>
    </row>
    <row r="50" spans="1:34" hidden="1" outlineLevel="1">
      <c r="A50" s="27"/>
      <c r="B50" s="28" t="s">
        <v>65</v>
      </c>
      <c r="D50" s="29"/>
      <c r="E50" s="26"/>
      <c r="I50" s="26"/>
      <c r="J50" s="29"/>
      <c r="K50" s="26"/>
    </row>
    <row r="51" spans="1:34" hidden="1" outlineLevel="1">
      <c r="A51" s="27"/>
      <c r="B51" s="27" t="s">
        <v>17</v>
      </c>
      <c r="D51" s="29" t="s">
        <v>66</v>
      </c>
      <c r="E51" s="26"/>
      <c r="I51" s="26"/>
      <c r="J51" s="29"/>
      <c r="K51" s="26"/>
    </row>
    <row r="52" spans="1:34" hidden="1" outlineLevel="1">
      <c r="A52" s="27"/>
      <c r="B52" s="27" t="s">
        <v>67</v>
      </c>
      <c r="D52" s="30" t="s">
        <v>68</v>
      </c>
      <c r="E52" s="26"/>
      <c r="I52" s="26"/>
      <c r="J52" s="30"/>
      <c r="K52" s="26"/>
      <c r="P52" s="31"/>
      <c r="V52" s="31"/>
      <c r="AB52" s="31"/>
      <c r="AH52" s="31"/>
    </row>
    <row r="53" spans="1:34" hidden="1" outlineLevel="1">
      <c r="A53" s="27"/>
      <c r="B53" s="27" t="s">
        <v>69</v>
      </c>
      <c r="D53" s="29" t="s">
        <v>70</v>
      </c>
      <c r="E53" s="26"/>
      <c r="I53" s="26"/>
      <c r="J53" s="29"/>
      <c r="K53" s="26"/>
      <c r="P53" s="31"/>
      <c r="V53" s="31"/>
      <c r="AB53" s="31"/>
      <c r="AH53" s="31"/>
    </row>
    <row r="54" spans="1:34" hidden="1" outlineLevel="1">
      <c r="A54" s="27"/>
      <c r="B54" s="27" t="s">
        <v>71</v>
      </c>
      <c r="D54" s="29" t="s">
        <v>89</v>
      </c>
      <c r="E54" s="26"/>
      <c r="I54" s="26"/>
      <c r="J54" s="29"/>
      <c r="K54" s="26"/>
      <c r="P54" s="32"/>
      <c r="V54" s="32"/>
      <c r="AB54" s="32"/>
      <c r="AH54" s="32"/>
    </row>
    <row r="55" spans="1:34" hidden="1" outlineLevel="1">
      <c r="A55" s="27"/>
      <c r="B55" s="33" t="s">
        <v>72</v>
      </c>
      <c r="D55" s="30" t="s">
        <v>73</v>
      </c>
      <c r="E55" s="26"/>
      <c r="I55" s="26"/>
      <c r="J55" s="30"/>
      <c r="K55" s="26"/>
      <c r="P55" s="31"/>
      <c r="V55" s="31"/>
      <c r="AB55" s="31"/>
      <c r="AH55" s="31"/>
    </row>
    <row r="56" spans="1:34" hidden="1" outlineLevel="1">
      <c r="A56" s="27"/>
      <c r="B56" s="27"/>
      <c r="D56" s="30"/>
      <c r="E56" s="26"/>
      <c r="I56" s="26"/>
      <c r="J56" s="30"/>
      <c r="K56" s="26"/>
      <c r="P56" s="31"/>
      <c r="V56" s="31"/>
      <c r="AB56" s="31"/>
      <c r="AH56" s="31"/>
    </row>
    <row r="57" spans="1:34" hidden="1" outlineLevel="1">
      <c r="A57" s="16"/>
      <c r="B57" s="25" t="s">
        <v>38</v>
      </c>
      <c r="D57" s="30"/>
      <c r="E57" s="26"/>
      <c r="I57" s="26"/>
      <c r="J57" s="30"/>
      <c r="K57" s="26"/>
      <c r="P57" s="32"/>
      <c r="V57" s="32"/>
      <c r="AB57" s="32"/>
      <c r="AH57" s="32"/>
    </row>
    <row r="58" spans="1:34" hidden="1" outlineLevel="1">
      <c r="A58" s="27"/>
      <c r="B58" s="27" t="s">
        <v>17</v>
      </c>
      <c r="D58" s="30" t="s">
        <v>74</v>
      </c>
      <c r="E58" s="26"/>
      <c r="I58" s="26"/>
      <c r="J58" s="30"/>
      <c r="K58" s="26"/>
      <c r="P58" s="32"/>
      <c r="V58" s="32"/>
      <c r="AB58" s="32"/>
      <c r="AH58" s="32"/>
    </row>
    <row r="59" spans="1:34" hidden="1" outlineLevel="1">
      <c r="A59" s="27"/>
      <c r="B59" s="27" t="s">
        <v>67</v>
      </c>
      <c r="D59" s="30" t="s">
        <v>75</v>
      </c>
      <c r="E59" s="26"/>
      <c r="I59" s="26"/>
      <c r="J59" s="30"/>
      <c r="K59" s="26"/>
      <c r="P59" s="32"/>
      <c r="V59" s="32"/>
      <c r="AB59" s="32"/>
      <c r="AH59" s="32"/>
    </row>
    <row r="60" spans="1:34" hidden="1" outlineLevel="1">
      <c r="A60" s="27"/>
      <c r="B60" s="27" t="s">
        <v>71</v>
      </c>
      <c r="D60" s="30" t="s">
        <v>76</v>
      </c>
      <c r="E60" s="26"/>
      <c r="I60" s="26"/>
      <c r="J60" s="30"/>
      <c r="K60" s="26"/>
      <c r="P60" s="32"/>
      <c r="V60" s="32"/>
      <c r="AB60" s="32"/>
      <c r="AH60" s="32"/>
    </row>
    <row r="61" spans="1:34" hidden="1" outlineLevel="1">
      <c r="A61" s="27"/>
      <c r="B61" s="27"/>
      <c r="D61" s="30"/>
      <c r="E61" s="26"/>
      <c r="I61" s="26"/>
      <c r="J61" s="30"/>
      <c r="K61" s="26"/>
      <c r="P61" s="32"/>
      <c r="V61" s="32"/>
      <c r="AB61" s="32"/>
      <c r="AH61" s="32"/>
    </row>
    <row r="62" spans="1:34" hidden="1" outlineLevel="1">
      <c r="A62" s="27"/>
      <c r="B62" s="25" t="s">
        <v>35</v>
      </c>
      <c r="D62" s="30"/>
      <c r="E62" s="26"/>
      <c r="I62" s="26"/>
      <c r="J62" s="30"/>
      <c r="K62" s="26"/>
      <c r="P62" s="32"/>
      <c r="V62" s="32"/>
      <c r="AB62" s="32"/>
      <c r="AH62" s="32"/>
    </row>
    <row r="63" spans="1:34" hidden="1" outlineLevel="1">
      <c r="A63" s="27"/>
      <c r="B63" s="27" t="s">
        <v>17</v>
      </c>
      <c r="D63" s="30" t="s">
        <v>77</v>
      </c>
      <c r="E63" s="26"/>
      <c r="I63" s="26"/>
      <c r="J63" s="30"/>
      <c r="K63" s="26"/>
      <c r="P63" s="32"/>
      <c r="V63" s="32"/>
      <c r="AB63" s="32"/>
      <c r="AH63" s="32"/>
    </row>
    <row r="64" spans="1:34" hidden="1" outlineLevel="1">
      <c r="A64" s="27"/>
      <c r="B64" s="27" t="s">
        <v>71</v>
      </c>
      <c r="D64" s="29" t="s">
        <v>90</v>
      </c>
      <c r="E64" s="26"/>
      <c r="I64" s="26"/>
      <c r="J64" s="30"/>
      <c r="K64" s="26"/>
      <c r="P64" s="32"/>
      <c r="V64" s="32"/>
      <c r="AB64" s="32"/>
      <c r="AH64" s="32"/>
    </row>
    <row r="65" spans="1:34" hidden="1" outlineLevel="1">
      <c r="A65" s="76"/>
      <c r="B65" s="33" t="s">
        <v>78</v>
      </c>
      <c r="D65" s="29" t="s">
        <v>79</v>
      </c>
      <c r="E65" s="26"/>
      <c r="I65" s="26"/>
      <c r="J65" s="29"/>
      <c r="K65" s="26"/>
      <c r="P65" s="32"/>
      <c r="V65" s="32"/>
      <c r="AB65" s="32"/>
      <c r="AH65" s="32"/>
    </row>
    <row r="66" spans="1:34" hidden="1" outlineLevel="1">
      <c r="B66" s="27"/>
      <c r="D66" s="30"/>
      <c r="I66" s="26"/>
      <c r="J66" s="30"/>
      <c r="P66" s="32"/>
      <c r="V66" s="32"/>
      <c r="AB66" s="32"/>
      <c r="AH66" s="32"/>
    </row>
    <row r="67" spans="1:34" hidden="1" outlineLevel="1">
      <c r="B67" s="25" t="s">
        <v>39</v>
      </c>
      <c r="D67" s="30"/>
      <c r="I67" s="26"/>
      <c r="J67" s="30"/>
      <c r="P67" s="31"/>
      <c r="V67" s="31"/>
      <c r="AB67" s="31"/>
      <c r="AH67" s="31"/>
    </row>
    <row r="68" spans="1:34" hidden="1" outlineLevel="1">
      <c r="B68" s="33" t="s">
        <v>78</v>
      </c>
      <c r="D68" s="30" t="s">
        <v>80</v>
      </c>
      <c r="I68" s="26"/>
      <c r="J68" s="30"/>
      <c r="P68" s="32"/>
      <c r="V68" s="32"/>
      <c r="AB68" s="32"/>
      <c r="AH68" s="32"/>
    </row>
    <row r="69" spans="1:34" hidden="1" outlineLevel="1">
      <c r="B69" s="27" t="s">
        <v>81</v>
      </c>
      <c r="D69" s="30" t="s">
        <v>80</v>
      </c>
      <c r="I69" s="26"/>
      <c r="J69" s="30"/>
      <c r="P69" s="32"/>
      <c r="V69" s="32"/>
      <c r="AB69" s="32"/>
      <c r="AH69" s="32"/>
    </row>
    <row r="70" spans="1:34" hidden="1" outlineLevel="1">
      <c r="B70" s="26"/>
      <c r="D70" s="26"/>
      <c r="I70" s="26"/>
      <c r="J70" s="26"/>
      <c r="P70" s="32"/>
      <c r="V70" s="32"/>
      <c r="AB70" s="32"/>
      <c r="AH70" s="32"/>
    </row>
    <row r="71" spans="1:34" hidden="1" outlineLevel="1">
      <c r="B71" s="25" t="s">
        <v>82</v>
      </c>
      <c r="D71" s="34">
        <v>0.6</v>
      </c>
      <c r="I71" s="26"/>
      <c r="J71" s="26"/>
      <c r="P71" s="32"/>
      <c r="V71" s="32"/>
      <c r="AB71" s="32"/>
      <c r="AH71" s="32"/>
    </row>
    <row r="72" spans="1:34" hidden="1" outlineLevel="1">
      <c r="B72" s="27" t="s">
        <v>17</v>
      </c>
      <c r="D72" s="29" t="s">
        <v>83</v>
      </c>
      <c r="I72" s="26"/>
      <c r="J72" s="29"/>
    </row>
    <row r="73" spans="1:34" hidden="1" outlineLevel="1">
      <c r="B73" s="14" t="s">
        <v>72</v>
      </c>
      <c r="D73" s="29" t="s">
        <v>84</v>
      </c>
      <c r="I73" s="26"/>
      <c r="J73" s="29"/>
    </row>
    <row r="74" spans="1:34" hidden="1" outlineLevel="1">
      <c r="B74" s="26"/>
      <c r="C74" s="26"/>
      <c r="D74" s="26"/>
      <c r="H74" s="26"/>
      <c r="I74" s="26"/>
      <c r="J74" s="26"/>
    </row>
    <row r="75" spans="1:34" hidden="1" outlineLevel="1">
      <c r="B75" s="8"/>
      <c r="H75" s="8"/>
    </row>
    <row r="76" spans="1:34" hidden="1" outlineLevel="1">
      <c r="D76" s="22" t="s">
        <v>91</v>
      </c>
    </row>
    <row r="77" spans="1:34" hidden="1" outlineLevel="1"/>
    <row r="78" spans="1:34" hidden="1" outlineLevel="1"/>
    <row r="79" spans="1:34" hidden="1" outlineLevel="1"/>
    <row r="80" spans="1:34" hidden="1" outlineLevel="1"/>
    <row r="81" hidden="1" outlineLevel="1"/>
    <row r="82" hidden="1" outlineLevel="1"/>
    <row r="83" hidden="1" outlineLevel="1"/>
    <row r="84" hidden="1" outlineLevel="1"/>
    <row r="85" hidden="1" outlineLevel="1"/>
    <row r="86" hidden="1" outlineLevel="1"/>
    <row r="87" collapsed="1"/>
  </sheetData>
  <phoneticPr fontId="0" type="noConversion"/>
  <printOptions horizontalCentered="1"/>
  <pageMargins left="0" right="0" top="1.25" bottom="1" header="0.5" footer="0.25"/>
  <pageSetup scale="90" orientation="landscape" r:id="rId1"/>
  <headerFooter alignWithMargins="0">
    <oddHeader>&amp;C&amp;"Times New Roman,Bold"Panda Gila River, LP
Pro forma Balance Sheet
Year Ending December 31,</oddHeader>
    <oddFooter>&amp;R&amp;8&amp;D
&amp;F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Cash Flow Statement</vt:lpstr>
      <vt:lpstr>Balance Sheet</vt:lpstr>
      <vt:lpstr>'Balance Sheet'!Print_Area</vt:lpstr>
      <vt:lpstr>'Cash Flow Statement'!Print_Area</vt:lpstr>
      <vt:lpstr>'Income Statement'!Print_Area</vt:lpstr>
      <vt:lpstr>'Balance Sheet'!Print_Titles</vt:lpstr>
      <vt:lpstr>'Cash Flow Statement'!Print_Titles</vt:lpstr>
      <vt:lpstr>'Income Statement'!Print_Titles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Day</dc:creator>
  <cp:lastModifiedBy>Jan Havlíček</cp:lastModifiedBy>
  <cp:lastPrinted>2001-10-11T16:48:24Z</cp:lastPrinted>
  <dcterms:created xsi:type="dcterms:W3CDTF">1999-09-28T21:50:06Z</dcterms:created>
  <dcterms:modified xsi:type="dcterms:W3CDTF">2023-09-17T14:14:14Z</dcterms:modified>
</cp:coreProperties>
</file>