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3D5E26-8645-41D8-9C99-E44625ADD067}" xr6:coauthVersionLast="47" xr6:coauthVersionMax="47" xr10:uidLastSave="{00000000-0000-0000-0000-000000000000}"/>
  <bookViews>
    <workbookView xWindow="-120" yWindow="-120" windowWidth="38640" windowHeight="15720" activeTab="1"/>
  </bookViews>
  <sheets>
    <sheet name="Throughput" sheetId="1" r:id="rId1"/>
    <sheet name="Margins" sheetId="2" r:id="rId2"/>
    <sheet name="Sheet2" sheetId="3" r:id="rId3"/>
    <sheet name="Sheet3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O6" i="2"/>
  <c r="O7" i="2"/>
  <c r="O8" i="2"/>
  <c r="Q8" i="2"/>
  <c r="O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O17" i="2"/>
  <c r="O18" i="2"/>
  <c r="O19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O28" i="2"/>
  <c r="O29" i="2"/>
  <c r="O30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7" i="2"/>
  <c r="C4" i="1"/>
  <c r="D4" i="1"/>
  <c r="E4" i="1"/>
  <c r="F4" i="1"/>
  <c r="G4" i="1"/>
  <c r="H4" i="1"/>
  <c r="I4" i="1"/>
  <c r="J4" i="1"/>
  <c r="K4" i="1"/>
  <c r="L4" i="1"/>
  <c r="N4" i="1"/>
  <c r="O4" i="1"/>
  <c r="O5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N10" i="1"/>
  <c r="O10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O17" i="1"/>
  <c r="O18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E22" i="1"/>
  <c r="F22" i="1"/>
  <c r="G22" i="1"/>
  <c r="H22" i="1"/>
  <c r="I22" i="1"/>
  <c r="J22" i="1"/>
  <c r="K22" i="1"/>
  <c r="L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O30" i="1"/>
  <c r="O31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5" i="1"/>
  <c r="K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A40" i="1"/>
</calcChain>
</file>

<file path=xl/sharedStrings.xml><?xml version="1.0" encoding="utf-8"?>
<sst xmlns="http://schemas.openxmlformats.org/spreadsheetml/2006/main" count="129" uniqueCount="34">
  <si>
    <t>Total Throughput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</si>
  <si>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</si>
  <si>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</si>
  <si>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</si>
  <si>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</si>
  <si>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</si>
  <si>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</si>
  <si>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</si>
  <si>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</si>
  <si>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</si>
  <si>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</si>
  <si>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</si>
  <si>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</si>
  <si>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</si>
  <si>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East</t>
  </si>
  <si>
    <t>1999 Throughput</t>
  </si>
  <si>
    <t>2000 Throughput</t>
  </si>
  <si>
    <t>2001 Throughput</t>
  </si>
  <si>
    <t>WOT</t>
  </si>
  <si>
    <t>WOT IT</t>
  </si>
  <si>
    <t>East IT</t>
  </si>
  <si>
    <t>Total IT Throughput</t>
  </si>
  <si>
    <t>Ignacio to El Paso Blanco</t>
  </si>
  <si>
    <t>Ignacio to El Paso Blanco IT</t>
  </si>
  <si>
    <t>2001 Revenues</t>
  </si>
  <si>
    <t>Total Revenues</t>
  </si>
  <si>
    <t>1999 Revenues</t>
  </si>
  <si>
    <t>2000 Revenues</t>
  </si>
  <si>
    <t>WOT Demand</t>
  </si>
  <si>
    <t>WOT Commodity</t>
  </si>
  <si>
    <t>East Demand</t>
  </si>
  <si>
    <t>East Commodity</t>
  </si>
  <si>
    <t>Ignacio Demand</t>
  </si>
  <si>
    <t>Ignacio 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</si>
</sst>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0.0"/>
    <numFmt numFmtId="167" formatCode="_(&quot;$&quot;* #,##0.0_);_(&quot;$&quot;* \(#,##0.0\);_(&quot;$&quot;* &quot;-&quot;?_);_(@_)"/>
    <numFmt numFmtId="168" formatCode="_(* #,##0.0_);_(* \(#,##0.0\);_(* &quot;-&quot;?_);_(@_)"/>
  </numFmts>
  <fonts count="8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 Narrow"/>
      <family val="2"/>
    </font>
    <font>
      <sz val="10"/>
      <color indexed="8"/>
      <name val="Arial Narrow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/>
    <xf numFmtId="2" fontId="0" fillId="0" borderId="0" xfId="0" applyNumberFormat="1"/>
    <xf numFmtId="165" fontId="2" fillId="0" borderId="0" xfId="0" applyNumberFormat="1" applyFont="1"/>
    <xf numFmtId="0" fontId="2" fillId="0" borderId="0" xfId="0" applyFont="1"/>
    <xf numFmtId="0" fontId="2" fillId="0" borderId="0" xfId="0" applyFont="1" applyBorder="1"/>
    <xf numFmtId="165" fontId="2" fillId="0" borderId="0" xfId="0" applyNumberFormat="1" applyFont="1" applyBorder="1"/>
    <xf numFmtId="0" fontId="0" fillId="0" borderId="0" xfId="0" applyAlignment="1">
      <alignment horizontal="right"/>
    </xf>
    <xf numFmtId="0" fontId="4" fillId="0" borderId="0" xfId="0" applyFont="1"/>
    <xf numFmtId="167" fontId="0" fillId="0" borderId="0" xfId="0" applyNumberFormat="1"/>
    <xf numFmtId="167" fontId="3" fillId="0" borderId="0" xfId="0" applyNumberFormat="1" applyFont="1"/>
    <xf numFmtId="167" fontId="4" fillId="0" borderId="0" xfId="0" applyNumberFormat="1" applyFont="1"/>
    <xf numFmtId="168" fontId="6" fillId="0" borderId="0" xfId="1" applyNumberFormat="1" applyFont="1" applyFill="1" applyAlignment="1" applyProtection="1">
      <alignment vertical="center"/>
      <protection locked="0"/>
    </xf>
    <xf numFmtId="168" fontId="6" fillId="0" borderId="0" xfId="2" applyNumberFormat="1" applyFont="1" applyFill="1" applyBorder="1" applyAlignment="1" applyProtection="1">
      <alignment vertical="center"/>
    </xf>
    <xf numFmtId="168" fontId="6" fillId="0" borderId="0" xfId="1" applyNumberFormat="1" applyFont="1" applyFill="1" applyBorder="1" applyAlignment="1" applyProtection="1">
      <alignment vertical="center"/>
      <protection locked="0"/>
    </xf>
    <xf numFmtId="167" fontId="7" fillId="0" borderId="0" xfId="0" applyNumberFormat="1" applyFont="1"/>
    <xf numFmtId="165" fontId="0" fillId="0" borderId="0" xfId="0" quotePrefix="1" applyNumberFormat="1"/>
  </cellXfs>
  <cellStyles count="3">
    <cellStyle name="Currency" xfId="1" builtinId="4"/>
    <cellStyle name="Normal" xfId="0" builtinId="0"/>
    <cellStyle name="Normal_Margins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75" workbookViewId="0">
      <selection activeCell="A41" sqref="A41:A46"/>
    </sheetView>
  </sheetViews>
  <sheetFormatPr defaultRowHeight="12.75" x14ac:dyDescent="0.2"/>
  <cols>
    <col min="1" max="1" width="23.7109375" customWidth="1"/>
    <col min="2" max="2" width="2.7109375" customWidth="1"/>
    <col min="3" max="4" width="9.7109375" customWidth="1"/>
    <col min="5" max="10" width="9.28515625" customWidth="1"/>
    <col min="11" max="11" width="10.28515625" customWidth="1"/>
    <col min="12" max="12" width="9.7109375" customWidth="1"/>
    <col min="13" max="14" width="10.28515625" customWidth="1"/>
    <col min="15" max="15" width="9.7109375" customWidth="1"/>
  </cols>
  <sheetData>
    <row r="1" spans="1:16" x14ac:dyDescent="0.2">
      <c r="C1" s="1"/>
      <c r="D1" s="1"/>
      <c r="E1" s="1"/>
    </row>
    <row r="2" spans="1:16" x14ac:dyDescent="0.2">
      <c r="A2" s="2" t="s">
        <v>15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</row>
    <row r="3" spans="1:16" x14ac:dyDescent="0.2">
      <c r="A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 x14ac:dyDescent="0.2">
      <c r="A4" t="s">
        <v>18</v>
      </c>
      <c r="C4" s="3">
        <f>901.4</f>
        <v>901.4</v>
      </c>
      <c r="D4" s="3">
        <f>953.8</f>
        <v>953.8</v>
      </c>
      <c r="E4" s="3">
        <f>809</f>
        <v>809</v>
      </c>
      <c r="F4" s="3">
        <f>761.6</f>
        <v>761.6</v>
      </c>
      <c r="G4" s="3">
        <f>754</f>
        <v>754</v>
      </c>
      <c r="H4" s="3">
        <f>744.8</f>
        <v>744.8</v>
      </c>
      <c r="I4" s="3">
        <f>830.8</f>
        <v>830.8</v>
      </c>
      <c r="J4" s="3">
        <f>732.3</f>
        <v>732.3</v>
      </c>
      <c r="K4" s="3">
        <f>794.9</f>
        <v>794.9</v>
      </c>
      <c r="L4" s="3">
        <f>850</f>
        <v>850</v>
      </c>
      <c r="M4" s="3">
        <v>1040</v>
      </c>
      <c r="N4" s="3">
        <f>944.6</f>
        <v>944.6</v>
      </c>
      <c r="O4" s="3">
        <f>SUM(C4:N4)/12</f>
        <v>843.09999999999991</v>
      </c>
    </row>
    <row r="5" spans="1:16" x14ac:dyDescent="0.2">
      <c r="A5" t="s">
        <v>14</v>
      </c>
      <c r="C5" s="3">
        <v>330.7</v>
      </c>
      <c r="D5" s="3">
        <v>338.6</v>
      </c>
      <c r="E5" s="3">
        <v>386.8</v>
      </c>
      <c r="F5" s="3">
        <v>512.20000000000005</v>
      </c>
      <c r="G5" s="3">
        <v>433.9</v>
      </c>
      <c r="H5" s="3">
        <v>466.3</v>
      </c>
      <c r="I5" s="3">
        <v>488.8</v>
      </c>
      <c r="J5" s="3">
        <v>685.9</v>
      </c>
      <c r="K5" s="3">
        <v>472.4</v>
      </c>
      <c r="L5" s="3">
        <v>248</v>
      </c>
      <c r="M5" s="3">
        <v>280</v>
      </c>
      <c r="N5" s="3">
        <v>322</v>
      </c>
      <c r="O5" s="3">
        <f>SUM(C5:N5)/12</f>
        <v>413.8</v>
      </c>
    </row>
    <row r="6" spans="1:16" x14ac:dyDescent="0.2">
      <c r="A6" t="s">
        <v>22</v>
      </c>
      <c r="C6" s="6">
        <v>165.4</v>
      </c>
      <c r="D6" s="6">
        <v>151.4</v>
      </c>
      <c r="E6" s="6">
        <v>141.1</v>
      </c>
      <c r="F6" s="6">
        <v>185.1</v>
      </c>
      <c r="G6" s="6">
        <v>164.4</v>
      </c>
      <c r="H6" s="6">
        <v>234.7</v>
      </c>
      <c r="I6" s="6">
        <v>266</v>
      </c>
      <c r="J6" s="6">
        <v>240.1</v>
      </c>
      <c r="K6" s="6">
        <v>211.8</v>
      </c>
      <c r="L6" s="6">
        <v>209.3</v>
      </c>
      <c r="M6" s="6">
        <v>209.3</v>
      </c>
      <c r="N6" s="6">
        <v>277.2</v>
      </c>
      <c r="O6" s="6">
        <f>SUM(C6:N6)/12</f>
        <v>204.64999999999998</v>
      </c>
    </row>
    <row r="7" spans="1:16" x14ac:dyDescent="0.2">
      <c r="A7" t="s">
        <v>0</v>
      </c>
      <c r="C7" s="3">
        <f>SUM(C4:C6)</f>
        <v>1397.5</v>
      </c>
      <c r="D7" s="3">
        <f t="shared" ref="D7:N7" si="0">SUM(D4:D6)</f>
        <v>1443.8000000000002</v>
      </c>
      <c r="E7" s="3">
        <f t="shared" si="0"/>
        <v>1336.8999999999999</v>
      </c>
      <c r="F7" s="3">
        <f t="shared" si="0"/>
        <v>1458.9</v>
      </c>
      <c r="G7" s="3">
        <f t="shared" si="0"/>
        <v>1352.3000000000002</v>
      </c>
      <c r="H7" s="3">
        <f t="shared" si="0"/>
        <v>1445.8</v>
      </c>
      <c r="I7" s="3">
        <f t="shared" si="0"/>
        <v>1585.6</v>
      </c>
      <c r="J7" s="3">
        <f t="shared" si="0"/>
        <v>1658.2999999999997</v>
      </c>
      <c r="K7" s="3">
        <f t="shared" si="0"/>
        <v>1479.1</v>
      </c>
      <c r="L7" s="3">
        <f t="shared" si="0"/>
        <v>1307.3</v>
      </c>
      <c r="M7" s="3">
        <f t="shared" si="0"/>
        <v>1529.3</v>
      </c>
      <c r="N7" s="3">
        <f t="shared" si="0"/>
        <v>1543.8</v>
      </c>
      <c r="O7" s="3">
        <f>SUM(C7:N7)/12</f>
        <v>1461.55</v>
      </c>
    </row>
    <row r="8" spans="1:16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6" x14ac:dyDescent="0.2">
      <c r="A9" t="s">
        <v>19</v>
      </c>
      <c r="C9" s="3">
        <f>0.2+0.1+0.2</f>
        <v>0.5</v>
      </c>
      <c r="D9" s="3">
        <f>1.5</f>
        <v>1.5</v>
      </c>
      <c r="E9" s="3">
        <f>0.4+0.5</f>
        <v>0.9</v>
      </c>
      <c r="F9" s="3">
        <f>3+6.1</f>
        <v>9.1</v>
      </c>
      <c r="G9" s="3">
        <f>0.3+0.6</f>
        <v>0.89999999999999991</v>
      </c>
      <c r="H9" s="3">
        <f>11.1+1.2</f>
        <v>12.299999999999999</v>
      </c>
      <c r="I9" s="3">
        <f>30.3+0.8</f>
        <v>31.1</v>
      </c>
      <c r="J9" s="3">
        <f>44.2+4.1</f>
        <v>48.300000000000004</v>
      </c>
      <c r="K9" s="3">
        <f>10.8+0.7</f>
        <v>11.5</v>
      </c>
      <c r="L9" s="3">
        <f>50+5</f>
        <v>55</v>
      </c>
      <c r="M9" s="3">
        <f>50+5</f>
        <v>55</v>
      </c>
      <c r="N9" s="3">
        <f>2.4+0.2</f>
        <v>2.6</v>
      </c>
      <c r="O9" s="3">
        <f>SUM(C9:N9)/12</f>
        <v>19.058333333333334</v>
      </c>
    </row>
    <row r="10" spans="1:16" x14ac:dyDescent="0.2">
      <c r="A10" t="s">
        <v>20</v>
      </c>
      <c r="C10" s="3">
        <f>3.3+8.2+0.8</f>
        <v>12.3</v>
      </c>
      <c r="D10" s="3">
        <f>2.4+15.7+7.4</f>
        <v>25.5</v>
      </c>
      <c r="E10" s="3">
        <f>8.1+21.7+2.6</f>
        <v>32.4</v>
      </c>
      <c r="F10" s="3">
        <f>7.5+37.4+0.3</f>
        <v>45.199999999999996</v>
      </c>
      <c r="G10" s="3">
        <f>10.5+29.9</f>
        <v>40.4</v>
      </c>
      <c r="H10" s="3">
        <f>17.1+31.6+1.5</f>
        <v>50.2</v>
      </c>
      <c r="I10" s="3">
        <f>24.3+22.8</f>
        <v>47.1</v>
      </c>
      <c r="J10" s="3">
        <f>23.4+12.2</f>
        <v>35.599999999999994</v>
      </c>
      <c r="K10" s="3">
        <f>7.8+20.2</f>
        <v>28</v>
      </c>
      <c r="L10" s="3">
        <f>20</f>
        <v>20</v>
      </c>
      <c r="M10" s="3">
        <v>20</v>
      </c>
      <c r="N10" s="3">
        <f>27.2+7</f>
        <v>34.200000000000003</v>
      </c>
      <c r="O10" s="3">
        <f>SUM(C10:N10)/12</f>
        <v>32.574999999999996</v>
      </c>
    </row>
    <row r="11" spans="1:16" x14ac:dyDescent="0.2">
      <c r="A11" t="s">
        <v>23</v>
      </c>
      <c r="C11" s="6">
        <v>30</v>
      </c>
      <c r="D11" s="6">
        <v>21.4</v>
      </c>
      <c r="E11" s="6">
        <v>19.899999999999999</v>
      </c>
      <c r="F11" s="6">
        <v>83.3</v>
      </c>
      <c r="G11" s="6">
        <v>53.7</v>
      </c>
      <c r="H11" s="6">
        <v>70.3</v>
      </c>
      <c r="I11" s="6">
        <v>114</v>
      </c>
      <c r="J11" s="6">
        <v>107.8</v>
      </c>
      <c r="K11" s="6">
        <v>86</v>
      </c>
      <c r="L11" s="6">
        <v>26</v>
      </c>
      <c r="M11" s="6">
        <v>26</v>
      </c>
      <c r="N11" s="6">
        <v>102.1</v>
      </c>
      <c r="O11" s="6">
        <f>SUM(C11:N11)/12</f>
        <v>61.708333333333343</v>
      </c>
    </row>
    <row r="12" spans="1:16" x14ac:dyDescent="0.2">
      <c r="A12" t="s">
        <v>21</v>
      </c>
      <c r="C12" s="3">
        <f>SUM(C9:C11)</f>
        <v>42.8</v>
      </c>
      <c r="D12" s="3">
        <f t="shared" ref="D12:N12" si="1">SUM(D9:D11)</f>
        <v>48.4</v>
      </c>
      <c r="E12" s="3">
        <f t="shared" si="1"/>
        <v>53.199999999999996</v>
      </c>
      <c r="F12" s="3">
        <f t="shared" si="1"/>
        <v>137.6</v>
      </c>
      <c r="G12" s="3">
        <f t="shared" si="1"/>
        <v>95</v>
      </c>
      <c r="H12" s="3">
        <f t="shared" si="1"/>
        <v>132.80000000000001</v>
      </c>
      <c r="I12" s="3">
        <f t="shared" si="1"/>
        <v>192.2</v>
      </c>
      <c r="J12" s="3">
        <f t="shared" si="1"/>
        <v>191.7</v>
      </c>
      <c r="K12" s="3">
        <f t="shared" si="1"/>
        <v>125.5</v>
      </c>
      <c r="L12" s="3">
        <f t="shared" si="1"/>
        <v>101</v>
      </c>
      <c r="M12" s="3">
        <f t="shared" si="1"/>
        <v>101</v>
      </c>
      <c r="N12" s="3">
        <f t="shared" si="1"/>
        <v>138.9</v>
      </c>
      <c r="O12" s="3">
        <f>SUM(C12:N12)/12</f>
        <v>113.34166666666668</v>
      </c>
    </row>
    <row r="13" spans="1:16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5" spans="1:16" x14ac:dyDescent="0.2">
      <c r="A15" s="2" t="s">
        <v>16</v>
      </c>
      <c r="C15" s="10" t="s">
        <v>1</v>
      </c>
      <c r="D15" s="10" t="s">
        <v>2</v>
      </c>
      <c r="E15" s="10" t="s">
        <v>3</v>
      </c>
      <c r="F15" s="10" t="s">
        <v>4</v>
      </c>
      <c r="G15" s="10" t="s">
        <v>5</v>
      </c>
      <c r="H15" s="10" t="s">
        <v>6</v>
      </c>
      <c r="I15" s="10" t="s">
        <v>7</v>
      </c>
      <c r="J15" s="10" t="s">
        <v>8</v>
      </c>
      <c r="K15" s="10" t="s">
        <v>9</v>
      </c>
      <c r="L15" s="10" t="s">
        <v>10</v>
      </c>
      <c r="M15" s="10" t="s">
        <v>11</v>
      </c>
      <c r="N15" s="10" t="s">
        <v>12</v>
      </c>
      <c r="O15" s="10" t="s">
        <v>13</v>
      </c>
    </row>
    <row r="17" spans="1:16" x14ac:dyDescent="0.2">
      <c r="A17" t="s">
        <v>18</v>
      </c>
      <c r="C17" s="3">
        <v>869.1</v>
      </c>
      <c r="D17" s="3">
        <v>856.5</v>
      </c>
      <c r="E17" s="3">
        <v>905</v>
      </c>
      <c r="F17" s="3">
        <v>728.5</v>
      </c>
      <c r="G17" s="3">
        <v>828.5</v>
      </c>
      <c r="H17" s="3">
        <v>944</v>
      </c>
      <c r="I17" s="3">
        <v>984.7</v>
      </c>
      <c r="J17" s="3">
        <v>1035.5999999999999</v>
      </c>
      <c r="K17" s="3">
        <v>1062.7</v>
      </c>
      <c r="L17" s="3">
        <v>1052.7</v>
      </c>
      <c r="M17" s="3">
        <v>963</v>
      </c>
      <c r="N17" s="3">
        <v>1105.3</v>
      </c>
      <c r="O17" s="3">
        <f>SUM(C17:N17)/12</f>
        <v>944.63333333333333</v>
      </c>
      <c r="P17" s="3"/>
    </row>
    <row r="18" spans="1:16" x14ac:dyDescent="0.2">
      <c r="A18" t="s">
        <v>14</v>
      </c>
      <c r="C18" s="3">
        <v>369.2</v>
      </c>
      <c r="D18" s="3">
        <v>416.8</v>
      </c>
      <c r="E18" s="3">
        <v>383.8</v>
      </c>
      <c r="F18" s="3">
        <v>487.1</v>
      </c>
      <c r="G18" s="3">
        <v>537.4</v>
      </c>
      <c r="H18" s="3">
        <v>368.7</v>
      </c>
      <c r="I18" s="3">
        <v>430.5</v>
      </c>
      <c r="J18" s="3">
        <v>422.5</v>
      </c>
      <c r="K18" s="3">
        <v>385</v>
      </c>
      <c r="L18" s="3">
        <v>328.2</v>
      </c>
      <c r="M18" s="3">
        <v>390.1</v>
      </c>
      <c r="N18" s="3">
        <v>315.10000000000002</v>
      </c>
      <c r="O18" s="3">
        <f>SUM(C18:N18)/12</f>
        <v>402.86666666666673</v>
      </c>
      <c r="P18" s="3"/>
    </row>
    <row r="19" spans="1:16" x14ac:dyDescent="0.2">
      <c r="A19" t="s">
        <v>22</v>
      </c>
      <c r="C19" s="6">
        <v>293.5</v>
      </c>
      <c r="D19" s="6">
        <v>313.60000000000002</v>
      </c>
      <c r="E19" s="6">
        <v>277</v>
      </c>
      <c r="F19" s="6">
        <v>251.4</v>
      </c>
      <c r="G19" s="6">
        <v>343.3</v>
      </c>
      <c r="H19" s="6">
        <v>330.3</v>
      </c>
      <c r="I19" s="6">
        <v>307.89999999999998</v>
      </c>
      <c r="J19" s="6">
        <v>284</v>
      </c>
      <c r="K19" s="6">
        <v>325.39999999999998</v>
      </c>
      <c r="L19" s="6">
        <v>305.8</v>
      </c>
      <c r="M19" s="6">
        <v>319.60000000000002</v>
      </c>
      <c r="N19" s="6">
        <v>367</v>
      </c>
      <c r="O19" s="6">
        <f>SUM(C19:N19)/12</f>
        <v>309.90000000000003</v>
      </c>
      <c r="P19" s="3"/>
    </row>
    <row r="20" spans="1:16" x14ac:dyDescent="0.2">
      <c r="A20" t="s">
        <v>0</v>
      </c>
      <c r="C20" s="3">
        <f>SUM(C17:C19)</f>
        <v>1531.8</v>
      </c>
      <c r="D20" s="3">
        <f t="shared" ref="D20:N20" si="2">SUM(D17:D19)</f>
        <v>1586.9</v>
      </c>
      <c r="E20" s="3">
        <f t="shared" si="2"/>
        <v>1565.8</v>
      </c>
      <c r="F20" s="3">
        <f t="shared" si="2"/>
        <v>1467</v>
      </c>
      <c r="G20" s="3">
        <f t="shared" si="2"/>
        <v>1709.2</v>
      </c>
      <c r="H20" s="3">
        <f t="shared" si="2"/>
        <v>1643</v>
      </c>
      <c r="I20" s="3">
        <f t="shared" si="2"/>
        <v>1723.1</v>
      </c>
      <c r="J20" s="3">
        <f t="shared" si="2"/>
        <v>1742.1</v>
      </c>
      <c r="K20" s="3">
        <f t="shared" si="2"/>
        <v>1773.1</v>
      </c>
      <c r="L20" s="3">
        <f t="shared" si="2"/>
        <v>1686.7</v>
      </c>
      <c r="M20" s="3">
        <f t="shared" si="2"/>
        <v>1672.6999999999998</v>
      </c>
      <c r="N20" s="3">
        <f t="shared" si="2"/>
        <v>1787.4</v>
      </c>
      <c r="O20" s="3">
        <f>SUM(C20:N20)/12</f>
        <v>1657.4000000000003</v>
      </c>
      <c r="P20" s="3"/>
    </row>
    <row r="21" spans="1:16" x14ac:dyDescent="0.2">
      <c r="P21" s="3"/>
    </row>
    <row r="22" spans="1:16" x14ac:dyDescent="0.2">
      <c r="A22" t="s">
        <v>19</v>
      </c>
      <c r="C22" s="3">
        <v>0.2</v>
      </c>
      <c r="D22" s="3">
        <v>0.2</v>
      </c>
      <c r="E22">
        <f>0.8+0.4</f>
        <v>1.2000000000000002</v>
      </c>
      <c r="F22">
        <f>0.2+0.1</f>
        <v>0.30000000000000004</v>
      </c>
      <c r="G22">
        <f>0.1+0.8</f>
        <v>0.9</v>
      </c>
      <c r="H22">
        <f>6.6+1.5-44.2</f>
        <v>-36.1</v>
      </c>
      <c r="I22">
        <f>1.9+0.1</f>
        <v>2</v>
      </c>
      <c r="J22">
        <f>4.5+1.4</f>
        <v>5.9</v>
      </c>
      <c r="K22">
        <f>46+0.1</f>
        <v>46.1</v>
      </c>
      <c r="L22">
        <f>15.3</f>
        <v>15.3</v>
      </c>
      <c r="M22" s="3">
        <v>4.3</v>
      </c>
      <c r="N22" s="3">
        <v>6.6</v>
      </c>
      <c r="O22" s="3">
        <f>SUM(C22:N22)/12</f>
        <v>3.9083333333333332</v>
      </c>
      <c r="P22" s="3"/>
    </row>
    <row r="23" spans="1:16" x14ac:dyDescent="0.2">
      <c r="A23" t="s">
        <v>20</v>
      </c>
      <c r="C23">
        <f>2.6+35.2+1.6+0.3</f>
        <v>39.700000000000003</v>
      </c>
      <c r="D23">
        <f>23.9+1.8</f>
        <v>25.7</v>
      </c>
      <c r="E23">
        <f>26.3+2.5</f>
        <v>28.8</v>
      </c>
      <c r="F23">
        <f>1.1+23.9+8</f>
        <v>33</v>
      </c>
      <c r="G23">
        <f>4.1+20.2+7.1</f>
        <v>31.4</v>
      </c>
      <c r="H23">
        <f>1.3+23.9+20.6</f>
        <v>45.8</v>
      </c>
      <c r="I23">
        <f>3.9+46.8+25.8</f>
        <v>76.5</v>
      </c>
      <c r="J23">
        <f>20.8+36.8+21.3</f>
        <v>78.899999999999991</v>
      </c>
      <c r="K23">
        <f>7.3+11.1+3.3+8.8</f>
        <v>30.5</v>
      </c>
      <c r="L23">
        <f>4.4+18.8+3.4+5.6</f>
        <v>32.200000000000003</v>
      </c>
      <c r="M23">
        <f>35</f>
        <v>35</v>
      </c>
      <c r="N23">
        <f>1.2+30.6+2.9+5.1</f>
        <v>39.800000000000004</v>
      </c>
      <c r="O23" s="3">
        <f>SUM(C23:N23)/12</f>
        <v>41.441666666666663</v>
      </c>
      <c r="P23" s="3"/>
    </row>
    <row r="24" spans="1:16" x14ac:dyDescent="0.2">
      <c r="A24" t="s">
        <v>23</v>
      </c>
      <c r="C24" s="7">
        <v>129.80000000000001</v>
      </c>
      <c r="D24" s="7">
        <v>53.2</v>
      </c>
      <c r="E24" s="7">
        <v>55.6</v>
      </c>
      <c r="F24" s="7">
        <v>85</v>
      </c>
      <c r="G24" s="7">
        <v>116.4</v>
      </c>
      <c r="H24" s="7">
        <v>148</v>
      </c>
      <c r="I24" s="7">
        <v>135.6</v>
      </c>
      <c r="J24" s="7">
        <v>125.9</v>
      </c>
      <c r="K24" s="7">
        <v>103.5</v>
      </c>
      <c r="L24" s="7">
        <v>130.4</v>
      </c>
      <c r="M24" s="7">
        <v>45.5</v>
      </c>
      <c r="N24" s="7">
        <v>98.8</v>
      </c>
      <c r="O24" s="6">
        <f>SUM(C24:N24)/12</f>
        <v>102.30833333333334</v>
      </c>
      <c r="P24" s="3"/>
    </row>
    <row r="25" spans="1:16" x14ac:dyDescent="0.2">
      <c r="A25" t="s">
        <v>21</v>
      </c>
      <c r="C25" s="3">
        <f>SUM(C22:C24)</f>
        <v>169.70000000000002</v>
      </c>
      <c r="D25" s="3">
        <f t="shared" ref="D25:N25" si="3">SUM(D22:D24)</f>
        <v>79.099999999999994</v>
      </c>
      <c r="E25" s="3">
        <f t="shared" si="3"/>
        <v>85.6</v>
      </c>
      <c r="F25" s="3">
        <f t="shared" si="3"/>
        <v>118.3</v>
      </c>
      <c r="G25" s="3">
        <f t="shared" si="3"/>
        <v>148.69999999999999</v>
      </c>
      <c r="H25" s="3">
        <f t="shared" si="3"/>
        <v>157.69999999999999</v>
      </c>
      <c r="I25" s="3">
        <f t="shared" si="3"/>
        <v>214.1</v>
      </c>
      <c r="J25" s="3">
        <f t="shared" si="3"/>
        <v>210.7</v>
      </c>
      <c r="K25" s="3">
        <f t="shared" si="3"/>
        <v>180.1</v>
      </c>
      <c r="L25" s="3">
        <f t="shared" si="3"/>
        <v>177.9</v>
      </c>
      <c r="M25" s="3">
        <f t="shared" si="3"/>
        <v>84.8</v>
      </c>
      <c r="N25" s="3">
        <f t="shared" si="3"/>
        <v>145.19999999999999</v>
      </c>
      <c r="O25" s="3">
        <f>SUM(C25:N25)/12</f>
        <v>147.65833333333333</v>
      </c>
      <c r="P25" s="3"/>
    </row>
    <row r="26" spans="1:1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8" spans="1:16" x14ac:dyDescent="0.2">
      <c r="A28" s="2" t="s">
        <v>17</v>
      </c>
      <c r="C28" s="10" t="s">
        <v>1</v>
      </c>
      <c r="D28" s="10" t="s">
        <v>2</v>
      </c>
      <c r="E28" s="10" t="s">
        <v>3</v>
      </c>
      <c r="F28" s="10" t="s">
        <v>4</v>
      </c>
      <c r="G28" s="10" t="s">
        <v>5</v>
      </c>
      <c r="H28" s="10" t="s">
        <v>6</v>
      </c>
      <c r="I28" s="10" t="s">
        <v>7</v>
      </c>
      <c r="J28" s="10" t="s">
        <v>8</v>
      </c>
      <c r="K28" s="10" t="s">
        <v>9</v>
      </c>
      <c r="L28" s="10" t="s">
        <v>10</v>
      </c>
      <c r="M28" s="10" t="s">
        <v>11</v>
      </c>
      <c r="N28" s="10" t="s">
        <v>12</v>
      </c>
      <c r="O28" s="10" t="s">
        <v>13</v>
      </c>
    </row>
    <row r="30" spans="1:16" x14ac:dyDescent="0.2">
      <c r="A30" t="s">
        <v>18</v>
      </c>
      <c r="C30">
        <v>1108.5999999999999</v>
      </c>
      <c r="D30">
        <v>1119.3</v>
      </c>
      <c r="E30">
        <v>1109.9000000000001</v>
      </c>
      <c r="F30">
        <v>1103.7</v>
      </c>
      <c r="G30">
        <v>1075.0999999999999</v>
      </c>
      <c r="H30">
        <v>1072.0999999999999</v>
      </c>
      <c r="I30">
        <v>1090.5</v>
      </c>
      <c r="J30">
        <v>1106.8</v>
      </c>
      <c r="K30">
        <v>986.7</v>
      </c>
      <c r="L30">
        <v>983.6</v>
      </c>
      <c r="M30">
        <v>948.9</v>
      </c>
      <c r="N30">
        <v>1047.9000000000001</v>
      </c>
      <c r="O30" s="3">
        <f>SUM(C30:N30)/12</f>
        <v>1062.7583333333334</v>
      </c>
      <c r="P30" s="3"/>
    </row>
    <row r="31" spans="1:16" x14ac:dyDescent="0.2">
      <c r="A31" t="s">
        <v>14</v>
      </c>
      <c r="C31">
        <v>336.1</v>
      </c>
      <c r="D31">
        <v>343.9</v>
      </c>
      <c r="E31">
        <v>358.7</v>
      </c>
      <c r="F31">
        <v>540.4</v>
      </c>
      <c r="G31">
        <v>494.4</v>
      </c>
      <c r="H31">
        <v>484.2</v>
      </c>
      <c r="I31">
        <v>493.8</v>
      </c>
      <c r="J31">
        <v>471.4</v>
      </c>
      <c r="K31">
        <v>458.4</v>
      </c>
      <c r="L31">
        <v>518.4</v>
      </c>
      <c r="M31">
        <v>534.5</v>
      </c>
      <c r="N31">
        <v>370.4</v>
      </c>
      <c r="O31" s="3">
        <f>SUM(C31:N31)/12</f>
        <v>450.38333333333327</v>
      </c>
      <c r="P31" s="3"/>
    </row>
    <row r="32" spans="1:16" x14ac:dyDescent="0.2">
      <c r="A32" t="s">
        <v>22</v>
      </c>
      <c r="C32" s="8">
        <v>341.2</v>
      </c>
      <c r="D32" s="8">
        <v>317.8</v>
      </c>
      <c r="E32" s="8">
        <v>301.3</v>
      </c>
      <c r="F32" s="8">
        <v>375.1</v>
      </c>
      <c r="G32" s="8">
        <v>400.4</v>
      </c>
      <c r="H32" s="8">
        <v>373.5</v>
      </c>
      <c r="I32" s="8">
        <v>247.5</v>
      </c>
      <c r="J32" s="8">
        <v>264.89999999999998</v>
      </c>
      <c r="K32" s="8">
        <v>355.1</v>
      </c>
      <c r="L32" s="8">
        <v>312.8</v>
      </c>
      <c r="M32" s="8">
        <v>291</v>
      </c>
      <c r="N32" s="8">
        <v>268.7</v>
      </c>
      <c r="O32" s="9">
        <f>SUM(C32:N32)/12</f>
        <v>320.77500000000003</v>
      </c>
      <c r="P32" s="3"/>
    </row>
    <row r="33" spans="1:16" x14ac:dyDescent="0.2">
      <c r="A33" t="s">
        <v>0</v>
      </c>
      <c r="C33">
        <f>SUM(C30:C32)</f>
        <v>1785.8999999999999</v>
      </c>
      <c r="D33">
        <f t="shared" ref="D33:N33" si="4">SUM(D30:D32)</f>
        <v>1780.9999999999998</v>
      </c>
      <c r="E33">
        <f t="shared" si="4"/>
        <v>1769.9</v>
      </c>
      <c r="F33">
        <f t="shared" si="4"/>
        <v>2019.1999999999998</v>
      </c>
      <c r="G33">
        <f t="shared" si="4"/>
        <v>1969.9</v>
      </c>
      <c r="H33">
        <f t="shared" si="4"/>
        <v>1929.8</v>
      </c>
      <c r="I33">
        <f t="shared" si="4"/>
        <v>1831.8</v>
      </c>
      <c r="J33">
        <f t="shared" si="4"/>
        <v>1843.1</v>
      </c>
      <c r="K33">
        <f t="shared" si="4"/>
        <v>1800.1999999999998</v>
      </c>
      <c r="L33">
        <f t="shared" si="4"/>
        <v>1814.8</v>
      </c>
      <c r="M33">
        <f t="shared" si="4"/>
        <v>1774.4</v>
      </c>
      <c r="N33">
        <f t="shared" si="4"/>
        <v>1687.0000000000002</v>
      </c>
      <c r="O33" s="5">
        <f>SUM(C33:N33)/12</f>
        <v>1833.9166666666667</v>
      </c>
      <c r="P33" s="3"/>
    </row>
    <row r="35" spans="1:16" x14ac:dyDescent="0.2">
      <c r="A35" t="s">
        <v>19</v>
      </c>
      <c r="C35">
        <f>20+1.1</f>
        <v>21.1</v>
      </c>
      <c r="D35">
        <v>14.6</v>
      </c>
      <c r="E35">
        <v>4.3</v>
      </c>
      <c r="F35">
        <v>0</v>
      </c>
      <c r="G35">
        <v>0</v>
      </c>
      <c r="H35">
        <v>-8.6</v>
      </c>
      <c r="I35">
        <v>0</v>
      </c>
      <c r="J35">
        <v>0</v>
      </c>
      <c r="K35">
        <f>7.3+0.1+0.9</f>
        <v>8.2999999999999989</v>
      </c>
      <c r="L35">
        <v>0</v>
      </c>
      <c r="M35">
        <v>0</v>
      </c>
      <c r="N35">
        <v>1.1000000000000001</v>
      </c>
      <c r="O35" s="3">
        <f>SUM(C35:N35)/12</f>
        <v>3.4</v>
      </c>
    </row>
    <row r="36" spans="1:16" x14ac:dyDescent="0.2">
      <c r="A36" t="s">
        <v>20</v>
      </c>
      <c r="C36">
        <f>44.3+3.5+1.7</f>
        <v>49.5</v>
      </c>
      <c r="D36">
        <f>31.1+2.1+5.5</f>
        <v>38.700000000000003</v>
      </c>
      <c r="E36">
        <f>3.3+17.9+0.1+3.7</f>
        <v>25</v>
      </c>
      <c r="F36">
        <f>0.8+51.9+5.2</f>
        <v>57.9</v>
      </c>
      <c r="G36">
        <f>19.9+4.5+3.8</f>
        <v>28.2</v>
      </c>
      <c r="H36">
        <f>11.7+24+4.6+1.8</f>
        <v>42.1</v>
      </c>
      <c r="I36">
        <f>1.8+29.6+1+2.4</f>
        <v>34.800000000000004</v>
      </c>
      <c r="J36">
        <f>12.6+0.7+0.4</f>
        <v>13.7</v>
      </c>
      <c r="K36">
        <f>7.8</f>
        <v>7.8</v>
      </c>
      <c r="L36">
        <f>6.5</f>
        <v>6.5</v>
      </c>
      <c r="M36">
        <f>0.7+10.6</f>
        <v>11.299999999999999</v>
      </c>
      <c r="N36">
        <f>9.3</f>
        <v>9.3000000000000007</v>
      </c>
      <c r="O36" s="3">
        <f>SUM(C36:N36)/12</f>
        <v>27.066666666666666</v>
      </c>
    </row>
    <row r="37" spans="1:16" x14ac:dyDescent="0.2">
      <c r="A37" t="s">
        <v>23</v>
      </c>
      <c r="C37" s="7">
        <v>105.9</v>
      </c>
      <c r="D37" s="7">
        <v>81.099999999999994</v>
      </c>
      <c r="E37" s="7">
        <v>87.5</v>
      </c>
      <c r="F37" s="7">
        <v>124.8</v>
      </c>
      <c r="G37" s="7">
        <v>177.9</v>
      </c>
      <c r="H37" s="7">
        <v>130.19999999999999</v>
      </c>
      <c r="I37" s="7">
        <v>0.4</v>
      </c>
      <c r="J37" s="7">
        <v>0.2</v>
      </c>
      <c r="K37" s="7">
        <v>78.7</v>
      </c>
      <c r="L37" s="7">
        <v>55.6</v>
      </c>
      <c r="M37" s="7">
        <v>74.2</v>
      </c>
      <c r="N37" s="7">
        <v>66.2</v>
      </c>
      <c r="O37" s="6">
        <f>SUM(C37:N37)/12</f>
        <v>81.891666666666694</v>
      </c>
    </row>
    <row r="38" spans="1:16" x14ac:dyDescent="0.2">
      <c r="A38" t="s">
        <v>21</v>
      </c>
      <c r="C38">
        <f>SUM(C35:C37)</f>
        <v>176.5</v>
      </c>
      <c r="D38">
        <f t="shared" ref="D38:N38" si="5">SUM(D35:D37)</f>
        <v>134.4</v>
      </c>
      <c r="E38">
        <f t="shared" si="5"/>
        <v>116.8</v>
      </c>
      <c r="F38">
        <f t="shared" si="5"/>
        <v>182.7</v>
      </c>
      <c r="G38">
        <f t="shared" si="5"/>
        <v>206.1</v>
      </c>
      <c r="H38">
        <f t="shared" si="5"/>
        <v>163.69999999999999</v>
      </c>
      <c r="I38">
        <f t="shared" si="5"/>
        <v>35.200000000000003</v>
      </c>
      <c r="J38">
        <f t="shared" si="5"/>
        <v>13.899999999999999</v>
      </c>
      <c r="K38">
        <f t="shared" si="5"/>
        <v>94.8</v>
      </c>
      <c r="L38">
        <f t="shared" si="5"/>
        <v>62.1</v>
      </c>
      <c r="M38">
        <f t="shared" si="5"/>
        <v>85.5</v>
      </c>
      <c r="N38">
        <f t="shared" si="5"/>
        <v>76.600000000000009</v>
      </c>
      <c r="O38" s="3">
        <f>SUM(C38:N38)/12</f>
        <v>112.35833333333333</v>
      </c>
    </row>
    <row r="40" spans="1:16" x14ac:dyDescent="0.2">
      <c r="A40" t="str">
        <f ca="1">CELL("filename",A40:A40)</f>
        <v>S:\Marketing\TWFIN\MKT_ANLY\TW\TWFIN\2001\Misc\[Throughput_1999 to Dec 2001.xls]Throughput</v>
      </c>
    </row>
  </sheetData>
  <phoneticPr fontId="0" type="noConversion"/>
  <pageMargins left="0.5" right="0.5" top="0.75" bottom="0.75" header="0.5" footer="0.5"/>
  <pageSetup paperSize="5" orientation="landscape" r:id="rId1"/>
  <headerFooter alignWithMargins="0">
    <oddHeader>&amp;CTW THROUGHPUT
1999-2001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="75" workbookViewId="0"/>
  </sheetViews>
  <sheetFormatPr defaultRowHeight="12.75" x14ac:dyDescent="0.2"/>
  <cols>
    <col min="1" max="1" width="20.7109375" customWidth="1"/>
    <col min="2" max="2" width="2.7109375" customWidth="1"/>
    <col min="3" max="14" width="11.7109375" customWidth="1"/>
    <col min="15" max="15" width="12.7109375" customWidth="1"/>
    <col min="17" max="17" width="11.28515625" bestFit="1" customWidth="1"/>
  </cols>
  <sheetData>
    <row r="1" spans="1:17" x14ac:dyDescent="0.2">
      <c r="C1" s="1"/>
      <c r="D1" s="1"/>
      <c r="E1" s="1"/>
    </row>
    <row r="2" spans="1:17" x14ac:dyDescent="0.2">
      <c r="A2" s="2" t="s">
        <v>26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</row>
    <row r="3" spans="1:17" x14ac:dyDescent="0.2">
      <c r="A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x14ac:dyDescent="0.2">
      <c r="A4" t="s">
        <v>28</v>
      </c>
      <c r="C4" s="12">
        <f>7412.3+1455.8</f>
        <v>8868.1</v>
      </c>
      <c r="D4" s="12">
        <f>6636.3+1314.9</f>
        <v>7951.2000000000007</v>
      </c>
      <c r="E4" s="12">
        <f>7600.6+1455.8</f>
        <v>9056.4</v>
      </c>
      <c r="F4" s="12">
        <f>7398.9+1409</f>
        <v>8807.9</v>
      </c>
      <c r="G4" s="12">
        <f>7628.2+1455.8</f>
        <v>9084</v>
      </c>
      <c r="H4" s="12">
        <f>7332.2+1408.9</f>
        <v>8741.1</v>
      </c>
      <c r="I4" s="12">
        <f>7583.8+1456</f>
        <v>9039.7999999999993</v>
      </c>
      <c r="J4" s="12">
        <f>7678.6+1455.8</f>
        <v>9134.4</v>
      </c>
      <c r="K4" s="12">
        <f>7293+1408.8</f>
        <v>8701.7999999999993</v>
      </c>
      <c r="L4" s="12">
        <f>7472.3+1456</f>
        <v>8928.2999999999993</v>
      </c>
      <c r="M4" s="12">
        <f>7246.1+1439</f>
        <v>8685.1</v>
      </c>
      <c r="N4" s="12">
        <f>7740.9+1486.2</f>
        <v>9227.1</v>
      </c>
      <c r="O4" s="12">
        <f t="shared" ref="O4:O10" si="0">SUM(C4:N4)</f>
        <v>106225.20000000001</v>
      </c>
    </row>
    <row r="5" spans="1:17" x14ac:dyDescent="0.2">
      <c r="A5" t="s">
        <v>29</v>
      </c>
      <c r="C5" s="12">
        <f>730.7+16.4</f>
        <v>747.1</v>
      </c>
      <c r="D5" s="12">
        <f>711.3+19.7</f>
        <v>731</v>
      </c>
      <c r="E5" s="12">
        <f>623.8+18.7</f>
        <v>642.5</v>
      </c>
      <c r="F5" s="12">
        <f>580.4+16.7</f>
        <v>597.1</v>
      </c>
      <c r="G5" s="12">
        <f>588.5+15.9</f>
        <v>604.4</v>
      </c>
      <c r="H5" s="12">
        <f>571.4+14.6</f>
        <v>586</v>
      </c>
      <c r="I5" s="12">
        <f>656.7-0.6</f>
        <v>656.1</v>
      </c>
      <c r="J5" s="12">
        <f>559.4+16.6</f>
        <v>576</v>
      </c>
      <c r="K5" s="12">
        <f>583.5+16.9</f>
        <v>600.4</v>
      </c>
      <c r="L5" s="12">
        <f>831.2+11.3</f>
        <v>842.5</v>
      </c>
      <c r="M5" s="12">
        <f>679.3+10.7</f>
        <v>690</v>
      </c>
      <c r="N5" s="12">
        <f>728.1+15.8</f>
        <v>743.9</v>
      </c>
      <c r="O5" s="12">
        <f t="shared" si="0"/>
        <v>8016.9999999999991</v>
      </c>
    </row>
    <row r="6" spans="1:17" x14ac:dyDescent="0.2">
      <c r="A6" t="s">
        <v>30</v>
      </c>
      <c r="C6" s="12">
        <v>1636.3</v>
      </c>
      <c r="D6" s="12">
        <v>1489.3</v>
      </c>
      <c r="E6" s="12">
        <v>1428.1</v>
      </c>
      <c r="F6" s="12">
        <v>1289.5</v>
      </c>
      <c r="G6" s="12">
        <v>1288.7</v>
      </c>
      <c r="H6" s="12">
        <v>1276.7</v>
      </c>
      <c r="I6" s="12">
        <v>1336.7</v>
      </c>
      <c r="J6" s="12">
        <v>1474.8</v>
      </c>
      <c r="K6" s="12">
        <v>1375.5</v>
      </c>
      <c r="L6" s="12">
        <v>1355.7</v>
      </c>
      <c r="M6" s="12">
        <v>1347.7</v>
      </c>
      <c r="N6" s="12">
        <v>1454.2</v>
      </c>
      <c r="O6" s="12">
        <f t="shared" si="0"/>
        <v>16753.2</v>
      </c>
    </row>
    <row r="7" spans="1:17" x14ac:dyDescent="0.2">
      <c r="A7" t="s">
        <v>31</v>
      </c>
      <c r="C7" s="12">
        <v>164</v>
      </c>
      <c r="D7" s="12">
        <v>151.9</v>
      </c>
      <c r="E7" s="12">
        <v>204.4</v>
      </c>
      <c r="F7" s="12">
        <v>279.5</v>
      </c>
      <c r="G7" s="12">
        <v>261.60000000000002</v>
      </c>
      <c r="H7" s="12">
        <v>281.39999999999998</v>
      </c>
      <c r="I7" s="12">
        <v>307.39999999999998</v>
      </c>
      <c r="J7" s="12">
        <v>320.7</v>
      </c>
      <c r="K7" s="12">
        <v>215.9</v>
      </c>
      <c r="L7" s="12">
        <v>88</v>
      </c>
      <c r="M7" s="12">
        <v>288</v>
      </c>
      <c r="N7" s="12">
        <v>150.1</v>
      </c>
      <c r="O7" s="12">
        <f t="shared" si="0"/>
        <v>2712.9</v>
      </c>
    </row>
    <row r="8" spans="1:17" x14ac:dyDescent="0.2">
      <c r="A8" t="s">
        <v>32</v>
      </c>
      <c r="C8" s="13">
        <v>582.79999999999995</v>
      </c>
      <c r="D8" s="13">
        <v>527.4</v>
      </c>
      <c r="E8" s="13">
        <v>630.5</v>
      </c>
      <c r="F8" s="13">
        <v>592.29999999999995</v>
      </c>
      <c r="G8" s="13">
        <v>686.6</v>
      </c>
      <c r="H8" s="13">
        <v>570.6</v>
      </c>
      <c r="I8" s="13">
        <v>640.29999999999995</v>
      </c>
      <c r="J8" s="13">
        <v>642.9</v>
      </c>
      <c r="K8" s="13">
        <v>621</v>
      </c>
      <c r="L8" s="13">
        <v>602</v>
      </c>
      <c r="M8" s="13">
        <v>587</v>
      </c>
      <c r="N8" s="13">
        <v>603.70000000000005</v>
      </c>
      <c r="O8" s="12">
        <f t="shared" si="0"/>
        <v>7287.0999999999995</v>
      </c>
      <c r="Q8" s="12">
        <f>SUM(O4+O6+O8)</f>
        <v>130265.50000000001</v>
      </c>
    </row>
    <row r="9" spans="1:17" x14ac:dyDescent="0.2">
      <c r="A9" t="s">
        <v>33</v>
      </c>
      <c r="C9" s="13">
        <v>32.299999999999997</v>
      </c>
      <c r="D9" s="13">
        <v>23.2</v>
      </c>
      <c r="E9" s="13">
        <v>35.299999999999997</v>
      </c>
      <c r="F9" s="13">
        <v>112.8</v>
      </c>
      <c r="G9" s="13">
        <v>100.9</v>
      </c>
      <c r="H9" s="13">
        <v>97.8</v>
      </c>
      <c r="I9" s="13">
        <v>132.30000000000001</v>
      </c>
      <c r="J9" s="13">
        <v>143.69999999999999</v>
      </c>
      <c r="K9" s="13">
        <v>86.9</v>
      </c>
      <c r="L9" s="13">
        <v>133.69999999999999</v>
      </c>
      <c r="M9" s="13">
        <v>130.5</v>
      </c>
      <c r="N9" s="13">
        <v>109</v>
      </c>
      <c r="O9" s="12">
        <f t="shared" si="0"/>
        <v>1138.3999999999999</v>
      </c>
      <c r="Q9" s="12">
        <f>SUM(O5+O7+O9)</f>
        <v>11868.3</v>
      </c>
    </row>
    <row r="10" spans="1:17" x14ac:dyDescent="0.2">
      <c r="A10" s="11" t="s">
        <v>25</v>
      </c>
      <c r="B10" s="11"/>
      <c r="C10" s="14">
        <f>SUM(C4:C9)</f>
        <v>12030.599999999999</v>
      </c>
      <c r="D10" s="14">
        <f t="shared" ref="D10:N10" si="1">SUM(D4:D9)</f>
        <v>10874</v>
      </c>
      <c r="E10" s="14">
        <f t="shared" si="1"/>
        <v>11997.199999999999</v>
      </c>
      <c r="F10" s="14">
        <f t="shared" si="1"/>
        <v>11679.099999999999</v>
      </c>
      <c r="G10" s="14">
        <f t="shared" si="1"/>
        <v>12026.2</v>
      </c>
      <c r="H10" s="14">
        <f t="shared" si="1"/>
        <v>11553.6</v>
      </c>
      <c r="I10" s="14">
        <f t="shared" si="1"/>
        <v>12112.599999999999</v>
      </c>
      <c r="J10" s="14">
        <f t="shared" si="1"/>
        <v>12292.5</v>
      </c>
      <c r="K10" s="14">
        <f t="shared" si="1"/>
        <v>11601.499999999998</v>
      </c>
      <c r="L10" s="14">
        <f t="shared" si="1"/>
        <v>11950.2</v>
      </c>
      <c r="M10" s="14">
        <f t="shared" si="1"/>
        <v>11728.300000000001</v>
      </c>
      <c r="N10" s="14">
        <f t="shared" si="1"/>
        <v>12288.000000000002</v>
      </c>
      <c r="O10" s="14">
        <f t="shared" si="0"/>
        <v>142133.79999999999</v>
      </c>
    </row>
    <row r="11" spans="1:17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3" spans="1:17" x14ac:dyDescent="0.2">
      <c r="A13" s="2" t="s">
        <v>27</v>
      </c>
      <c r="C13" s="10" t="s">
        <v>1</v>
      </c>
      <c r="D13" s="10" t="s">
        <v>2</v>
      </c>
      <c r="E13" s="10" t="s">
        <v>3</v>
      </c>
      <c r="F13" s="10" t="s">
        <v>4</v>
      </c>
      <c r="G13" s="10" t="s">
        <v>5</v>
      </c>
      <c r="H13" s="10" t="s">
        <v>6</v>
      </c>
      <c r="I13" s="10" t="s">
        <v>7</v>
      </c>
      <c r="J13" s="10" t="s">
        <v>8</v>
      </c>
      <c r="K13" s="10" t="s">
        <v>9</v>
      </c>
      <c r="L13" s="10" t="s">
        <v>10</v>
      </c>
      <c r="M13" s="10" t="s">
        <v>11</v>
      </c>
      <c r="N13" s="10" t="s">
        <v>12</v>
      </c>
      <c r="O13" s="10" t="s">
        <v>13</v>
      </c>
    </row>
    <row r="15" spans="1:17" x14ac:dyDescent="0.2">
      <c r="A15" t="s">
        <v>28</v>
      </c>
      <c r="C15" s="15">
        <f>7726.3+1486.2</f>
        <v>9212.5</v>
      </c>
      <c r="D15" s="15">
        <f>7111.9+1390.3</f>
        <v>8502.1999999999989</v>
      </c>
      <c r="E15" s="15">
        <f>7766.5+1504.2</f>
        <v>9270.7000000000007</v>
      </c>
      <c r="F15" s="15">
        <f>7571.4+1438.2</f>
        <v>9009.6</v>
      </c>
      <c r="G15" s="15">
        <f>8209.7+1486.2</f>
        <v>9695.9000000000015</v>
      </c>
      <c r="H15" s="15">
        <f>8011+1438.2</f>
        <v>9449.2000000000007</v>
      </c>
      <c r="I15" s="15">
        <f>8518.4+1486.2</f>
        <v>10004.6</v>
      </c>
      <c r="J15" s="15">
        <f>8635.2+1486.2</f>
        <v>10121.400000000001</v>
      </c>
      <c r="K15" s="15">
        <f>8363.4+1438.2</f>
        <v>9801.6</v>
      </c>
      <c r="L15" s="15">
        <f>8625.7+1486.2</f>
        <v>10111.900000000001</v>
      </c>
      <c r="M15" s="15">
        <f>8308.6+1448.7</f>
        <v>9757.3000000000011</v>
      </c>
      <c r="N15" s="15">
        <f>8996.5+1477.8</f>
        <v>10474.299999999999</v>
      </c>
      <c r="O15" s="12">
        <f t="shared" ref="O15:O21" si="2">SUM(C15:N15)</f>
        <v>115411.20000000001</v>
      </c>
      <c r="P15" s="19"/>
    </row>
    <row r="16" spans="1:17" x14ac:dyDescent="0.2">
      <c r="A16" t="s">
        <v>29</v>
      </c>
      <c r="C16" s="16">
        <f>664.1+15.8</f>
        <v>679.9</v>
      </c>
      <c r="D16" s="16">
        <f>616.2+15.2</f>
        <v>631.40000000000009</v>
      </c>
      <c r="E16" s="16">
        <f>691.8+17.9</f>
        <v>709.69999999999993</v>
      </c>
      <c r="F16" s="16">
        <f>532+12.6</f>
        <v>544.6</v>
      </c>
      <c r="G16" s="16">
        <f>615.8+15.7</f>
        <v>631.5</v>
      </c>
      <c r="H16" s="16">
        <f>668+20.7</f>
        <v>688.7</v>
      </c>
      <c r="I16" s="16">
        <f>742+17.9</f>
        <v>759.9</v>
      </c>
      <c r="J16" s="16">
        <f>801+18.4</f>
        <v>819.4</v>
      </c>
      <c r="K16" s="16">
        <f>811+227.8</f>
        <v>1038.8</v>
      </c>
      <c r="L16" s="16">
        <f>790.5+15.2</f>
        <v>805.7</v>
      </c>
      <c r="M16" s="16">
        <f>745.1+37.9</f>
        <v>783</v>
      </c>
      <c r="N16" s="16">
        <f>887.4+16.1</f>
        <v>903.5</v>
      </c>
      <c r="O16" s="12">
        <f t="shared" si="2"/>
        <v>8996.0999999999985</v>
      </c>
      <c r="P16" s="3"/>
    </row>
    <row r="17" spans="1:16" x14ac:dyDescent="0.2">
      <c r="A17" t="s">
        <v>30</v>
      </c>
      <c r="C17" s="17">
        <v>1374</v>
      </c>
      <c r="D17" s="17">
        <v>1476.9</v>
      </c>
      <c r="E17" s="17">
        <v>1074</v>
      </c>
      <c r="F17" s="17">
        <v>1085.5</v>
      </c>
      <c r="G17" s="17">
        <v>1120.5</v>
      </c>
      <c r="H17" s="17">
        <v>1075.9000000000001</v>
      </c>
      <c r="I17" s="17">
        <v>1022.8</v>
      </c>
      <c r="J17" s="17">
        <v>989.3</v>
      </c>
      <c r="K17" s="17">
        <v>1132.3</v>
      </c>
      <c r="L17" s="17">
        <v>1116.3</v>
      </c>
      <c r="M17" s="17">
        <v>1022.07</v>
      </c>
      <c r="N17" s="17">
        <v>1226.0999999999999</v>
      </c>
      <c r="O17" s="12">
        <f t="shared" si="2"/>
        <v>13715.669999999996</v>
      </c>
      <c r="P17" s="3"/>
    </row>
    <row r="18" spans="1:16" x14ac:dyDescent="0.2">
      <c r="A18" t="s">
        <v>31</v>
      </c>
      <c r="C18" s="16">
        <v>219.1</v>
      </c>
      <c r="D18" s="16">
        <v>149.19999999999999</v>
      </c>
      <c r="E18" s="16">
        <v>167.1</v>
      </c>
      <c r="F18" s="16">
        <v>189.8</v>
      </c>
      <c r="G18" s="16">
        <v>223.4</v>
      </c>
      <c r="H18" s="16">
        <v>167.8</v>
      </c>
      <c r="I18" s="16">
        <v>294</v>
      </c>
      <c r="J18" s="16">
        <v>334.8</v>
      </c>
      <c r="K18" s="16">
        <v>210.1</v>
      </c>
      <c r="L18" s="16">
        <v>191.6</v>
      </c>
      <c r="M18" s="16">
        <v>278.89999999999998</v>
      </c>
      <c r="N18" s="16">
        <v>475.3</v>
      </c>
      <c r="O18" s="18">
        <f t="shared" si="2"/>
        <v>2901.1000000000004</v>
      </c>
      <c r="P18" s="19"/>
    </row>
    <row r="19" spans="1:16" x14ac:dyDescent="0.2">
      <c r="A19" t="s">
        <v>32</v>
      </c>
      <c r="C19" s="16">
        <v>756.2</v>
      </c>
      <c r="D19" s="16">
        <v>616.9</v>
      </c>
      <c r="E19" s="16">
        <v>649.4</v>
      </c>
      <c r="F19" s="16">
        <v>634.5</v>
      </c>
      <c r="G19" s="16">
        <v>680.5</v>
      </c>
      <c r="H19" s="16">
        <v>634</v>
      </c>
      <c r="I19" s="16">
        <v>663.1</v>
      </c>
      <c r="J19" s="16">
        <v>664</v>
      </c>
      <c r="K19" s="16">
        <v>643.79999999999995</v>
      </c>
      <c r="L19" s="16">
        <v>682.6</v>
      </c>
      <c r="M19" s="16">
        <v>669</v>
      </c>
      <c r="N19" s="16">
        <v>656.4</v>
      </c>
      <c r="O19" s="12">
        <f t="shared" si="2"/>
        <v>7950.4000000000005</v>
      </c>
      <c r="P19" s="3"/>
    </row>
    <row r="20" spans="1:16" x14ac:dyDescent="0.2">
      <c r="A20" t="s">
        <v>33</v>
      </c>
      <c r="C20" s="16">
        <v>104.5</v>
      </c>
      <c r="D20" s="16">
        <v>61.6</v>
      </c>
      <c r="E20" s="16">
        <v>82</v>
      </c>
      <c r="F20" s="16">
        <v>84.9</v>
      </c>
      <c r="G20" s="16">
        <v>113.3</v>
      </c>
      <c r="H20" s="16">
        <v>153.69999999999999</v>
      </c>
      <c r="I20" s="16">
        <v>133.1</v>
      </c>
      <c r="J20" s="16">
        <v>220.3</v>
      </c>
      <c r="K20" s="16">
        <v>192.5</v>
      </c>
      <c r="L20" s="16">
        <v>211.9</v>
      </c>
      <c r="M20" s="16">
        <v>129.9</v>
      </c>
      <c r="N20" s="16">
        <v>173.2</v>
      </c>
      <c r="O20" s="12">
        <f t="shared" si="2"/>
        <v>1660.9000000000003</v>
      </c>
      <c r="P20" s="3"/>
    </row>
    <row r="21" spans="1:16" x14ac:dyDescent="0.2">
      <c r="A21" s="11" t="s">
        <v>25</v>
      </c>
      <c r="B21" s="11"/>
      <c r="C21" s="14">
        <f>SUM(C15:C20)</f>
        <v>12346.2</v>
      </c>
      <c r="D21" s="14">
        <f t="shared" ref="D21:N21" si="3">SUM(D15:D20)</f>
        <v>11438.199999999999</v>
      </c>
      <c r="E21" s="14">
        <f t="shared" si="3"/>
        <v>11952.900000000001</v>
      </c>
      <c r="F21" s="14">
        <f t="shared" si="3"/>
        <v>11548.9</v>
      </c>
      <c r="G21" s="14">
        <f t="shared" si="3"/>
        <v>12465.1</v>
      </c>
      <c r="H21" s="14">
        <f t="shared" si="3"/>
        <v>12169.300000000001</v>
      </c>
      <c r="I21" s="14">
        <f t="shared" si="3"/>
        <v>12877.5</v>
      </c>
      <c r="J21" s="14">
        <f t="shared" si="3"/>
        <v>13149.199999999999</v>
      </c>
      <c r="K21" s="14">
        <f t="shared" si="3"/>
        <v>13019.099999999999</v>
      </c>
      <c r="L21" s="14">
        <f t="shared" si="3"/>
        <v>13120.000000000002</v>
      </c>
      <c r="M21" s="14">
        <f t="shared" si="3"/>
        <v>12640.17</v>
      </c>
      <c r="N21" s="14">
        <f t="shared" si="3"/>
        <v>13908.8</v>
      </c>
      <c r="O21" s="14">
        <f t="shared" si="2"/>
        <v>150635.37</v>
      </c>
      <c r="P21" s="3"/>
    </row>
    <row r="22" spans="1: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4" spans="1:16" x14ac:dyDescent="0.2">
      <c r="A24" s="2" t="s">
        <v>24</v>
      </c>
      <c r="C24" s="10" t="s">
        <v>1</v>
      </c>
      <c r="D24" s="10" t="s">
        <v>2</v>
      </c>
      <c r="E24" s="10" t="s">
        <v>3</v>
      </c>
      <c r="F24" s="10" t="s">
        <v>4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9</v>
      </c>
      <c r="L24" s="10" t="s">
        <v>10</v>
      </c>
      <c r="M24" s="10" t="s">
        <v>11</v>
      </c>
      <c r="N24" s="10" t="s">
        <v>12</v>
      </c>
      <c r="O24" s="10" t="s">
        <v>13</v>
      </c>
    </row>
    <row r="26" spans="1:16" x14ac:dyDescent="0.2">
      <c r="A26" t="s">
        <v>28</v>
      </c>
      <c r="C26" s="15">
        <f>8948+1516</f>
        <v>10464</v>
      </c>
      <c r="D26" s="15">
        <f>13940+1370</f>
        <v>15310</v>
      </c>
      <c r="E26" s="15">
        <f>3508.2+1516.5</f>
        <v>5024.7</v>
      </c>
      <c r="F26" s="15">
        <f>8274.6+1467.7</f>
        <v>9742.3000000000011</v>
      </c>
      <c r="G26" s="15">
        <f>8917+1516.5</f>
        <v>10433.5</v>
      </c>
      <c r="H26" s="15">
        <f>8393.2+1467.5</f>
        <v>9860.7000000000007</v>
      </c>
      <c r="I26" s="15">
        <f>8902.2+1514</f>
        <v>10416.200000000001</v>
      </c>
      <c r="J26" s="15">
        <f>8962+1486.7</f>
        <v>10448.700000000001</v>
      </c>
      <c r="K26" s="15">
        <f>8684.6+1483.3</f>
        <v>10167.9</v>
      </c>
      <c r="L26" s="15">
        <f>9021.2+1500.7</f>
        <v>10521.900000000001</v>
      </c>
      <c r="M26" s="15">
        <f>7634.5+1498.2</f>
        <v>9132.7000000000007</v>
      </c>
      <c r="N26" s="15">
        <f>8001+1548.3</f>
        <v>9549.2999999999993</v>
      </c>
      <c r="O26" s="12">
        <f t="shared" ref="O26:O32" si="4">SUM(C26:N26)</f>
        <v>121071.9</v>
      </c>
      <c r="P26" s="3"/>
    </row>
    <row r="27" spans="1:16" x14ac:dyDescent="0.2">
      <c r="A27" t="s">
        <v>29</v>
      </c>
      <c r="C27" s="16">
        <f>898+16</f>
        <v>914</v>
      </c>
      <c r="D27" s="16">
        <f>792+15</f>
        <v>807</v>
      </c>
      <c r="E27" s="16">
        <f>875+17.5</f>
        <v>892.5</v>
      </c>
      <c r="F27" s="16">
        <f>2132.5+25.3</f>
        <v>2157.8000000000002</v>
      </c>
      <c r="G27" s="16">
        <f>3055+25.4</f>
        <v>3080.4</v>
      </c>
      <c r="H27" s="16">
        <f>1667.7+15.5</f>
        <v>1683.2</v>
      </c>
      <c r="I27" s="16">
        <f>1133.7+17.7</f>
        <v>1151.4000000000001</v>
      </c>
      <c r="J27" s="16">
        <f>1345.2+15.6</f>
        <v>1360.8</v>
      </c>
      <c r="K27" s="16">
        <f>974.1+14.4</f>
        <v>988.5</v>
      </c>
      <c r="L27" s="16">
        <f>891.7+15.6</f>
        <v>907.30000000000007</v>
      </c>
      <c r="M27" s="16">
        <f>800.6+15.3</f>
        <v>815.9</v>
      </c>
      <c r="N27" s="16">
        <f>876.9+15.9</f>
        <v>892.8</v>
      </c>
      <c r="O27" s="12">
        <f t="shared" si="4"/>
        <v>15651.599999999999</v>
      </c>
      <c r="P27" s="3"/>
    </row>
    <row r="28" spans="1:16" x14ac:dyDescent="0.2">
      <c r="A28" t="s">
        <v>30</v>
      </c>
      <c r="C28" s="17">
        <v>1401</v>
      </c>
      <c r="D28" s="17">
        <v>1139</v>
      </c>
      <c r="E28" s="17">
        <v>1687.1</v>
      </c>
      <c r="F28" s="17">
        <v>1211.8</v>
      </c>
      <c r="G28" s="17">
        <v>1321.2</v>
      </c>
      <c r="H28" s="17">
        <v>1460.8</v>
      </c>
      <c r="I28" s="17">
        <v>1473</v>
      </c>
      <c r="J28" s="17">
        <v>1264.2</v>
      </c>
      <c r="K28" s="17">
        <v>1184</v>
      </c>
      <c r="L28" s="17">
        <v>1252</v>
      </c>
      <c r="M28" s="17">
        <v>1530.6</v>
      </c>
      <c r="N28" s="17">
        <v>1485.6</v>
      </c>
      <c r="O28" s="12">
        <f t="shared" si="4"/>
        <v>16410.3</v>
      </c>
      <c r="P28" s="3"/>
    </row>
    <row r="29" spans="1:16" x14ac:dyDescent="0.2">
      <c r="A29" t="s">
        <v>31</v>
      </c>
      <c r="C29" s="16">
        <v>192</v>
      </c>
      <c r="D29" s="16">
        <v>221</v>
      </c>
      <c r="E29" s="16">
        <v>213.1</v>
      </c>
      <c r="F29" s="16">
        <v>352</v>
      </c>
      <c r="G29" s="16">
        <v>253</v>
      </c>
      <c r="H29" s="16">
        <v>240.3</v>
      </c>
      <c r="I29" s="16">
        <v>223</v>
      </c>
      <c r="J29" s="16">
        <v>183.2</v>
      </c>
      <c r="K29" s="16">
        <v>164.7</v>
      </c>
      <c r="L29" s="16">
        <v>175.4</v>
      </c>
      <c r="M29" s="16">
        <v>229.7</v>
      </c>
      <c r="N29" s="16">
        <v>144.80000000000001</v>
      </c>
      <c r="O29" s="12">
        <f t="shared" si="4"/>
        <v>2592.1999999999998</v>
      </c>
      <c r="P29" s="3"/>
    </row>
    <row r="30" spans="1:16" x14ac:dyDescent="0.2">
      <c r="A30" t="s">
        <v>32</v>
      </c>
      <c r="C30" s="16">
        <v>747</v>
      </c>
      <c r="D30" s="16">
        <v>636</v>
      </c>
      <c r="E30" s="16">
        <v>766.6</v>
      </c>
      <c r="F30" s="16">
        <v>874.1</v>
      </c>
      <c r="G30" s="16">
        <v>896.5</v>
      </c>
      <c r="H30" s="16">
        <v>807.9</v>
      </c>
      <c r="I30" s="16">
        <v>812.6</v>
      </c>
      <c r="J30" s="16">
        <v>864</v>
      </c>
      <c r="K30" s="16">
        <v>870.5</v>
      </c>
      <c r="L30" s="16">
        <v>627.20000000000005</v>
      </c>
      <c r="M30" s="16">
        <v>732.1</v>
      </c>
      <c r="N30" s="16">
        <v>744</v>
      </c>
      <c r="O30" s="12">
        <f t="shared" si="4"/>
        <v>9378.5</v>
      </c>
      <c r="P30" s="3"/>
    </row>
    <row r="31" spans="1:16" x14ac:dyDescent="0.2">
      <c r="A31" t="s">
        <v>33</v>
      </c>
      <c r="C31" s="16">
        <v>198</v>
      </c>
      <c r="D31" s="16">
        <v>230</v>
      </c>
      <c r="E31" s="16">
        <v>179.6</v>
      </c>
      <c r="F31" s="16">
        <v>217.6</v>
      </c>
      <c r="G31" s="16">
        <v>355</v>
      </c>
      <c r="H31" s="16">
        <v>240</v>
      </c>
      <c r="I31" s="16">
        <v>189</v>
      </c>
      <c r="J31" s="16">
        <v>125.327</v>
      </c>
      <c r="K31" s="16">
        <v>100.2</v>
      </c>
      <c r="L31" s="16">
        <v>72.2</v>
      </c>
      <c r="M31" s="16">
        <v>126</v>
      </c>
      <c r="N31" s="16">
        <v>96.800000000000068</v>
      </c>
      <c r="O31" s="12">
        <f t="shared" si="4"/>
        <v>2129.7270000000003</v>
      </c>
      <c r="P31" s="3"/>
    </row>
    <row r="32" spans="1:16" x14ac:dyDescent="0.2">
      <c r="A32" s="11" t="s">
        <v>25</v>
      </c>
      <c r="B32" s="11"/>
      <c r="C32" s="14">
        <f>SUM(C26:C31)</f>
        <v>13916</v>
      </c>
      <c r="D32" s="14">
        <f t="shared" ref="D32:N32" si="5">SUM(D26:D31)</f>
        <v>18343</v>
      </c>
      <c r="E32" s="14">
        <f t="shared" si="5"/>
        <v>8763.6</v>
      </c>
      <c r="F32" s="14">
        <f t="shared" si="5"/>
        <v>14555.600000000002</v>
      </c>
      <c r="G32" s="14">
        <f t="shared" si="5"/>
        <v>16339.6</v>
      </c>
      <c r="H32" s="14">
        <f t="shared" si="5"/>
        <v>14292.9</v>
      </c>
      <c r="I32" s="14">
        <f t="shared" si="5"/>
        <v>14265.2</v>
      </c>
      <c r="J32" s="14">
        <f t="shared" si="5"/>
        <v>14246.227000000001</v>
      </c>
      <c r="K32" s="14">
        <f t="shared" si="5"/>
        <v>13475.800000000001</v>
      </c>
      <c r="L32" s="14">
        <f t="shared" si="5"/>
        <v>13556.000000000002</v>
      </c>
      <c r="M32" s="14">
        <f t="shared" si="5"/>
        <v>12567.000000000002</v>
      </c>
      <c r="N32" s="14">
        <f t="shared" si="5"/>
        <v>12913.299999999997</v>
      </c>
      <c r="O32" s="14">
        <f t="shared" si="4"/>
        <v>167234.22699999998</v>
      </c>
      <c r="P32" s="3"/>
    </row>
    <row r="33" spans="1:16" x14ac:dyDescent="0.2">
      <c r="O33" s="5"/>
      <c r="P33" s="3"/>
    </row>
    <row r="34" spans="1:16" x14ac:dyDescent="0.2">
      <c r="O34" s="5"/>
      <c r="P34" s="3"/>
    </row>
    <row r="37" spans="1:16" x14ac:dyDescent="0.2">
      <c r="A37" t="str">
        <f ca="1">CELL("filename",A37:A37)</f>
        <v>S:\Marketing\TWFIN\MKT_ANLY\TW\TWFIN\2001\Misc\[Throughput_1999 to Dec 2001.xls]Margins</v>
      </c>
    </row>
  </sheetData>
  <phoneticPr fontId="0" type="noConversion"/>
  <pageMargins left="0" right="0" top="0.75" bottom="0.75" header="0.5" footer="0.5"/>
  <pageSetup paperSize="5" orientation="landscape" r:id="rId1"/>
  <headerFooter alignWithMargins="0">
    <oddHeader>&amp;CTW REVENUES
1999-2001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Throughput</vt:lpstr>
      <vt:lpstr>Margins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Jan Havlíček</cp:lastModifiedBy>
  <cp:lastPrinted>2002-01-16T13:47:28Z</cp:lastPrinted>
  <dcterms:created xsi:type="dcterms:W3CDTF">2001-10-26T18:59:13Z</dcterms:created>
  <dcterms:modified xsi:type="dcterms:W3CDTF">2023-09-17T14:17:31Z</dcterms:modified>
</cp:coreProperties>
</file>