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2.xml" ContentType="application/vnd.openxmlformats-officedocument.drawingml.chartshapes+xml"/>
  <Override PartName="/xl/charts/chart28.xml" ContentType="application/vnd.openxmlformats-officedocument.drawingml.chart+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7.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8.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9.xml" ContentType="application/vnd.openxmlformats-officedocument.drawingml.chartshapes+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20.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21.xml" ContentType="application/vnd.openxmlformats-officedocument.drawingml.chartshapes+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64190A9-BFEA-48FF-A09E-4250AB21372C}" xr6:coauthVersionLast="47" xr6:coauthVersionMax="47" xr10:uidLastSave="{00000000-0000-0000-0000-000000000000}"/>
  <bookViews>
    <workbookView xWindow="-120" yWindow="-120" windowWidth="38640" windowHeight="15720"/>
  </bookViews>
  <sheets>
    <sheet name="Graph Data Oct 08" sheetId="15" r:id="rId1"/>
    <sheet name="summary 1008" sheetId="16" r:id="rId2"/>
    <sheet name="Graph Data Oct 01" sheetId="13" r:id="rId3"/>
    <sheet name="summary 1001" sheetId="14" r:id="rId4"/>
    <sheet name="Graph Data Sep 24" sheetId="11" r:id="rId5"/>
    <sheet name="summary 0924" sheetId="12" r:id="rId6"/>
    <sheet name="Graph Data Sep 17" sheetId="9" r:id="rId7"/>
    <sheet name="summary 0917" sheetId="10" r:id="rId8"/>
    <sheet name="Graph Data Sep 10" sheetId="7" r:id="rId9"/>
    <sheet name="summary 0910" sheetId="8" r:id="rId10"/>
    <sheet name="Graph Data Sep 04" sheetId="5" r:id="rId11"/>
    <sheet name="summary 0904" sheetId="6" r:id="rId12"/>
    <sheet name="Graph Data Aug 27" sheetId="3" r:id="rId13"/>
    <sheet name="summary 0827" sheetId="4" r:id="rId14"/>
    <sheet name="Graph Data Aug 20" sheetId="1" r:id="rId15"/>
    <sheet name="summary 0820" sheetId="2" r:id="rId16"/>
  </sheets>
  <externalReferences>
    <externalReference r:id="rId17"/>
    <externalReference r:id="rId18"/>
    <externalReference r:id="rId19"/>
    <externalReference r:id="rId20"/>
    <externalReference r:id="rId21"/>
    <externalReference r:id="rId22"/>
    <externalReference r:id="rId23"/>
    <externalReference r:id="rId24"/>
  </externalReferences>
  <definedNames>
    <definedName name="_xlnm.Print_Area" localSheetId="14">'Graph Data Aug 20'!$A$17:$J$74</definedName>
    <definedName name="_xlnm.Print_Area" localSheetId="12">'Graph Data Aug 27'!$A$17:$J$74</definedName>
    <definedName name="_xlnm.Print_Area" localSheetId="2">'Graph Data Oct 01'!$A$35:$K$104</definedName>
    <definedName name="_xlnm.Print_Area" localSheetId="0">'Graph Data Oct 08'!$A$111:$K$143</definedName>
    <definedName name="_xlnm.Print_Area" localSheetId="10">'Graph Data Sep 04'!$A$26:$J$83</definedName>
    <definedName name="_xlnm.Print_Area" localSheetId="8">'Graph Data Sep 10'!$A$26:$J$84</definedName>
    <definedName name="_xlnm.Print_Area" localSheetId="6">'Graph Data Sep 17'!$A$110:$L$143</definedName>
    <definedName name="_xlnm.Print_Area" localSheetId="4">'Graph Data Sep 24'!$A$35:$K$103</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13"/>
  <c r="J2" i="13"/>
  <c r="AC2" i="13"/>
  <c r="AD2" i="13"/>
  <c r="AE2" i="13"/>
  <c r="AF2" i="13"/>
  <c r="R3" i="13"/>
  <c r="T3" i="13"/>
  <c r="AE3" i="13"/>
  <c r="G4" i="13"/>
  <c r="H4" i="13"/>
  <c r="I4" i="13"/>
  <c r="J4" i="13"/>
  <c r="N4" i="13"/>
  <c r="Q4" i="13"/>
  <c r="R4" i="13"/>
  <c r="S4" i="13"/>
  <c r="W4" i="13"/>
  <c r="X4" i="13"/>
  <c r="Y4" i="13"/>
  <c r="Z4" i="13"/>
  <c r="AA4" i="13"/>
  <c r="AB4" i="13"/>
  <c r="AC4" i="13"/>
  <c r="AD4" i="13"/>
  <c r="AE4" i="13"/>
  <c r="AF4" i="13"/>
  <c r="G5" i="13"/>
  <c r="H5" i="13"/>
  <c r="I5" i="13"/>
  <c r="J5" i="13"/>
  <c r="N5" i="13"/>
  <c r="Q5" i="13"/>
  <c r="R5" i="13"/>
  <c r="S5" i="13"/>
  <c r="T5" i="13"/>
  <c r="U5" i="13"/>
  <c r="V5" i="13"/>
  <c r="W5" i="13"/>
  <c r="X5" i="13"/>
  <c r="Y5" i="13"/>
  <c r="Z5" i="13"/>
  <c r="AA5" i="13"/>
  <c r="AB5" i="13"/>
  <c r="AC5" i="13"/>
  <c r="AD5" i="13"/>
  <c r="AE5" i="13"/>
  <c r="AF5" i="13"/>
  <c r="G6" i="13"/>
  <c r="H6" i="13"/>
  <c r="I6" i="13"/>
  <c r="J6" i="13"/>
  <c r="T6" i="13"/>
  <c r="U6" i="13"/>
  <c r="V6" i="13"/>
  <c r="W6" i="13"/>
  <c r="X6" i="13"/>
  <c r="Y6" i="13"/>
  <c r="AA6" i="13"/>
  <c r="AC6" i="13"/>
  <c r="G7" i="13"/>
  <c r="N7" i="13"/>
  <c r="Q7" i="13"/>
  <c r="R7" i="13"/>
  <c r="S7" i="13"/>
  <c r="T7" i="13"/>
  <c r="W7" i="13"/>
  <c r="X7" i="13"/>
  <c r="Y7" i="13"/>
  <c r="AA7" i="13"/>
  <c r="AB7" i="13"/>
  <c r="AC7" i="13"/>
  <c r="AF7" i="13"/>
  <c r="G8" i="13"/>
  <c r="H8" i="13"/>
  <c r="I8" i="13"/>
  <c r="J8" i="13"/>
  <c r="N8" i="13"/>
  <c r="Q8" i="13"/>
  <c r="T8" i="13"/>
  <c r="V8" i="13"/>
  <c r="X8" i="13"/>
  <c r="Y8" i="13"/>
  <c r="Z8" i="13"/>
  <c r="AA8" i="13"/>
  <c r="Q9" i="13"/>
  <c r="R9" i="13"/>
  <c r="V9" i="13"/>
  <c r="W9" i="13"/>
  <c r="X9" i="13"/>
  <c r="Y9" i="13"/>
  <c r="Z9" i="13"/>
  <c r="AA9" i="13"/>
  <c r="AB9" i="13"/>
  <c r="AD9" i="13"/>
  <c r="AE9" i="13"/>
  <c r="AF9" i="13"/>
  <c r="S10" i="13"/>
  <c r="U10" i="13"/>
  <c r="V10" i="13"/>
  <c r="W10" i="13"/>
  <c r="X10" i="13"/>
  <c r="Z10" i="13"/>
  <c r="AA10" i="13"/>
  <c r="AB10" i="13"/>
  <c r="AD10" i="13"/>
  <c r="AF10" i="13"/>
  <c r="J11" i="13"/>
  <c r="K11" i="13"/>
  <c r="L11" i="13"/>
  <c r="M11" i="13"/>
  <c r="N11" i="13"/>
  <c r="O11" i="13"/>
  <c r="P11" i="13"/>
  <c r="Q11" i="13"/>
  <c r="R11" i="13"/>
  <c r="S11" i="13"/>
  <c r="T11" i="13"/>
  <c r="U11" i="13"/>
  <c r="V11" i="13"/>
  <c r="W11" i="13"/>
  <c r="X11" i="13"/>
  <c r="Y11" i="13"/>
  <c r="Z11" i="13"/>
  <c r="AA11" i="13"/>
  <c r="AB11" i="13"/>
  <c r="AC11" i="13"/>
  <c r="AD11" i="13"/>
  <c r="AE11" i="13"/>
  <c r="AF11" i="13"/>
  <c r="Y15" i="13"/>
  <c r="Z15" i="13"/>
  <c r="AB15" i="13"/>
  <c r="AC15" i="13"/>
  <c r="AE15" i="13"/>
  <c r="AF15" i="13"/>
  <c r="X16" i="13"/>
  <c r="Y16" i="13"/>
  <c r="Z16" i="13"/>
  <c r="AA16" i="13"/>
  <c r="AB16" i="13"/>
  <c r="AC16" i="13"/>
  <c r="AE16" i="13"/>
  <c r="AF16" i="13"/>
  <c r="X20" i="13"/>
  <c r="Y20" i="13"/>
  <c r="Z20" i="13"/>
  <c r="AA20" i="13"/>
  <c r="AB20" i="13"/>
  <c r="AC20" i="13"/>
  <c r="AF20" i="13"/>
  <c r="X22" i="13"/>
  <c r="Y22" i="13"/>
  <c r="Z22" i="13"/>
  <c r="AA22" i="13"/>
  <c r="AB22" i="13"/>
  <c r="AC22" i="13"/>
  <c r="AD22" i="13"/>
  <c r="AE22" i="13"/>
  <c r="AF22" i="13"/>
  <c r="B188" i="13"/>
  <c r="C188" i="13"/>
  <c r="D188" i="13"/>
  <c r="E188" i="13"/>
  <c r="B189" i="13"/>
  <c r="C189" i="13"/>
  <c r="D189" i="13"/>
  <c r="E189" i="13"/>
  <c r="B190" i="13"/>
  <c r="C190" i="13"/>
  <c r="D190" i="13"/>
  <c r="E190" i="13"/>
  <c r="B191" i="13"/>
  <c r="D191" i="13"/>
  <c r="B192" i="13"/>
  <c r="C192" i="13"/>
  <c r="D192" i="13"/>
  <c r="E192" i="13"/>
  <c r="B193" i="13"/>
  <c r="C193" i="13"/>
  <c r="D193" i="13"/>
  <c r="E193" i="13"/>
  <c r="B194" i="13"/>
  <c r="B195" i="13"/>
  <c r="C195" i="13"/>
  <c r="D195" i="13"/>
  <c r="E195" i="13"/>
  <c r="B196" i="13"/>
  <c r="B197" i="13"/>
  <c r="C197" i="13"/>
  <c r="D197" i="13"/>
  <c r="H2" i="15"/>
  <c r="J2" i="15"/>
  <c r="AC2" i="15"/>
  <c r="AD2" i="15"/>
  <c r="AE2" i="15"/>
  <c r="AF2" i="15"/>
  <c r="AG2" i="15"/>
  <c r="R3" i="15"/>
  <c r="T3" i="15"/>
  <c r="AE3" i="15"/>
  <c r="G4" i="15"/>
  <c r="H4" i="15"/>
  <c r="I4" i="15"/>
  <c r="J4" i="15"/>
  <c r="N4" i="15"/>
  <c r="Q4" i="15"/>
  <c r="R4" i="15"/>
  <c r="S4" i="15"/>
  <c r="W4" i="15"/>
  <c r="X4" i="15"/>
  <c r="Y4" i="15"/>
  <c r="Z4" i="15"/>
  <c r="AA4" i="15"/>
  <c r="AB4" i="15"/>
  <c r="AC4" i="15"/>
  <c r="AD4" i="15"/>
  <c r="AE4" i="15"/>
  <c r="AF4" i="15"/>
  <c r="AG4" i="15"/>
  <c r="G5" i="15"/>
  <c r="H5" i="15"/>
  <c r="I5" i="15"/>
  <c r="J5" i="15"/>
  <c r="N5" i="15"/>
  <c r="Q5" i="15"/>
  <c r="R5" i="15"/>
  <c r="S5" i="15"/>
  <c r="T5" i="15"/>
  <c r="U5" i="15"/>
  <c r="V5" i="15"/>
  <c r="W5" i="15"/>
  <c r="X5" i="15"/>
  <c r="Y5" i="15"/>
  <c r="Z5" i="15"/>
  <c r="AA5" i="15"/>
  <c r="AB5" i="15"/>
  <c r="AC5" i="15"/>
  <c r="AD5" i="15"/>
  <c r="AE5" i="15"/>
  <c r="AF5" i="15"/>
  <c r="AG5" i="15"/>
  <c r="G6" i="15"/>
  <c r="H6" i="15"/>
  <c r="I6" i="15"/>
  <c r="J6" i="15"/>
  <c r="T6" i="15"/>
  <c r="U6" i="15"/>
  <c r="V6" i="15"/>
  <c r="W6" i="15"/>
  <c r="X6" i="15"/>
  <c r="Y6" i="15"/>
  <c r="AA6" i="15"/>
  <c r="AC6" i="15"/>
  <c r="AG6" i="15"/>
  <c r="G7" i="15"/>
  <c r="N7" i="15"/>
  <c r="Q7" i="15"/>
  <c r="R7" i="15"/>
  <c r="S7" i="15"/>
  <c r="T7" i="15"/>
  <c r="W7" i="15"/>
  <c r="X7" i="15"/>
  <c r="Y7" i="15"/>
  <c r="AA7" i="15"/>
  <c r="AB7" i="15"/>
  <c r="AC7" i="15"/>
  <c r="AF7" i="15"/>
  <c r="G8" i="15"/>
  <c r="H8" i="15"/>
  <c r="I8" i="15"/>
  <c r="J8" i="15"/>
  <c r="N8" i="15"/>
  <c r="Q8" i="15"/>
  <c r="T8" i="15"/>
  <c r="V8" i="15"/>
  <c r="X8" i="15"/>
  <c r="Y8" i="15"/>
  <c r="Z8" i="15"/>
  <c r="AA8" i="15"/>
  <c r="AG8" i="15"/>
  <c r="Q9" i="15"/>
  <c r="R9" i="15"/>
  <c r="V9" i="15"/>
  <c r="W9" i="15"/>
  <c r="X9" i="15"/>
  <c r="Y9" i="15"/>
  <c r="Z9" i="15"/>
  <c r="AA9" i="15"/>
  <c r="AB9" i="15"/>
  <c r="AD9" i="15"/>
  <c r="AE9" i="15"/>
  <c r="AF9" i="15"/>
  <c r="S10" i="15"/>
  <c r="U10" i="15"/>
  <c r="V10" i="15"/>
  <c r="W10" i="15"/>
  <c r="X10" i="15"/>
  <c r="Z10" i="15"/>
  <c r="AA10" i="15"/>
  <c r="AB10" i="15"/>
  <c r="AD10" i="15"/>
  <c r="AF10" i="15"/>
  <c r="AG10" i="15"/>
  <c r="J11" i="15"/>
  <c r="K11" i="15"/>
  <c r="L11" i="15"/>
  <c r="M11" i="15"/>
  <c r="N11" i="15"/>
  <c r="O11" i="15"/>
  <c r="P11" i="15"/>
  <c r="Q11" i="15"/>
  <c r="R11" i="15"/>
  <c r="S11" i="15"/>
  <c r="T11" i="15"/>
  <c r="U11" i="15"/>
  <c r="V11" i="15"/>
  <c r="W11" i="15"/>
  <c r="X11" i="15"/>
  <c r="Y11" i="15"/>
  <c r="Z11" i="15"/>
  <c r="AA11" i="15"/>
  <c r="AB11" i="15"/>
  <c r="AC11" i="15"/>
  <c r="AD11" i="15"/>
  <c r="AE11" i="15"/>
  <c r="AF11" i="15"/>
  <c r="AG11" i="15"/>
  <c r="Y15" i="15"/>
  <c r="Z15" i="15"/>
  <c r="AB15" i="15"/>
  <c r="AC15" i="15"/>
  <c r="AE15" i="15"/>
  <c r="AF15" i="15"/>
  <c r="AG15" i="15"/>
  <c r="X16" i="15"/>
  <c r="Y16" i="15"/>
  <c r="Z16" i="15"/>
  <c r="AA16" i="15"/>
  <c r="AB16" i="15"/>
  <c r="AC16" i="15"/>
  <c r="AE16" i="15"/>
  <c r="AF16" i="15"/>
  <c r="AG16" i="15"/>
  <c r="AG18" i="15"/>
  <c r="X20" i="15"/>
  <c r="Y20" i="15"/>
  <c r="Z20" i="15"/>
  <c r="AA20" i="15"/>
  <c r="AB20" i="15"/>
  <c r="AC20" i="15"/>
  <c r="AF20" i="15"/>
  <c r="AG20" i="15"/>
  <c r="X22" i="15"/>
  <c r="Y22" i="15"/>
  <c r="Z22" i="15"/>
  <c r="AA22" i="15"/>
  <c r="AB22" i="15"/>
  <c r="AC22" i="15"/>
  <c r="AD22" i="15"/>
  <c r="AE22" i="15"/>
  <c r="AF22" i="15"/>
  <c r="AG22" i="15"/>
  <c r="B189" i="15"/>
  <c r="D189" i="15"/>
  <c r="B190" i="15"/>
  <c r="C190" i="15"/>
  <c r="D190" i="15"/>
  <c r="B191" i="15"/>
  <c r="C191" i="15"/>
  <c r="D191" i="15"/>
  <c r="E191" i="15"/>
  <c r="B192" i="15"/>
  <c r="C192" i="15"/>
  <c r="D192" i="15"/>
  <c r="E192" i="15"/>
  <c r="B193" i="15"/>
  <c r="C193" i="15"/>
  <c r="D193" i="15"/>
  <c r="E193" i="15"/>
  <c r="B194" i="15"/>
  <c r="D194" i="15"/>
  <c r="B195" i="15"/>
  <c r="C195" i="15"/>
  <c r="E195" i="15"/>
  <c r="B196" i="15"/>
  <c r="C196" i="15"/>
  <c r="D196" i="15"/>
  <c r="E196" i="15"/>
  <c r="B197" i="15"/>
  <c r="C197" i="15"/>
  <c r="B198" i="15"/>
  <c r="C198" i="15"/>
  <c r="D198" i="15"/>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 r="K5" i="14"/>
  <c r="K10" i="14"/>
  <c r="K12" i="14"/>
  <c r="K13" i="14"/>
  <c r="K15" i="14"/>
  <c r="K17" i="14"/>
  <c r="K18" i="14"/>
  <c r="I24" i="14"/>
  <c r="I25" i="14"/>
  <c r="I26" i="14"/>
  <c r="I28" i="14"/>
  <c r="I29" i="14"/>
  <c r="I31" i="14"/>
  <c r="I33" i="14"/>
  <c r="K5" i="16"/>
  <c r="K10" i="16"/>
  <c r="K12" i="16"/>
  <c r="K13" i="16"/>
  <c r="K14" i="16"/>
  <c r="K16" i="16"/>
  <c r="K18" i="16"/>
  <c r="I25" i="16"/>
  <c r="I26" i="16"/>
  <c r="I27" i="16"/>
  <c r="I28" i="16"/>
  <c r="I30" i="16"/>
  <c r="I31" i="16"/>
  <c r="I32" i="16"/>
  <c r="I33" i="16"/>
</calcChain>
</file>

<file path=xl/sharedStrings.xml><?xml version="1.0" encoding="utf-8"?>
<sst xmlns="http://schemas.openxmlformats.org/spreadsheetml/2006/main" count="2805" uniqueCount="548">
  <si>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</si>
  <si>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</si>
  <si>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</si>
  <si>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</si>
  <si>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</si>
  <si>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</si>
  <si>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</si>
  <si>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</si>
  <si>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</si>
  <si>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</si>
  <si>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</si>
  <si>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</si>
  <si>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</si>
  <si>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</si>
  <si>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</si>
  <si>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</si>
  <si>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</si>
  <si>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</si>
  <si>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</si>
  <si>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</si>
  <si>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</si>
  <si>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</si>
  <si>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</si>
  <si>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</si>
  <si>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</si>
  <si>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</si>
  <si>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</si>
  <si>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</si>
  <si>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</si>
  <si>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</si>
  <si>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</si>
  <si>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</si>
  <si>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</si>
  <si>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</si>
  <si>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</si>
  <si>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</si>
  <si>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</si>
  <si>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EBS Longhaul Positions</t>
  </si>
  <si>
    <t>Al Miralles</t>
  </si>
  <si>
    <t>Positions were incorrect and had to be reloaded.  VaR rerun once updated.</t>
  </si>
  <si>
    <t>Only 2 of 4 files were transmitted during feed process.  Data was update and VaR rerun</t>
  </si>
  <si>
    <t>US STEEL</t>
  </si>
  <si>
    <t>Due to change in attributes on RisktRAC side to prevent duplication of book attributes, position were not captured.  Attributes corrected, however due to minimal VaR and credit exposure process not rerun.</t>
  </si>
  <si>
    <t>FT-BRIDGE-SUBA-BAS</t>
  </si>
  <si>
    <t>Bridgeline</t>
  </si>
  <si>
    <t>US Bridgeline</t>
  </si>
  <si>
    <t xml:space="preserve">Book was officialized twice, which caused RisktRAC to reject both PostIDS.  Book has no VaR or credit impact. </t>
  </si>
  <si>
    <t>Weather Credit File</t>
  </si>
  <si>
    <t>US Weather</t>
  </si>
  <si>
    <t>File not transmitted on schedule</t>
  </si>
  <si>
    <t>UK GAS</t>
  </si>
  <si>
    <t xml:space="preserve">Positions incorrect due to incorrect deal capture.  Data corrected and reloaded. </t>
  </si>
  <si>
    <t>UK  EBS Credit File</t>
  </si>
  <si>
    <t>Due to new person managing process file, file was not processd on time.</t>
  </si>
  <si>
    <t>Due to enPower server maintenance, books were officialized late.  Further simultaneous load of UK GAS extract time increased.  VaR rerun when extract process complete.</t>
  </si>
  <si>
    <t>UK POWER; UK POWER SPREADSHEETS</t>
  </si>
  <si>
    <t>File was sent late due to Server space issues with initial Dove Calc run.  UK Spreadsheets initially rolled and subsequently updated.</t>
  </si>
  <si>
    <t>ENA-IM-WC-ROX-PHY</t>
  </si>
  <si>
    <t>Book not officialized.  Was officialized in the AM.</t>
  </si>
  <si>
    <t>ABDIRECT-3P-PRC; ABDIRECT-HEDGES</t>
  </si>
  <si>
    <t>CAD POWER</t>
  </si>
  <si>
    <t>Due to special requirements for EPMI books, books had to be reset up and data pulled in.  VaR was rerun.</t>
  </si>
  <si>
    <t>DUB-INT-PHY; DUB-OPT-PRC</t>
  </si>
  <si>
    <t>Positions were loaded incorrectly.  Data was updated and VaR rerun.</t>
  </si>
  <si>
    <t>Books were not officialized, however book is not used in VAR calculation and data for credit is provided directly to credit.  Credit reported using previous days data.</t>
  </si>
  <si>
    <t>UK POWER; UKPWRSWAP1</t>
  </si>
  <si>
    <t>Due to simultaneous load of UK GAS and UK POWER, processing times delated for UK POWER.  Loaded late into RisktRAC.  Only received 1 of 4 files for UKPWRSWAP1</t>
  </si>
  <si>
    <t>Canada PWR VAR</t>
  </si>
  <si>
    <t>Peggy Hedstrom/ MRM RAC</t>
  </si>
  <si>
    <t>VaR is being reported as zero on CM VaR.  MRM RAC working to identify issue and correct.</t>
  </si>
  <si>
    <t>Freight VaR to high</t>
  </si>
  <si>
    <t>Sheri Thomas</t>
  </si>
  <si>
    <t>VaR being reported is thought to be too high.  Possible cause is due to correlations.  MRM RAC reviewing to identify and resolve issue.</t>
  </si>
  <si>
    <t>10/8-10/12</t>
  </si>
  <si>
    <t>GRO</t>
  </si>
  <si>
    <t>Tom Victorio</t>
  </si>
  <si>
    <t xml:space="preserve">14 ERMS EGM books were not picked up in RisktRAC due to a mismatch of attributes between ERMS and RisktRAC.  </t>
  </si>
  <si>
    <t>Shona Wilson</t>
  </si>
  <si>
    <t>The over riding issue is that the current processes to keep RisktRAC up to date are so manual that the probability of errors such as this occuring are very high. Attribute mismatches happen frequently when there is more than one commodity per in the source system book.  When setting up new books, the book admin must indicate that there is more than one commodity in the book (or that the commodity identifier ie BRN has changed to BRNT) so Risk Analytics can set up the appropriate number of books.  Going forward we are implementing procedures to identify books that have attribute mismatches and correct.</t>
  </si>
  <si>
    <t>Various financial books not officialized.</t>
  </si>
  <si>
    <t>IT issues prevented timely valuation of positions</t>
  </si>
  <si>
    <t>14 EGM books not captured.</t>
  </si>
  <si>
    <t>Credit file not transmitted</t>
  </si>
  <si>
    <t>2 books not officialized</t>
  </si>
  <si>
    <t>1 book not officialized</t>
  </si>
  <si>
    <t>Canada Pwr VaR not generated by RisktRAC in CM DPR.</t>
  </si>
  <si>
    <t>LOG OF WEEKLY VALUATION ISSUES (Includes 2 issues from previous week not reported)</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</si>
  <si>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</si>
  <si>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</si>
  <si>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</si>
  <si>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</si>
  <si>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</si>
  <si>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</si>
  <si>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</si>
  <si>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</si>
  <si>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</si>
  <si>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</si>
  <si>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</si>
  <si>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</si>
  <si>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</si>
  <si>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</si>
  <si>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</si>
  <si>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</si>
  <si>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</si>
  <si>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</si>
  <si>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</si>
  <si>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</si>
  <si>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</si>
  <si>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</si>
  <si>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</si>
  <si>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</si>
  <si>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</si>
  <si>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</si>
  <si>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</si>
  <si>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</si>
  <si>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</si>
  <si>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</si>
  <si>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</si>
  <si>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</si>
  <si>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</si>
  <si>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</si>
  <si>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</si>
  <si>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</si>
  <si>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</si>
  <si>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</si>
  <si>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</si>
  <si>
    <t>10/01-10/05</t>
  </si>
  <si>
    <t>NG-X-OPT-JV-PRC; NG-X-OPT-WTI-PRC; NG-X-OPT-NG-PRC</t>
  </si>
  <si>
    <t>JV AND WTI BOOKS WERE NOT OFFICIALIZED.  NG book had a missing region code.  Books were officialized in the AM</t>
  </si>
  <si>
    <t>FINANCIAL-AFF-PRC; FINANCIAL-EM-PRC; FINANCIAL-PROP-PRC; FINANCIAL-TN10-PRC; FINANCIAL-TN5-PRC</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</si>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</sst>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9">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08'!$V$2:$AG$2</c:f>
              <c:numCache>
                <c:formatCode>General</c:formatCode>
                <c:ptCount val="12"/>
                <c:pt idx="7">
                  <c:v>1</c:v>
                </c:pt>
                <c:pt idx="8">
                  <c:v>2</c:v>
                </c:pt>
                <c:pt idx="9">
                  <c:v>2</c:v>
                </c:pt>
                <c:pt idx="10">
                  <c:v>2</c:v>
                </c:pt>
                <c:pt idx="11">
                  <c:v>2</c:v>
                </c:pt>
              </c:numCache>
            </c:numRef>
          </c:val>
          <c:extLst>
            <c:ext xmlns:c16="http://schemas.microsoft.com/office/drawing/2014/chart" uri="{C3380CC4-5D6E-409C-BE32-E72D297353CC}">
              <c16:uniqueId val="{00000000-043D-468F-B9AF-6AC54265C2B8}"/>
            </c:ext>
          </c:extLst>
        </c:ser>
        <c:ser>
          <c:idx val="1"/>
          <c:order val="1"/>
          <c:tx>
            <c:strRef>
              <c:f>'Graph Data Oct 08'!$A$3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697394789579157"/>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3D-468F-B9AF-6AC54265C2B8}"/>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08'!$V$3:$AG$3</c:f>
              <c:numCache>
                <c:formatCode>General</c:formatCode>
                <c:ptCount val="12"/>
                <c:pt idx="9">
                  <c:v>1</c:v>
                </c:pt>
              </c:numCache>
            </c:numRef>
          </c:val>
          <c:extLst>
            <c:ext xmlns:c16="http://schemas.microsoft.com/office/drawing/2014/chart" uri="{C3380CC4-5D6E-409C-BE32-E72D297353CC}">
              <c16:uniqueId val="{00000002-043D-468F-B9AF-6AC54265C2B8}"/>
            </c:ext>
          </c:extLst>
        </c:ser>
        <c:ser>
          <c:idx val="2"/>
          <c:order val="2"/>
          <c:tx>
            <c:strRef>
              <c:f>'Graph Data Oct 08'!$A$4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3D-468F-B9AF-6AC54265C2B8}"/>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08'!$V$4:$AG$4</c:f>
              <c:numCache>
                <c:formatCode>General</c:formatCode>
                <c:ptCount val="12"/>
                <c:pt idx="1">
                  <c:v>17</c:v>
                </c:pt>
                <c:pt idx="2">
                  <c:v>12</c:v>
                </c:pt>
                <c:pt idx="3">
                  <c:v>5</c:v>
                </c:pt>
                <c:pt idx="4">
                  <c:v>4</c:v>
                </c:pt>
                <c:pt idx="5">
                  <c:v>8</c:v>
                </c:pt>
                <c:pt idx="6">
                  <c:v>11</c:v>
                </c:pt>
                <c:pt idx="7">
                  <c:v>4</c:v>
                </c:pt>
                <c:pt idx="8">
                  <c:v>6</c:v>
                </c:pt>
                <c:pt idx="9">
                  <c:v>4</c:v>
                </c:pt>
                <c:pt idx="10">
                  <c:v>10</c:v>
                </c:pt>
                <c:pt idx="11">
                  <c:v>6</c:v>
                </c:pt>
              </c:numCache>
            </c:numRef>
          </c:val>
          <c:extLst>
            <c:ext xmlns:c16="http://schemas.microsoft.com/office/drawing/2014/chart" uri="{C3380CC4-5D6E-409C-BE32-E72D297353CC}">
              <c16:uniqueId val="{00000004-043D-468F-B9AF-6AC54265C2B8}"/>
            </c:ext>
          </c:extLst>
        </c:ser>
        <c:ser>
          <c:idx val="3"/>
          <c:order val="3"/>
          <c:tx>
            <c:strRef>
              <c:f>'Graph Data Oct 08'!$A$5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3D-468F-B9AF-6AC54265C2B8}"/>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08'!$V$5:$AG$5</c:f>
              <c:numCache>
                <c:formatCode>General</c:formatCode>
                <c:ptCount val="12"/>
                <c:pt idx="0">
                  <c:v>9</c:v>
                </c:pt>
                <c:pt idx="1">
                  <c:v>4</c:v>
                </c:pt>
                <c:pt idx="2">
                  <c:v>5</c:v>
                </c:pt>
                <c:pt idx="3">
                  <c:v>5</c:v>
                </c:pt>
                <c:pt idx="4">
                  <c:v>3</c:v>
                </c:pt>
                <c:pt idx="5">
                  <c:v>6</c:v>
                </c:pt>
                <c:pt idx="6">
                  <c:v>4</c:v>
                </c:pt>
                <c:pt idx="7">
                  <c:v>3</c:v>
                </c:pt>
                <c:pt idx="8">
                  <c:v>6</c:v>
                </c:pt>
                <c:pt idx="9">
                  <c:v>4</c:v>
                </c:pt>
                <c:pt idx="10">
                  <c:v>6</c:v>
                </c:pt>
                <c:pt idx="11">
                  <c:v>4</c:v>
                </c:pt>
              </c:numCache>
            </c:numRef>
          </c:val>
          <c:extLst>
            <c:ext xmlns:c16="http://schemas.microsoft.com/office/drawing/2014/chart" uri="{C3380CC4-5D6E-409C-BE32-E72D297353CC}">
              <c16:uniqueId val="{00000006-043D-468F-B9AF-6AC54265C2B8}"/>
            </c:ext>
          </c:extLst>
        </c:ser>
        <c:ser>
          <c:idx val="4"/>
          <c:order val="4"/>
          <c:tx>
            <c:strRef>
              <c:f>'Graph Data Oct 08'!$A$6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188376753507014"/>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3D-468F-B9AF-6AC54265C2B8}"/>
                </c:ext>
              </c:extLst>
            </c:dLbl>
            <c:dLbl>
              <c:idx val="8"/>
              <c:layout>
                <c:manualLayout>
                  <c:xMode val="edge"/>
                  <c:yMode val="edge"/>
                  <c:x val="0.56312625250501003"/>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3D-468F-B9AF-6AC54265C2B8}"/>
                </c:ext>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08'!$V$6:$AG$6</c:f>
              <c:numCache>
                <c:formatCode>General</c:formatCode>
                <c:ptCount val="12"/>
                <c:pt idx="0">
                  <c:v>5</c:v>
                </c:pt>
                <c:pt idx="1">
                  <c:v>1</c:v>
                </c:pt>
                <c:pt idx="2">
                  <c:v>1</c:v>
                </c:pt>
                <c:pt idx="3">
                  <c:v>2</c:v>
                </c:pt>
                <c:pt idx="5">
                  <c:v>1</c:v>
                </c:pt>
                <c:pt idx="7">
                  <c:v>2</c:v>
                </c:pt>
                <c:pt idx="11">
                  <c:v>2</c:v>
                </c:pt>
              </c:numCache>
            </c:numRef>
          </c:val>
          <c:extLst>
            <c:ext xmlns:c16="http://schemas.microsoft.com/office/drawing/2014/chart" uri="{C3380CC4-5D6E-409C-BE32-E72D297353CC}">
              <c16:uniqueId val="{00000009-043D-468F-B9AF-6AC54265C2B8}"/>
            </c:ext>
          </c:extLst>
        </c:ser>
        <c:ser>
          <c:idx val="5"/>
          <c:order val="5"/>
          <c:tx>
            <c:strRef>
              <c:f>'Graph Data Oct 08'!$A$7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60120240480962"/>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3D-468F-B9AF-6AC54265C2B8}"/>
                </c:ext>
              </c:extLst>
            </c:dLbl>
            <c:dLbl>
              <c:idx val="8"/>
              <c:layout>
                <c:manualLayout>
                  <c:xMode val="edge"/>
                  <c:yMode val="edge"/>
                  <c:x val="0.57815631262525047"/>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43D-468F-B9AF-6AC54265C2B8}"/>
                </c:ext>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08'!$V$7:$AG$7</c:f>
              <c:numCache>
                <c:formatCode>General</c:formatCode>
                <c:ptCount val="12"/>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043D-468F-B9AF-6AC54265C2B8}"/>
            </c:ext>
          </c:extLst>
        </c:ser>
        <c:ser>
          <c:idx val="6"/>
          <c:order val="6"/>
          <c:tx>
            <c:strRef>
              <c:f>'Graph Data Oct 08'!$A$8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08'!$V$8:$AG$8</c:f>
              <c:numCache>
                <c:formatCode>General</c:formatCode>
                <c:ptCount val="12"/>
                <c:pt idx="0">
                  <c:v>2</c:v>
                </c:pt>
                <c:pt idx="2">
                  <c:v>1</c:v>
                </c:pt>
                <c:pt idx="3">
                  <c:v>1</c:v>
                </c:pt>
                <c:pt idx="4">
                  <c:v>3</c:v>
                </c:pt>
                <c:pt idx="5">
                  <c:v>2</c:v>
                </c:pt>
                <c:pt idx="11">
                  <c:v>1</c:v>
                </c:pt>
              </c:numCache>
            </c:numRef>
          </c:val>
          <c:extLst>
            <c:ext xmlns:c16="http://schemas.microsoft.com/office/drawing/2014/chart" uri="{C3380CC4-5D6E-409C-BE32-E72D297353CC}">
              <c16:uniqueId val="{0000000D-043D-468F-B9AF-6AC54265C2B8}"/>
            </c:ext>
          </c:extLst>
        </c:ser>
        <c:ser>
          <c:idx val="7"/>
          <c:order val="7"/>
          <c:tx>
            <c:strRef>
              <c:f>'Graph Data Oct 08'!$A$9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43D-468F-B9AF-6AC54265C2B8}"/>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08'!$V$9:$AG$9</c:f>
              <c:numCache>
                <c:formatCode>General</c:formatCode>
                <c:ptCount val="12"/>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043D-468F-B9AF-6AC54265C2B8}"/>
            </c:ext>
          </c:extLst>
        </c:ser>
        <c:ser>
          <c:idx val="8"/>
          <c:order val="8"/>
          <c:tx>
            <c:strRef>
              <c:f>'Graph Data Oct 08'!$A$10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290581162324649"/>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43D-468F-B9AF-6AC54265C2B8}"/>
                </c:ext>
              </c:extLst>
            </c:dLbl>
            <c:dLbl>
              <c:idx val="8"/>
              <c:layout>
                <c:manualLayout>
                  <c:xMode val="edge"/>
                  <c:yMode val="edge"/>
                  <c:x val="0.5881763527054108"/>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43D-468F-B9AF-6AC54265C2B8}"/>
                </c:ext>
              </c:extLst>
            </c:dLbl>
            <c:dLbl>
              <c:idx val="9"/>
              <c:layout>
                <c:manualLayout>
                  <c:xMode val="edge"/>
                  <c:yMode val="edge"/>
                  <c:x val="0.65330661322645289"/>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43D-468F-B9AF-6AC54265C2B8}"/>
                </c:ext>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08'!$V$10:$AG$10</c:f>
              <c:numCache>
                <c:formatCode>General</c:formatCode>
                <c:ptCount val="12"/>
                <c:pt idx="0">
                  <c:v>1</c:v>
                </c:pt>
                <c:pt idx="1">
                  <c:v>2</c:v>
                </c:pt>
                <c:pt idx="2">
                  <c:v>1</c:v>
                </c:pt>
                <c:pt idx="4">
                  <c:v>1</c:v>
                </c:pt>
                <c:pt idx="5">
                  <c:v>1</c:v>
                </c:pt>
                <c:pt idx="6">
                  <c:v>1</c:v>
                </c:pt>
                <c:pt idx="8">
                  <c:v>1</c:v>
                </c:pt>
                <c:pt idx="10">
                  <c:v>3</c:v>
                </c:pt>
                <c:pt idx="11">
                  <c:v>3</c:v>
                </c:pt>
              </c:numCache>
            </c:numRef>
          </c:val>
          <c:extLst>
            <c:ext xmlns:c16="http://schemas.microsoft.com/office/drawing/2014/chart" uri="{C3380CC4-5D6E-409C-BE32-E72D297353CC}">
              <c16:uniqueId val="{00000013-043D-468F-B9AF-6AC54265C2B8}"/>
            </c:ext>
          </c:extLst>
        </c:ser>
        <c:dLbls>
          <c:showLegendKey val="0"/>
          <c:showVal val="1"/>
          <c:showCatName val="0"/>
          <c:showSerName val="0"/>
          <c:showPercent val="0"/>
          <c:showBubbleSize val="0"/>
        </c:dLbls>
        <c:gapWidth val="110"/>
        <c:overlap val="50"/>
        <c:axId val="1112354559"/>
        <c:axId val="1"/>
      </c:barChart>
      <c:catAx>
        <c:axId val="1112354559"/>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12354559"/>
        <c:crosses val="autoZero"/>
        <c:crossBetween val="between"/>
      </c:valAx>
      <c:spPr>
        <a:solidFill>
          <a:srgbClr val="FFFFFF"/>
        </a:solidFill>
        <a:ln w="12700">
          <a:solidFill>
            <a:srgbClr val="C0C0C0"/>
          </a:solidFill>
          <a:prstDash val="solid"/>
        </a:ln>
      </c:spPr>
    </c:plotArea>
    <c:legend>
      <c:legendPos val="r"/>
      <c:layout>
        <c:manualLayout>
          <c:xMode val="edge"/>
          <c:yMode val="edge"/>
          <c:x val="0.80661322645290578"/>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CF6-4605-8A8A-1DB0F4A99D55}"/>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CF6-4605-8A8A-1DB0F4A99D55}"/>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CF6-4605-8A8A-1DB0F4A99D55}"/>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CF6-4605-8A8A-1DB0F4A99D55}"/>
                </c:ext>
              </c:extLst>
            </c:dLbl>
            <c:dLbl>
              <c:idx val="4"/>
              <c:layout>
                <c:manualLayout>
                  <c:xMode val="edge"/>
                  <c:yMode val="edge"/>
                  <c:x val="0.32293986636971045"/>
                  <c:y val="0.678874173187408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F6-4605-8A8A-1DB0F4A99D55}"/>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CF6-4605-8A8A-1DB0F4A99D55}"/>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CF6-4605-8A8A-1DB0F4A99D55}"/>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CF6-4605-8A8A-1DB0F4A99D55}"/>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CF6-4605-8A8A-1DB0F4A99D55}"/>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CF6-4605-8A8A-1DB0F4A99D55}"/>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extLst>
            <c:ext xmlns:c16="http://schemas.microsoft.com/office/drawing/2014/chart" uri="{C3380CC4-5D6E-409C-BE32-E72D297353CC}">
              <c16:uniqueId val="{0000000A-5CF6-4605-8A8A-1DB0F4A99D55}"/>
            </c:ext>
          </c:extLst>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CF6-4605-8A8A-1DB0F4A99D55}"/>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CF6-4605-8A8A-1DB0F4A99D55}"/>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CF6-4605-8A8A-1DB0F4A99D55}"/>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CF6-4605-8A8A-1DB0F4A99D55}"/>
                </c:ext>
              </c:extLst>
            </c:dLbl>
            <c:dLbl>
              <c:idx val="4"/>
              <c:layout>
                <c:manualLayout>
                  <c:xMode val="edge"/>
                  <c:yMode val="edge"/>
                  <c:x val="0.34966592427616927"/>
                  <c:y val="0.70704322601676117"/>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CF6-4605-8A8A-1DB0F4A99D55}"/>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CF6-4605-8A8A-1DB0F4A99D55}"/>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CF6-4605-8A8A-1DB0F4A99D55}"/>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CF6-4605-8A8A-1DB0F4A99D55}"/>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extLst>
            <c:ext xmlns:c16="http://schemas.microsoft.com/office/drawing/2014/chart" uri="{C3380CC4-5D6E-409C-BE32-E72D297353CC}">
              <c16:uniqueId val="{00000013-5CF6-4605-8A8A-1DB0F4A99D55}"/>
            </c:ext>
          </c:extLst>
        </c:ser>
        <c:dLbls>
          <c:showLegendKey val="0"/>
          <c:showVal val="1"/>
          <c:showCatName val="0"/>
          <c:showSerName val="0"/>
          <c:showPercent val="0"/>
          <c:showBubbleSize val="0"/>
        </c:dLbls>
        <c:gapWidth val="150"/>
        <c:axId val="1111221471"/>
        <c:axId val="1"/>
      </c:barChart>
      <c:catAx>
        <c:axId val="111122147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111221471"/>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5DC7-438E-91F0-7868B83F3A68}"/>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5DC7-438E-91F0-7868B83F3A68}"/>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5DC7-438E-91F0-7868B83F3A68}"/>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5DC7-438E-91F0-7868B83F3A68}"/>
            </c:ext>
          </c:extLst>
        </c:ser>
        <c:dLbls>
          <c:showLegendKey val="0"/>
          <c:showVal val="0"/>
          <c:showCatName val="0"/>
          <c:showSerName val="0"/>
          <c:showPercent val="0"/>
          <c:showBubbleSize val="0"/>
        </c:dLbls>
        <c:marker val="1"/>
        <c:smooth val="0"/>
        <c:axId val="1112354079"/>
        <c:axId val="1"/>
      </c:lineChart>
      <c:dateAx>
        <c:axId val="1112354079"/>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2354079"/>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9166697862463969"/>
          <c:y val="0.19832985386221294"/>
          <c:w val="0.64500104980639617"/>
          <c:h val="0.5469728601252609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extLst>
            <c:ext xmlns:c16="http://schemas.microsoft.com/office/drawing/2014/chart" uri="{C3380CC4-5D6E-409C-BE32-E72D297353CC}">
              <c16:uniqueId val="{00000000-321B-41C1-B5C1-F1EF8426646D}"/>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pt idx="46">
                  <c:v>0.72291666666666676</c:v>
                </c:pt>
              </c:numCache>
            </c:numRef>
          </c:val>
          <c:smooth val="0"/>
          <c:extLst>
            <c:ext xmlns:c16="http://schemas.microsoft.com/office/drawing/2014/chart" uri="{C3380CC4-5D6E-409C-BE32-E72D297353CC}">
              <c16:uniqueId val="{00000002-321B-41C1-B5C1-F1EF8426646D}"/>
            </c:ext>
          </c:extLst>
        </c:ser>
        <c:dLbls>
          <c:showLegendKey val="0"/>
          <c:showVal val="0"/>
          <c:showCatName val="0"/>
          <c:showSerName val="0"/>
          <c:showPercent val="0"/>
          <c:showBubbleSize val="0"/>
        </c:dLbls>
        <c:marker val="1"/>
        <c:smooth val="0"/>
        <c:axId val="1112351679"/>
        <c:axId val="1"/>
      </c:lineChart>
      <c:dateAx>
        <c:axId val="1112351679"/>
        <c:scaling>
          <c:orientation val="minMax"/>
          <c:max val="37169"/>
          <c:min val="37104"/>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38666729600796879"/>
              <c:y val="0.88308977035490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5.1666750759685479E-2"/>
              <c:y val="0.34864300626304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12351679"/>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013605566245064"/>
                  <c:y val="0.82486103256596643"/>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A2-46B5-AEAC-5B27FA70799C}"/>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extLst>
            <c:ext xmlns:c16="http://schemas.microsoft.com/office/drawing/2014/chart" uri="{C3380CC4-5D6E-409C-BE32-E72D297353CC}">
              <c16:uniqueId val="{00000001-4CA2-46B5-AEAC-5B27FA70799C}"/>
            </c:ext>
          </c:extLst>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001081846451"/>
                  <c:y val="0.8446350984151506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A2-46B5-AEAC-5B27FA70799C}"/>
                </c:ext>
              </c:extLst>
            </c:dLbl>
            <c:dLbl>
              <c:idx val="1"/>
              <c:layout>
                <c:manualLayout>
                  <c:xMode val="edge"/>
                  <c:yMode val="edge"/>
                  <c:x val="0.23599340446715539"/>
                  <c:y val="0.7542393688188802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A2-46B5-AEAC-5B27FA70799C}"/>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extLst>
            <c:ext xmlns:c16="http://schemas.microsoft.com/office/drawing/2014/chart" uri="{C3380CC4-5D6E-409C-BE32-E72D297353CC}">
              <c16:uniqueId val="{00000004-4CA2-46B5-AEAC-5B27FA70799C}"/>
            </c:ext>
          </c:extLst>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extLst>
            <c:ext xmlns:c16="http://schemas.microsoft.com/office/drawing/2014/chart" uri="{C3380CC4-5D6E-409C-BE32-E72D297353CC}">
              <c16:uniqueId val="{00000005-4CA2-46B5-AEAC-5B27FA70799C}"/>
            </c:ext>
          </c:extLst>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extLst>
            <c:ext xmlns:c16="http://schemas.microsoft.com/office/drawing/2014/chart" uri="{C3380CC4-5D6E-409C-BE32-E72D297353CC}">
              <c16:uniqueId val="{00000006-4CA2-46B5-AEAC-5B27FA70799C}"/>
            </c:ext>
          </c:extLst>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extLst>
            <c:ext xmlns:c16="http://schemas.microsoft.com/office/drawing/2014/chart" uri="{C3380CC4-5D6E-409C-BE32-E72D297353CC}">
              <c16:uniqueId val="{00000007-4CA2-46B5-AEAC-5B27FA70799C}"/>
            </c:ext>
          </c:extLst>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186765660452751"/>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CA2-46B5-AEAC-5B27FA70799C}"/>
                </c:ext>
              </c:extLst>
            </c:dLbl>
            <c:dLbl>
              <c:idx val="1"/>
              <c:layout>
                <c:manualLayout>
                  <c:xMode val="edge"/>
                  <c:yMode val="edge"/>
                  <c:x val="0.27674046710896638"/>
                  <c:y val="0.7090415040207450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CA2-46B5-AEAC-5B27FA70799C}"/>
                </c:ext>
              </c:extLst>
            </c:dLbl>
            <c:dLbl>
              <c:idx val="2"/>
              <c:layout>
                <c:manualLayout>
                  <c:xMode val="edge"/>
                  <c:yMode val="edge"/>
                  <c:x val="0.40067944931114152"/>
                  <c:y val="0.5423743775776217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A2-46B5-AEAC-5B27FA70799C}"/>
                </c:ext>
              </c:extLst>
            </c:dLbl>
            <c:dLbl>
              <c:idx val="3"/>
              <c:layout>
                <c:manualLayout>
                  <c:xMode val="edge"/>
                  <c:yMode val="edge"/>
                  <c:x val="0.53310740289702729"/>
                  <c:y val="0.1525427936937061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CA2-46B5-AEAC-5B27FA70799C}"/>
                </c:ext>
              </c:extLst>
            </c:dLbl>
            <c:dLbl>
              <c:idx val="4"/>
              <c:layout>
                <c:manualLayout>
                  <c:xMode val="edge"/>
                  <c:yMode val="edge"/>
                  <c:x val="0.70118903629449769"/>
                  <c:y val="0.5677981765265728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CA2-46B5-AEAC-5B27FA70799C}"/>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extLst>
            <c:ext xmlns:c16="http://schemas.microsoft.com/office/drawing/2014/chart" uri="{C3380CC4-5D6E-409C-BE32-E72D297353CC}">
              <c16:uniqueId val="{0000000D-4CA2-46B5-AEAC-5B27FA70799C}"/>
            </c:ext>
          </c:extLst>
        </c:ser>
        <c:dLbls>
          <c:showLegendKey val="0"/>
          <c:showVal val="0"/>
          <c:showCatName val="0"/>
          <c:showSerName val="0"/>
          <c:showPercent val="0"/>
          <c:showBubbleSize val="0"/>
        </c:dLbls>
        <c:gapWidth val="0"/>
        <c:overlap val="100"/>
        <c:axId val="1112353119"/>
        <c:axId val="1"/>
      </c:barChart>
      <c:dateAx>
        <c:axId val="1112353119"/>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12353119"/>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9.6688741721854307E-2"/>
          <c:y val="0.18239031051475391"/>
          <c:w val="0.63841059602649008"/>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6692-4EBF-8535-730F59DA5707}"/>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6692-4EBF-8535-730F59DA5707}"/>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6692-4EBF-8535-730F59DA5707}"/>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6692-4EBF-8535-730F59DA5707}"/>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6692-4EBF-8535-730F59DA5707}"/>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6692-4EBF-8535-730F59DA5707}"/>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6692-4EBF-8535-730F59DA5707}"/>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6692-4EBF-8535-730F59DA5707}"/>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6692-4EBF-8535-730F59DA5707}"/>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6692-4EBF-8535-730F59DA5707}"/>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6692-4EBF-8535-730F59DA5707}"/>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6692-4EBF-8535-730F59DA5707}"/>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6692-4EBF-8535-730F59DA5707}"/>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6692-4EBF-8535-730F59DA5707}"/>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6692-4EBF-8535-730F59DA5707}"/>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6692-4EBF-8535-730F59DA5707}"/>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6692-4EBF-8535-730F59DA5707}"/>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6692-4EBF-8535-730F59DA5707}"/>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6692-4EBF-8535-730F59DA5707}"/>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6692-4EBF-8535-730F59DA5707}"/>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6692-4EBF-8535-730F59DA5707}"/>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6692-4EBF-8535-730F59DA5707}"/>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6692-4EBF-8535-730F59DA5707}"/>
            </c:ext>
          </c:extLst>
        </c:ser>
        <c:dLbls>
          <c:showLegendKey val="0"/>
          <c:showVal val="0"/>
          <c:showCatName val="0"/>
          <c:showSerName val="0"/>
          <c:showPercent val="0"/>
          <c:showBubbleSize val="0"/>
        </c:dLbls>
        <c:gapWidth val="0"/>
        <c:overlap val="100"/>
        <c:axId val="1112356959"/>
        <c:axId val="1"/>
      </c:barChart>
      <c:dateAx>
        <c:axId val="1112356959"/>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112356959"/>
        <c:crosses val="autoZero"/>
        <c:crossBetween val="between"/>
      </c:valAx>
      <c:spPr>
        <a:solidFill>
          <a:srgbClr val="FFFFFF"/>
        </a:solidFill>
        <a:ln w="12700">
          <a:solidFill>
            <a:srgbClr val="808080"/>
          </a:solidFill>
          <a:prstDash val="solid"/>
        </a:ln>
      </c:spPr>
    </c:plotArea>
    <c:legend>
      <c:legendPos val="r"/>
      <c:layout>
        <c:manualLayout>
          <c:xMode val="edge"/>
          <c:yMode val="edge"/>
          <c:x val="0.80794701986754969"/>
          <c:y val="1.0482201753721488E-2"/>
          <c:w val="0.18013245033112582"/>
          <c:h val="0.9664590016931212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EB58-48C6-819B-B408111AD885}"/>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58-48C6-819B-B408111AD885}"/>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EB58-48C6-819B-B408111AD885}"/>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58-48C6-819B-B408111AD885}"/>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EB58-48C6-819B-B408111AD885}"/>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58-48C6-819B-B408111AD885}"/>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EB58-48C6-819B-B408111AD885}"/>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194388777555113"/>
                  <c:y val="0.4373101744976064"/>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58-48C6-819B-B408111AD885}"/>
                </c:ext>
              </c:extLst>
            </c:dLbl>
            <c:dLbl>
              <c:idx val="8"/>
              <c:layout>
                <c:manualLayout>
                  <c:xMode val="edge"/>
                  <c:yMode val="edge"/>
                  <c:x val="0.60420841683366733"/>
                  <c:y val="0.53516979396560216"/>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58-48C6-819B-B408111AD885}"/>
                </c:ext>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EB58-48C6-819B-B408111AD885}"/>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408817635270545"/>
                  <c:y val="0.4097871565222325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B58-48C6-819B-B408111AD885}"/>
                </c:ext>
              </c:extLst>
            </c:dLbl>
            <c:dLbl>
              <c:idx val="8"/>
              <c:layout>
                <c:manualLayout>
                  <c:xMode val="edge"/>
                  <c:yMode val="edge"/>
                  <c:x val="0.61923847695390777"/>
                  <c:y val="0.513763002206978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B58-48C6-819B-B408111AD885}"/>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EB58-48C6-819B-B408111AD885}"/>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EB58-48C6-819B-B408111AD885}"/>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B58-48C6-819B-B408111AD885}"/>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EB58-48C6-819B-B408111AD885}"/>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412825651302601"/>
                  <c:y val="0.37614791233010897"/>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B58-48C6-819B-B408111AD885}"/>
                </c:ext>
              </c:extLst>
            </c:dLbl>
            <c:dLbl>
              <c:idx val="9"/>
              <c:layout>
                <c:manualLayout>
                  <c:xMode val="edge"/>
                  <c:yMode val="edge"/>
                  <c:x val="0.69839679358717432"/>
                  <c:y val="0.40061281719710795"/>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58-48C6-819B-B408111AD885}"/>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EB58-48C6-819B-B408111AD885}"/>
            </c:ext>
          </c:extLst>
        </c:ser>
        <c:dLbls>
          <c:showLegendKey val="0"/>
          <c:showVal val="1"/>
          <c:showCatName val="0"/>
          <c:showSerName val="0"/>
          <c:showPercent val="0"/>
          <c:showBubbleSize val="0"/>
        </c:dLbls>
        <c:gapWidth val="110"/>
        <c:overlap val="50"/>
        <c:axId val="1076212431"/>
        <c:axId val="1"/>
      </c:barChart>
      <c:catAx>
        <c:axId val="107621243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76212431"/>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1-D552-4026-A769-19DD36EE75F3}"/>
            </c:ext>
          </c:extLst>
        </c:ser>
        <c:dLbls>
          <c:showLegendKey val="0"/>
          <c:showVal val="0"/>
          <c:showCatName val="0"/>
          <c:showSerName val="0"/>
          <c:showPercent val="0"/>
          <c:showBubbleSize val="0"/>
        </c:dLbls>
        <c:marker val="1"/>
        <c:smooth val="0"/>
        <c:axId val="1076217711"/>
        <c:axId val="1"/>
      </c:lineChart>
      <c:catAx>
        <c:axId val="107621771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07621771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608B-4540-AF0E-B7AD96493DE5}"/>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608B-4540-AF0E-B7AD96493DE5}"/>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608B-4540-AF0E-B7AD96493DE5}"/>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608B-4540-AF0E-B7AD96493DE5}"/>
                </c:ext>
              </c:extLst>
            </c:dLbl>
            <c:dLbl>
              <c:idx val="4"/>
              <c:layout>
                <c:manualLayout>
                  <c:xMode val="edge"/>
                  <c:yMode val="edge"/>
                  <c:x val="0.32293986636971045"/>
                  <c:y val="0.650705120358055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8B-4540-AF0E-B7AD96493DE5}"/>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608B-4540-AF0E-B7AD96493DE5}"/>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608B-4540-AF0E-B7AD96493DE5}"/>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08B-4540-AF0E-B7AD96493DE5}"/>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608B-4540-AF0E-B7AD96493DE5}"/>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08B-4540-AF0E-B7AD96493DE5}"/>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608B-4540-AF0E-B7AD96493DE5}"/>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608B-4540-AF0E-B7AD96493DE5}"/>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608B-4540-AF0E-B7AD96493DE5}"/>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608B-4540-AF0E-B7AD96493DE5}"/>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608B-4540-AF0E-B7AD96493DE5}"/>
                </c:ext>
              </c:extLst>
            </c:dLbl>
            <c:dLbl>
              <c:idx val="4"/>
              <c:layout>
                <c:manualLayout>
                  <c:xMode val="edge"/>
                  <c:yMode val="edge"/>
                  <c:x val="0.34966592427616927"/>
                  <c:y val="0.7014094154508905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08B-4540-AF0E-B7AD96493DE5}"/>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608B-4540-AF0E-B7AD96493DE5}"/>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608B-4540-AF0E-B7AD96493DE5}"/>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608B-4540-AF0E-B7AD96493DE5}"/>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608B-4540-AF0E-B7AD96493DE5}"/>
            </c:ext>
          </c:extLst>
        </c:ser>
        <c:dLbls>
          <c:showLegendKey val="0"/>
          <c:showVal val="1"/>
          <c:showCatName val="0"/>
          <c:showSerName val="0"/>
          <c:showPercent val="0"/>
          <c:showBubbleSize val="0"/>
        </c:dLbls>
        <c:gapWidth val="150"/>
        <c:axId val="1118010495"/>
        <c:axId val="1"/>
      </c:barChart>
      <c:catAx>
        <c:axId val="111801049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118010495"/>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1F1C-4427-9155-CADAC662E571}"/>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1F1C-4427-9155-CADAC662E571}"/>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1F1C-4427-9155-CADAC662E571}"/>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1F1C-4427-9155-CADAC662E571}"/>
            </c:ext>
          </c:extLst>
        </c:ser>
        <c:dLbls>
          <c:showLegendKey val="0"/>
          <c:showVal val="0"/>
          <c:showCatName val="0"/>
          <c:showSerName val="0"/>
          <c:showPercent val="0"/>
          <c:showBubbleSize val="0"/>
        </c:dLbls>
        <c:marker val="1"/>
        <c:smooth val="0"/>
        <c:axId val="1118011935"/>
        <c:axId val="1"/>
      </c:lineChart>
      <c:dateAx>
        <c:axId val="1118011935"/>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8011935"/>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B0AB-4F3B-8C36-47421DBE4E7E}"/>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2-B0AB-4F3B-8C36-47421DBE4E7E}"/>
            </c:ext>
          </c:extLst>
        </c:ser>
        <c:dLbls>
          <c:showLegendKey val="0"/>
          <c:showVal val="0"/>
          <c:showCatName val="0"/>
          <c:showSerName val="0"/>
          <c:showPercent val="0"/>
          <c:showBubbleSize val="0"/>
        </c:dLbls>
        <c:marker val="1"/>
        <c:smooth val="0"/>
        <c:axId val="1118013855"/>
        <c:axId val="1"/>
      </c:lineChart>
      <c:catAx>
        <c:axId val="1118013855"/>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18013855"/>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08'!$X$12:$AG$12</c:f>
              <c:numCache>
                <c:formatCode>m/d/yyyy</c:formatCode>
                <c:ptCount val="10"/>
                <c:pt idx="0">
                  <c:v>37109</c:v>
                </c:pt>
                <c:pt idx="1">
                  <c:v>37116</c:v>
                </c:pt>
                <c:pt idx="2">
                  <c:v>37123</c:v>
                </c:pt>
                <c:pt idx="3">
                  <c:v>37130</c:v>
                </c:pt>
                <c:pt idx="4">
                  <c:v>37138</c:v>
                </c:pt>
                <c:pt idx="5">
                  <c:v>37144</c:v>
                </c:pt>
                <c:pt idx="6">
                  <c:v>37151</c:v>
                </c:pt>
                <c:pt idx="7">
                  <c:v>37158</c:v>
                </c:pt>
                <c:pt idx="8">
                  <c:v>37165</c:v>
                </c:pt>
                <c:pt idx="9">
                  <c:v>37172</c:v>
                </c:pt>
              </c:numCache>
            </c:numRef>
          </c:cat>
          <c:val>
            <c:numRef>
              <c:f>'Graph Data Oct 08'!$X$11:$AG$11</c:f>
              <c:numCache>
                <c:formatCode>General</c:formatCode>
                <c:ptCount val="10"/>
                <c:pt idx="0">
                  <c:v>24</c:v>
                </c:pt>
                <c:pt idx="1">
                  <c:v>17</c:v>
                </c:pt>
                <c:pt idx="2">
                  <c:v>14</c:v>
                </c:pt>
                <c:pt idx="3">
                  <c:v>23</c:v>
                </c:pt>
                <c:pt idx="4">
                  <c:v>18</c:v>
                </c:pt>
                <c:pt idx="5">
                  <c:v>11</c:v>
                </c:pt>
                <c:pt idx="6">
                  <c:v>16</c:v>
                </c:pt>
                <c:pt idx="7">
                  <c:v>14</c:v>
                </c:pt>
                <c:pt idx="8">
                  <c:v>23</c:v>
                </c:pt>
                <c:pt idx="9">
                  <c:v>18</c:v>
                </c:pt>
              </c:numCache>
            </c:numRef>
          </c:val>
          <c:smooth val="0"/>
          <c:extLst>
            <c:ext xmlns:c16="http://schemas.microsoft.com/office/drawing/2014/chart" uri="{C3380CC4-5D6E-409C-BE32-E72D297353CC}">
              <c16:uniqueId val="{00000001-ADB3-4899-8EC6-E7D65A69EB96}"/>
            </c:ext>
          </c:extLst>
        </c:ser>
        <c:dLbls>
          <c:showLegendKey val="0"/>
          <c:showVal val="0"/>
          <c:showCatName val="0"/>
          <c:showSerName val="0"/>
          <c:showPercent val="0"/>
          <c:showBubbleSize val="0"/>
        </c:dLbls>
        <c:marker val="1"/>
        <c:smooth val="0"/>
        <c:axId val="1112351199"/>
        <c:axId val="1"/>
      </c:lineChart>
      <c:catAx>
        <c:axId val="1112351199"/>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12351199"/>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204669195930064"/>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26-4AAB-94B9-B09FC6A73CAE}"/>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EF26-4AAB-94B9-B09FC6A73CAE}"/>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375221654172238"/>
                  <c:y val="0.7909626339673651"/>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26-4AAB-94B9-B09FC6A73CAE}"/>
                </c:ext>
              </c:extLst>
            </c:dLbl>
            <c:dLbl>
              <c:idx val="1"/>
              <c:layout>
                <c:manualLayout>
                  <c:xMode val="edge"/>
                  <c:yMode val="edge"/>
                  <c:x val="0.21222428459276563"/>
                  <c:y val="0.8135615663664326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26-4AAB-94B9-B09FC6A73CAE}"/>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EF26-4AAB-94B9-B09FC6A73CAE}"/>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EF26-4AAB-94B9-B09FC6A73CAE}"/>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EF26-4AAB-94B9-B09FC6A73CAE}"/>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EF26-4AAB-94B9-B09FC6A73CAE}"/>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035662798823813"/>
                  <c:y val="0.7316404364198126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F26-4AAB-94B9-B09FC6A73CAE}"/>
                </c:ext>
              </c:extLst>
            </c:dLbl>
            <c:dLbl>
              <c:idx val="1"/>
              <c:layout>
                <c:manualLayout>
                  <c:xMode val="edge"/>
                  <c:yMode val="edge"/>
                  <c:x val="0.24618017012760815"/>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F26-4AAB-94B9-B09FC6A73CAE}"/>
                </c:ext>
              </c:extLst>
            </c:dLbl>
            <c:dLbl>
              <c:idx val="2"/>
              <c:layout>
                <c:manualLayout>
                  <c:xMode val="edge"/>
                  <c:yMode val="edge"/>
                  <c:x val="0.43123974629249978"/>
                  <c:y val="0.7033917709209782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F26-4AAB-94B9-B09FC6A73CAE}"/>
                </c:ext>
              </c:extLst>
            </c:dLbl>
            <c:dLbl>
              <c:idx val="3"/>
              <c:layout>
                <c:manualLayout>
                  <c:xMode val="edge"/>
                  <c:yMode val="edge"/>
                  <c:x val="0.52461843151331666"/>
                  <c:y val="0.53672464447785484"/>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F26-4AAB-94B9-B09FC6A73CAE}"/>
                </c:ext>
              </c:extLst>
            </c:dLbl>
            <c:dLbl>
              <c:idx val="4"/>
              <c:layout>
                <c:manualLayout>
                  <c:xMode val="edge"/>
                  <c:yMode val="edge"/>
                  <c:x val="0.70118903629449769"/>
                  <c:y val="0.175141726092773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F26-4AAB-94B9-B09FC6A73CAE}"/>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EF26-4AAB-94B9-B09FC6A73CAE}"/>
            </c:ext>
          </c:extLst>
        </c:ser>
        <c:dLbls>
          <c:showLegendKey val="0"/>
          <c:showVal val="0"/>
          <c:showCatName val="0"/>
          <c:showSerName val="0"/>
          <c:showPercent val="0"/>
          <c:showBubbleSize val="0"/>
        </c:dLbls>
        <c:gapWidth val="0"/>
        <c:overlap val="100"/>
        <c:axId val="1118012895"/>
        <c:axId val="1"/>
      </c:barChart>
      <c:dateAx>
        <c:axId val="1118012895"/>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18012895"/>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9658-450F-A2E7-2B5390B90FA2}"/>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9658-450F-A2E7-2B5390B90FA2}"/>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9658-450F-A2E7-2B5390B90FA2}"/>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extLst>
            <c:ext xmlns:c16="http://schemas.microsoft.com/office/drawing/2014/chart" uri="{C3380CC4-5D6E-409C-BE32-E72D297353CC}">
              <c16:uniqueId val="{00000003-9658-450F-A2E7-2B5390B90FA2}"/>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9658-450F-A2E7-2B5390B90FA2}"/>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9658-450F-A2E7-2B5390B90FA2}"/>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9658-450F-A2E7-2B5390B90FA2}"/>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9658-450F-A2E7-2B5390B90FA2}"/>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9658-450F-A2E7-2B5390B90FA2}"/>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9658-450F-A2E7-2B5390B90FA2}"/>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9658-450F-A2E7-2B5390B90FA2}"/>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9658-450F-A2E7-2B5390B90FA2}"/>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9658-450F-A2E7-2B5390B90FA2}"/>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9658-450F-A2E7-2B5390B90FA2}"/>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9658-450F-A2E7-2B5390B90FA2}"/>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9658-450F-A2E7-2B5390B90FA2}"/>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9658-450F-A2E7-2B5390B90FA2}"/>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9658-450F-A2E7-2B5390B90FA2}"/>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9658-450F-A2E7-2B5390B90FA2}"/>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9658-450F-A2E7-2B5390B90FA2}"/>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9658-450F-A2E7-2B5390B90FA2}"/>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9658-450F-A2E7-2B5390B90FA2}"/>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9658-450F-A2E7-2B5390B90FA2}"/>
            </c:ext>
          </c:extLst>
        </c:ser>
        <c:dLbls>
          <c:showLegendKey val="0"/>
          <c:showVal val="0"/>
          <c:showCatName val="0"/>
          <c:showSerName val="0"/>
          <c:showPercent val="0"/>
          <c:showBubbleSize val="0"/>
        </c:dLbls>
        <c:gapWidth val="0"/>
        <c:overlap val="100"/>
        <c:axId val="1118016255"/>
        <c:axId val="1"/>
      </c:barChart>
      <c:dateAx>
        <c:axId val="1118016255"/>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8016255"/>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03CA-4FDE-B05B-94E6FC801B3A}"/>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CA-4FDE-B05B-94E6FC801B3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03CA-4FDE-B05B-94E6FC801B3A}"/>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CA-4FDE-B05B-94E6FC801B3A}"/>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03CA-4FDE-B05B-94E6FC801B3A}"/>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CA-4FDE-B05B-94E6FC801B3A}"/>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03CA-4FDE-B05B-94E6FC801B3A}"/>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3CA-4FDE-B05B-94E6FC801B3A}"/>
                </c:ext>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CA-4FDE-B05B-94E6FC801B3A}"/>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03CA-4FDE-B05B-94E6FC801B3A}"/>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CA-4FDE-B05B-94E6FC801B3A}"/>
                </c:ext>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CA-4FDE-B05B-94E6FC801B3A}"/>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03CA-4FDE-B05B-94E6FC801B3A}"/>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03CA-4FDE-B05B-94E6FC801B3A}"/>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3CA-4FDE-B05B-94E6FC801B3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03CA-4FDE-B05B-94E6FC801B3A}"/>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3CA-4FDE-B05B-94E6FC801B3A}"/>
                </c:ext>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CA-4FDE-B05B-94E6FC801B3A}"/>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03CA-4FDE-B05B-94E6FC801B3A}"/>
            </c:ext>
          </c:extLst>
        </c:ser>
        <c:dLbls>
          <c:showLegendKey val="0"/>
          <c:showVal val="1"/>
          <c:showCatName val="0"/>
          <c:showSerName val="0"/>
          <c:showPercent val="0"/>
          <c:showBubbleSize val="0"/>
        </c:dLbls>
        <c:gapWidth val="110"/>
        <c:overlap val="50"/>
        <c:axId val="1076212911"/>
        <c:axId val="1"/>
      </c:barChart>
      <c:catAx>
        <c:axId val="107621291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6212911"/>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1-0107-4165-ADEE-5127EB986AA1}"/>
            </c:ext>
          </c:extLst>
        </c:ser>
        <c:dLbls>
          <c:showLegendKey val="0"/>
          <c:showVal val="0"/>
          <c:showCatName val="0"/>
          <c:showSerName val="0"/>
          <c:showPercent val="0"/>
          <c:showBubbleSize val="0"/>
        </c:dLbls>
        <c:marker val="1"/>
        <c:smooth val="0"/>
        <c:axId val="1076220111"/>
        <c:axId val="1"/>
      </c:lineChart>
      <c:catAx>
        <c:axId val="107622011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07622011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6E83-4AC1-967F-1BDC63E4C267}"/>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6E83-4AC1-967F-1BDC63E4C267}"/>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6E83-4AC1-967F-1BDC63E4C267}"/>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6E83-4AC1-967F-1BDC63E4C267}"/>
                </c:ext>
              </c:extLst>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83-4AC1-967F-1BDC63E4C267}"/>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6E83-4AC1-967F-1BDC63E4C267}"/>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6E83-4AC1-967F-1BDC63E4C267}"/>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E83-4AC1-967F-1BDC63E4C267}"/>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6E83-4AC1-967F-1BDC63E4C267}"/>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E83-4AC1-967F-1BDC63E4C267}"/>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6E83-4AC1-967F-1BDC63E4C267}"/>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6E83-4AC1-967F-1BDC63E4C267}"/>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6E83-4AC1-967F-1BDC63E4C267}"/>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6E83-4AC1-967F-1BDC63E4C267}"/>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6E83-4AC1-967F-1BDC63E4C267}"/>
                </c:ext>
              </c:extLst>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E83-4AC1-967F-1BDC63E4C267}"/>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6E83-4AC1-967F-1BDC63E4C267}"/>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6E83-4AC1-967F-1BDC63E4C267}"/>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6E83-4AC1-967F-1BDC63E4C267}"/>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6E83-4AC1-967F-1BDC63E4C267}"/>
            </c:ext>
          </c:extLst>
        </c:ser>
        <c:dLbls>
          <c:showLegendKey val="0"/>
          <c:showVal val="1"/>
          <c:showCatName val="0"/>
          <c:showSerName val="0"/>
          <c:showPercent val="0"/>
          <c:showBubbleSize val="0"/>
        </c:dLbls>
        <c:gapWidth val="150"/>
        <c:axId val="1076213871"/>
        <c:axId val="1"/>
      </c:barChart>
      <c:catAx>
        <c:axId val="107621387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076213871"/>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2B52-4628-BC61-7628E15FDA83}"/>
            </c:ext>
          </c:extLst>
        </c:ser>
        <c:dLbls>
          <c:showLegendKey val="0"/>
          <c:showVal val="0"/>
          <c:showCatName val="0"/>
          <c:showSerName val="0"/>
          <c:showPercent val="0"/>
          <c:showBubbleSize val="0"/>
        </c:dLbls>
        <c:gapWidth val="150"/>
        <c:axId val="1076216271"/>
        <c:axId val="1"/>
      </c:barChart>
      <c:catAx>
        <c:axId val="107621627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6216271"/>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4F65-43D3-82BB-AA8EB14529D0}"/>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4F65-43D3-82BB-AA8EB14529D0}"/>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4F65-43D3-82BB-AA8EB14529D0}"/>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4F65-43D3-82BB-AA8EB14529D0}"/>
            </c:ext>
          </c:extLst>
        </c:ser>
        <c:dLbls>
          <c:showLegendKey val="0"/>
          <c:showVal val="0"/>
          <c:showCatName val="0"/>
          <c:showSerName val="0"/>
          <c:showPercent val="0"/>
          <c:showBubbleSize val="0"/>
        </c:dLbls>
        <c:marker val="1"/>
        <c:smooth val="0"/>
        <c:axId val="1076221551"/>
        <c:axId val="1"/>
      </c:lineChart>
      <c:dateAx>
        <c:axId val="1076221551"/>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6221551"/>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ECFD-442C-BDD9-5585179678FE}"/>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2-ECFD-442C-BDD9-5585179678FE}"/>
            </c:ext>
          </c:extLst>
        </c:ser>
        <c:dLbls>
          <c:showLegendKey val="0"/>
          <c:showVal val="0"/>
          <c:showCatName val="0"/>
          <c:showSerName val="0"/>
          <c:showPercent val="0"/>
          <c:showBubbleSize val="0"/>
        </c:dLbls>
        <c:marker val="1"/>
        <c:smooth val="0"/>
        <c:axId val="1076214351"/>
        <c:axId val="1"/>
      </c:lineChart>
      <c:catAx>
        <c:axId val="1076214351"/>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6214351"/>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73336577282411"/>
          <c:w val="0.76912405336869771"/>
          <c:h val="0.7205221608037057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42-47F8-A8C6-692BC036404D}"/>
                </c:ext>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1D42-47F8-A8C6-692BC036404D}"/>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42-47F8-A8C6-692BC036404D}"/>
                </c:ext>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42-47F8-A8C6-692BC036404D}"/>
                </c:ext>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1D42-47F8-A8C6-692BC036404D}"/>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1D42-47F8-A8C6-692BC036404D}"/>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1D42-47F8-A8C6-692BC036404D}"/>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1D42-47F8-A8C6-692BC036404D}"/>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42-47F8-A8C6-692BC036404D}"/>
                </c:ext>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42-47F8-A8C6-692BC036404D}"/>
                </c:ext>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42-47F8-A8C6-692BC036404D}"/>
                </c:ext>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D42-47F8-A8C6-692BC036404D}"/>
                </c:ext>
              </c:extLst>
            </c:dLbl>
            <c:dLbl>
              <c:idx val="4"/>
              <c:layout>
                <c:manualLayout>
                  <c:xMode val="edge"/>
                  <c:yMode val="edge"/>
                  <c:x val="0.694418847301981"/>
                  <c:y val="0.5186517278199088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42-47F8-A8C6-692BC036404D}"/>
                </c:ext>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1D42-47F8-A8C6-692BC036404D}"/>
            </c:ext>
          </c:extLst>
        </c:ser>
        <c:dLbls>
          <c:showLegendKey val="0"/>
          <c:showVal val="0"/>
          <c:showCatName val="0"/>
          <c:showSerName val="0"/>
          <c:showPercent val="0"/>
          <c:showBubbleSize val="0"/>
        </c:dLbls>
        <c:gapWidth val="0"/>
        <c:overlap val="90"/>
        <c:axId val="1076222031"/>
        <c:axId val="1"/>
      </c:barChart>
      <c:dateAx>
        <c:axId val="107622203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6222031"/>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8042-4374-B3D6-B31C26BC4F4E}"/>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8042-4374-B3D6-B31C26BC4F4E}"/>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8042-4374-B3D6-B31C26BC4F4E}"/>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extLst>
            <c:ext xmlns:c16="http://schemas.microsoft.com/office/drawing/2014/chart" uri="{C3380CC4-5D6E-409C-BE32-E72D297353CC}">
              <c16:uniqueId val="{00000003-8042-4374-B3D6-B31C26BC4F4E}"/>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8042-4374-B3D6-B31C26BC4F4E}"/>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8042-4374-B3D6-B31C26BC4F4E}"/>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8042-4374-B3D6-B31C26BC4F4E}"/>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8042-4374-B3D6-B31C26BC4F4E}"/>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8042-4374-B3D6-B31C26BC4F4E}"/>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8042-4374-B3D6-B31C26BC4F4E}"/>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8042-4374-B3D6-B31C26BC4F4E}"/>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8042-4374-B3D6-B31C26BC4F4E}"/>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8042-4374-B3D6-B31C26BC4F4E}"/>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8042-4374-B3D6-B31C26BC4F4E}"/>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8042-4374-B3D6-B31C26BC4F4E}"/>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8042-4374-B3D6-B31C26BC4F4E}"/>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8042-4374-B3D6-B31C26BC4F4E}"/>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8042-4374-B3D6-B31C26BC4F4E}"/>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8042-4374-B3D6-B31C26BC4F4E}"/>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8042-4374-B3D6-B31C26BC4F4E}"/>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8042-4374-B3D6-B31C26BC4F4E}"/>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8042-4374-B3D6-B31C26BC4F4E}"/>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8042-4374-B3D6-B31C26BC4F4E}"/>
            </c:ext>
          </c:extLst>
        </c:ser>
        <c:dLbls>
          <c:showLegendKey val="0"/>
          <c:showVal val="0"/>
          <c:showCatName val="0"/>
          <c:showSerName val="0"/>
          <c:showPercent val="0"/>
          <c:showBubbleSize val="0"/>
        </c:dLbls>
        <c:gapWidth val="150"/>
        <c:overlap val="100"/>
        <c:axId val="1076214831"/>
        <c:axId val="1"/>
      </c:barChart>
      <c:dateAx>
        <c:axId val="1076214831"/>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6214831"/>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10/08/2001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08'!$C$188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AAE2-471E-84D2-CDDDB1D4536E}"/>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AAE2-471E-84D2-CDDDB1D4536E}"/>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AE2-471E-84D2-CDDDB1D4536E}"/>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AAE2-471E-84D2-CDDDB1D4536E}"/>
                </c:ext>
              </c:extLst>
            </c:dLbl>
            <c:dLbl>
              <c:idx val="4"/>
              <c:layout>
                <c:manualLayout>
                  <c:xMode val="edge"/>
                  <c:yMode val="edge"/>
                  <c:x val="0.32293986636971045"/>
                  <c:y val="0.68169107847034338"/>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E2-471E-84D2-CDDDB1D4536E}"/>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AAE2-471E-84D2-CDDDB1D4536E}"/>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AAE2-471E-84D2-CDDDB1D4536E}"/>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AE2-471E-84D2-CDDDB1D4536E}"/>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AAE2-471E-84D2-CDDDB1D4536E}"/>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AAE2-471E-84D2-CDDDB1D4536E}"/>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08'!$C$189:$C$198</c:f>
              <c:numCache>
                <c:formatCode>General</c:formatCode>
                <c:ptCount val="10"/>
                <c:pt idx="1">
                  <c:v>2</c:v>
                </c:pt>
                <c:pt idx="2">
                  <c:v>6</c:v>
                </c:pt>
                <c:pt idx="3">
                  <c:v>1</c:v>
                </c:pt>
                <c:pt idx="4">
                  <c:v>1</c:v>
                </c:pt>
                <c:pt idx="6">
                  <c:v>1</c:v>
                </c:pt>
                <c:pt idx="7">
                  <c:v>1</c:v>
                </c:pt>
                <c:pt idx="8">
                  <c:v>6</c:v>
                </c:pt>
                <c:pt idx="9">
                  <c:v>18</c:v>
                </c:pt>
              </c:numCache>
            </c:numRef>
          </c:val>
          <c:extLst>
            <c:ext xmlns:c16="http://schemas.microsoft.com/office/drawing/2014/chart" uri="{C3380CC4-5D6E-409C-BE32-E72D297353CC}">
              <c16:uniqueId val="{0000000A-AAE2-471E-84D2-CDDDB1D4536E}"/>
            </c:ext>
          </c:extLst>
        </c:ser>
        <c:ser>
          <c:idx val="0"/>
          <c:order val="1"/>
          <c:tx>
            <c:strRef>
              <c:f>'Graph Data Oct 08'!$E$188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AAE2-471E-84D2-CDDDB1D4536E}"/>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AAE2-471E-84D2-CDDDB1D4536E}"/>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AAE2-471E-84D2-CDDDB1D4536E}"/>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AAE2-471E-84D2-CDDDB1D4536E}"/>
                </c:ext>
              </c:extLst>
            </c:dLbl>
            <c:dLbl>
              <c:idx val="4"/>
              <c:layout>
                <c:manualLayout>
                  <c:xMode val="edge"/>
                  <c:yMode val="edge"/>
                  <c:x val="0.34966592427616927"/>
                  <c:y val="0.7098601312996965"/>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AE2-471E-84D2-CDDDB1D4536E}"/>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AAE2-471E-84D2-CDDDB1D4536E}"/>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AAE2-471E-84D2-CDDDB1D4536E}"/>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AAE2-471E-84D2-CDDDB1D4536E}"/>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08'!$E$189:$E$196</c:f>
              <c:numCache>
                <c:formatCode>_(* #,##0_);_(* \(#,##0\);_(* "-"??_);_(@_)</c:formatCode>
                <c:ptCount val="8"/>
                <c:pt idx="2">
                  <c:v>12.76595744680851</c:v>
                </c:pt>
                <c:pt idx="3">
                  <c:v>2.3255813953488373</c:v>
                </c:pt>
                <c:pt idx="4">
                  <c:v>0.21321961620469082</c:v>
                </c:pt>
                <c:pt idx="6">
                  <c:v>11.111111111111111</c:v>
                </c:pt>
                <c:pt idx="7">
                  <c:v>5.8823529411764701</c:v>
                </c:pt>
              </c:numCache>
            </c:numRef>
          </c:val>
          <c:extLst>
            <c:ext xmlns:c16="http://schemas.microsoft.com/office/drawing/2014/chart" uri="{C3380CC4-5D6E-409C-BE32-E72D297353CC}">
              <c16:uniqueId val="{00000013-AAE2-471E-84D2-CDDDB1D4536E}"/>
            </c:ext>
          </c:extLst>
        </c:ser>
        <c:dLbls>
          <c:showLegendKey val="0"/>
          <c:showVal val="1"/>
          <c:showCatName val="0"/>
          <c:showSerName val="0"/>
          <c:showPercent val="0"/>
          <c:showBubbleSize val="0"/>
        </c:dLbls>
        <c:gapWidth val="150"/>
        <c:axId val="1112889839"/>
        <c:axId val="1"/>
      </c:barChart>
      <c:catAx>
        <c:axId val="111288983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112889839"/>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B8C2-44B7-BAC2-E5875F677CFD}"/>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C2-44B7-BAC2-E5875F677CF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B8C2-44B7-BAC2-E5875F677CFD}"/>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C2-44B7-BAC2-E5875F677CF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B8C2-44B7-BAC2-E5875F677CFD}"/>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C2-44B7-BAC2-E5875F677CF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B8C2-44B7-BAC2-E5875F677CFD}"/>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8C2-44B7-BAC2-E5875F677CFD}"/>
                </c:ext>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C2-44B7-BAC2-E5875F677CFD}"/>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B8C2-44B7-BAC2-E5875F677CFD}"/>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C2-44B7-BAC2-E5875F677CFD}"/>
                </c:ext>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C2-44B7-BAC2-E5875F677CF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B8C2-44B7-BAC2-E5875F677CFD}"/>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B8C2-44B7-BAC2-E5875F677CFD}"/>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C2-44B7-BAC2-E5875F677CF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B8C2-44B7-BAC2-E5875F677CFD}"/>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B8C2-44B7-BAC2-E5875F677CFD}"/>
            </c:ext>
          </c:extLst>
        </c:ser>
        <c:dLbls>
          <c:showLegendKey val="0"/>
          <c:showVal val="1"/>
          <c:showCatName val="0"/>
          <c:showSerName val="0"/>
          <c:showPercent val="0"/>
          <c:showBubbleSize val="0"/>
        </c:dLbls>
        <c:gapWidth val="110"/>
        <c:overlap val="50"/>
        <c:axId val="1076359743"/>
        <c:axId val="1"/>
      </c:barChart>
      <c:catAx>
        <c:axId val="1076359743"/>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6359743"/>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1-9158-4380-BD3E-773ADDFD50FF}"/>
            </c:ext>
          </c:extLst>
        </c:ser>
        <c:dLbls>
          <c:showLegendKey val="0"/>
          <c:showVal val="0"/>
          <c:showCatName val="0"/>
          <c:showSerName val="0"/>
          <c:showPercent val="0"/>
          <c:showBubbleSize val="0"/>
        </c:dLbls>
        <c:marker val="1"/>
        <c:smooth val="0"/>
        <c:axId val="1075601519"/>
        <c:axId val="1"/>
      </c:lineChart>
      <c:catAx>
        <c:axId val="1075601519"/>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5601519"/>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6FF2-4786-9F5D-941F6FBD7B35}"/>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6FF2-4786-9F5D-941F6FBD7B35}"/>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6FF2-4786-9F5D-941F6FBD7B35}"/>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6FF2-4786-9F5D-941F6FBD7B35}"/>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F2-4786-9F5D-941F6FBD7B35}"/>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6FF2-4786-9F5D-941F6FBD7B35}"/>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6FF2-4786-9F5D-941F6FBD7B35}"/>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FF2-4786-9F5D-941F6FBD7B35}"/>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6FF2-4786-9F5D-941F6FBD7B35}"/>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FF2-4786-9F5D-941F6FBD7B35}"/>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6FF2-4786-9F5D-941F6FBD7B35}"/>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6FF2-4786-9F5D-941F6FBD7B35}"/>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6FF2-4786-9F5D-941F6FBD7B35}"/>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6FF2-4786-9F5D-941F6FBD7B35}"/>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6FF2-4786-9F5D-941F6FBD7B35}"/>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FF2-4786-9F5D-941F6FBD7B35}"/>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6FF2-4786-9F5D-941F6FBD7B35}"/>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6FF2-4786-9F5D-941F6FBD7B35}"/>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6FF2-4786-9F5D-941F6FBD7B35}"/>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6FF2-4786-9F5D-941F6FBD7B35}"/>
            </c:ext>
          </c:extLst>
        </c:ser>
        <c:dLbls>
          <c:showLegendKey val="0"/>
          <c:showVal val="1"/>
          <c:showCatName val="0"/>
          <c:showSerName val="0"/>
          <c:showPercent val="0"/>
          <c:showBubbleSize val="0"/>
        </c:dLbls>
        <c:gapWidth val="150"/>
        <c:axId val="1075599599"/>
        <c:axId val="1"/>
      </c:barChart>
      <c:catAx>
        <c:axId val="1075599599"/>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075599599"/>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4CA3-4727-B0FD-903241C29ED9}"/>
            </c:ext>
          </c:extLst>
        </c:ser>
        <c:dLbls>
          <c:showLegendKey val="0"/>
          <c:showVal val="0"/>
          <c:showCatName val="0"/>
          <c:showSerName val="0"/>
          <c:showPercent val="0"/>
          <c:showBubbleSize val="0"/>
        </c:dLbls>
        <c:gapWidth val="150"/>
        <c:axId val="1075602959"/>
        <c:axId val="1"/>
      </c:barChart>
      <c:catAx>
        <c:axId val="107560295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075602959"/>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063D-4545-9DC5-E74599FD5B21}"/>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063D-4545-9DC5-E74599FD5B21}"/>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063D-4545-9DC5-E74599FD5B21}"/>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063D-4545-9DC5-E74599FD5B21}"/>
            </c:ext>
          </c:extLst>
        </c:ser>
        <c:dLbls>
          <c:showLegendKey val="0"/>
          <c:showVal val="0"/>
          <c:showCatName val="0"/>
          <c:showSerName val="0"/>
          <c:showPercent val="0"/>
          <c:showBubbleSize val="0"/>
        </c:dLbls>
        <c:marker val="1"/>
        <c:smooth val="0"/>
        <c:axId val="1075599119"/>
        <c:axId val="1"/>
      </c:lineChart>
      <c:dateAx>
        <c:axId val="1075599119"/>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5599119"/>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0795-4760-B372-1DD31031A37E}"/>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2-0795-4760-B372-1DD31031A37E}"/>
            </c:ext>
          </c:extLst>
        </c:ser>
        <c:dLbls>
          <c:showLegendKey val="0"/>
          <c:showVal val="0"/>
          <c:showCatName val="0"/>
          <c:showSerName val="0"/>
          <c:showPercent val="0"/>
          <c:showBubbleSize val="0"/>
        </c:dLbls>
        <c:marker val="1"/>
        <c:smooth val="0"/>
        <c:axId val="1075603439"/>
        <c:axId val="1"/>
      </c:lineChart>
      <c:catAx>
        <c:axId val="1075603439"/>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5603439"/>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525B-4C62-BD0E-B996E91B1FD9}"/>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5B-4C62-BD0E-B996E91B1FD9}"/>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525B-4C62-BD0E-B996E91B1FD9}"/>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525B-4C62-BD0E-B996E91B1FD9}"/>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525B-4C62-BD0E-B996E91B1FD9}"/>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525B-4C62-BD0E-B996E91B1FD9}"/>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525B-4C62-BD0E-B996E91B1FD9}"/>
            </c:ext>
          </c:extLst>
        </c:ser>
        <c:dLbls>
          <c:showLegendKey val="0"/>
          <c:showVal val="0"/>
          <c:showCatName val="0"/>
          <c:showSerName val="0"/>
          <c:showPercent val="0"/>
          <c:showBubbleSize val="0"/>
        </c:dLbls>
        <c:gapWidth val="0"/>
        <c:overlap val="90"/>
        <c:axId val="1076225871"/>
        <c:axId val="1"/>
      </c:barChart>
      <c:dateAx>
        <c:axId val="107622587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6225871"/>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6C4E-4ECF-89FA-DC77EE6923A8}"/>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4E-4ECF-89FA-DC77EE6923A8}"/>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6C4E-4ECF-89FA-DC77EE6923A8}"/>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4E-4ECF-89FA-DC77EE6923A8}"/>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6C4E-4ECF-89FA-DC77EE6923A8}"/>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4E-4ECF-89FA-DC77EE6923A8}"/>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6C4E-4ECF-89FA-DC77EE6923A8}"/>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C4E-4ECF-89FA-DC77EE6923A8}"/>
                </c:ext>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4E-4ECF-89FA-DC77EE6923A8}"/>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6C4E-4ECF-89FA-DC77EE6923A8}"/>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C4E-4ECF-89FA-DC77EE6923A8}"/>
                </c:ext>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C4E-4ECF-89FA-DC77EE6923A8}"/>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6C4E-4ECF-89FA-DC77EE6923A8}"/>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6C4E-4ECF-89FA-DC77EE6923A8}"/>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C4E-4ECF-89FA-DC77EE6923A8}"/>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6C4E-4ECF-89FA-DC77EE6923A8}"/>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6C4E-4ECF-89FA-DC77EE6923A8}"/>
            </c:ext>
          </c:extLst>
        </c:ser>
        <c:dLbls>
          <c:showLegendKey val="0"/>
          <c:showVal val="1"/>
          <c:showCatName val="0"/>
          <c:showSerName val="0"/>
          <c:showPercent val="0"/>
          <c:showBubbleSize val="0"/>
        </c:dLbls>
        <c:gapWidth val="110"/>
        <c:overlap val="50"/>
        <c:axId val="1076245535"/>
        <c:axId val="1"/>
      </c:barChart>
      <c:catAx>
        <c:axId val="1076245535"/>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6245535"/>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1-5FD3-4384-A807-9504F6000D17}"/>
            </c:ext>
          </c:extLst>
        </c:ser>
        <c:dLbls>
          <c:showLegendKey val="0"/>
          <c:showVal val="0"/>
          <c:showCatName val="0"/>
          <c:showSerName val="0"/>
          <c:showPercent val="0"/>
          <c:showBubbleSize val="0"/>
        </c:dLbls>
        <c:marker val="1"/>
        <c:smooth val="0"/>
        <c:axId val="1076246495"/>
        <c:axId val="1"/>
      </c:lineChart>
      <c:catAx>
        <c:axId val="1076246495"/>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76246495"/>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477-47DB-8C7C-D8B3FEACCFE3}"/>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477-47DB-8C7C-D8B3FEACCFE3}"/>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477-47DB-8C7C-D8B3FEACCFE3}"/>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477-47DB-8C7C-D8B3FEACCFE3}"/>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77-47DB-8C7C-D8B3FEACCFE3}"/>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477-47DB-8C7C-D8B3FEACCFE3}"/>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477-47DB-8C7C-D8B3FEACCFE3}"/>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477-47DB-8C7C-D8B3FEACCFE3}"/>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477-47DB-8C7C-D8B3FEACCFE3}"/>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477-47DB-8C7C-D8B3FEACCFE3}"/>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C477-47DB-8C7C-D8B3FEACCFE3}"/>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477-47DB-8C7C-D8B3FEACCFE3}"/>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477-47DB-8C7C-D8B3FEACCFE3}"/>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477-47DB-8C7C-D8B3FEACCFE3}"/>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477-47DB-8C7C-D8B3FEACCFE3}"/>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477-47DB-8C7C-D8B3FEACCFE3}"/>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477-47DB-8C7C-D8B3FEACCFE3}"/>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477-47DB-8C7C-D8B3FEACCFE3}"/>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477-47DB-8C7C-D8B3FEACCFE3}"/>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C477-47DB-8C7C-D8B3FEACCFE3}"/>
            </c:ext>
          </c:extLst>
        </c:ser>
        <c:dLbls>
          <c:showLegendKey val="0"/>
          <c:showVal val="1"/>
          <c:showCatName val="0"/>
          <c:showSerName val="0"/>
          <c:showPercent val="0"/>
          <c:showBubbleSize val="0"/>
        </c:dLbls>
        <c:gapWidth val="150"/>
        <c:axId val="1076248895"/>
        <c:axId val="1"/>
      </c:barChart>
      <c:catAx>
        <c:axId val="1076248895"/>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076248895"/>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960D-4004-84E8-079B31BAEE4E}"/>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960D-4004-84E8-079B31BAEE4E}"/>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960D-4004-84E8-079B31BAEE4E}"/>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960D-4004-84E8-079B31BAEE4E}"/>
            </c:ext>
          </c:extLst>
        </c:ser>
        <c:dLbls>
          <c:showLegendKey val="0"/>
          <c:showVal val="0"/>
          <c:showCatName val="0"/>
          <c:showSerName val="0"/>
          <c:showPercent val="0"/>
          <c:showBubbleSize val="0"/>
        </c:dLbls>
        <c:marker val="1"/>
        <c:smooth val="0"/>
        <c:axId val="1112893199"/>
        <c:axId val="1"/>
      </c:lineChart>
      <c:dateAx>
        <c:axId val="1112893199"/>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2893199"/>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1F81-4674-ABD8-30945378612F}"/>
            </c:ext>
          </c:extLst>
        </c:ser>
        <c:dLbls>
          <c:showLegendKey val="0"/>
          <c:showVal val="0"/>
          <c:showCatName val="0"/>
          <c:showSerName val="0"/>
          <c:showPercent val="0"/>
          <c:showBubbleSize val="0"/>
        </c:dLbls>
        <c:gapWidth val="150"/>
        <c:axId val="1076248415"/>
        <c:axId val="1"/>
      </c:barChart>
      <c:catAx>
        <c:axId val="107624841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076248415"/>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2D2D-4FB6-AF15-15C38DBDB620}"/>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2D2D-4FB6-AF15-15C38DBDB620}"/>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2D2D-4FB6-AF15-15C38DBDB620}"/>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2D2D-4FB6-AF15-15C38DBDB620}"/>
            </c:ext>
          </c:extLst>
        </c:ser>
        <c:dLbls>
          <c:showLegendKey val="0"/>
          <c:showVal val="0"/>
          <c:showCatName val="0"/>
          <c:showSerName val="0"/>
          <c:showPercent val="0"/>
          <c:showBubbleSize val="0"/>
        </c:dLbls>
        <c:marker val="1"/>
        <c:smooth val="0"/>
        <c:axId val="1076250335"/>
        <c:axId val="1"/>
      </c:lineChart>
      <c:dateAx>
        <c:axId val="1076250335"/>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6250335"/>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7F95-4771-9C90-CD79DB69339C}"/>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2-7F95-4771-9C90-CD79DB69339C}"/>
            </c:ext>
          </c:extLst>
        </c:ser>
        <c:dLbls>
          <c:showLegendKey val="0"/>
          <c:showVal val="0"/>
          <c:showCatName val="0"/>
          <c:showSerName val="0"/>
          <c:showPercent val="0"/>
          <c:showBubbleSize val="0"/>
        </c:dLbls>
        <c:marker val="1"/>
        <c:smooth val="0"/>
        <c:axId val="1076360223"/>
        <c:axId val="1"/>
      </c:lineChart>
      <c:catAx>
        <c:axId val="1076360223"/>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076360223"/>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DD3E-427E-AD0C-8CBD385DBB82}"/>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3E-427E-AD0C-8CBD385DBB82}"/>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DD3E-427E-AD0C-8CBD385DBB82}"/>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DD3E-427E-AD0C-8CBD385DBB82}"/>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DD3E-427E-AD0C-8CBD385DBB82}"/>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DD3E-427E-AD0C-8CBD385DBB82}"/>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DD3E-427E-AD0C-8CBD385DBB82}"/>
            </c:ext>
          </c:extLst>
        </c:ser>
        <c:dLbls>
          <c:showLegendKey val="0"/>
          <c:showVal val="0"/>
          <c:showCatName val="0"/>
          <c:showSerName val="0"/>
          <c:showPercent val="0"/>
          <c:showBubbleSize val="0"/>
        </c:dLbls>
        <c:gapWidth val="0"/>
        <c:overlap val="90"/>
        <c:axId val="1076362143"/>
        <c:axId val="1"/>
      </c:barChart>
      <c:dateAx>
        <c:axId val="1076362143"/>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6362143"/>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089B-4DC3-ABB8-CCC3701FFE2F}"/>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9B-4DC3-ABB8-CCC3701FFE2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089B-4DC3-ABB8-CCC3701FFE2F}"/>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9B-4DC3-ABB8-CCC3701FFE2F}"/>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089B-4DC3-ABB8-CCC3701FFE2F}"/>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9B-4DC3-ABB8-CCC3701FFE2F}"/>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089B-4DC3-ABB8-CCC3701FFE2F}"/>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9B-4DC3-ABB8-CCC3701FFE2F}"/>
                </c:ext>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9B-4DC3-ABB8-CCC3701FFE2F}"/>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089B-4DC3-ABB8-CCC3701FFE2F}"/>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9B-4DC3-ABB8-CCC3701FFE2F}"/>
                </c:ext>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89B-4DC3-ABB8-CCC3701FFE2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089B-4DC3-ABB8-CCC3701FFE2F}"/>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089B-4DC3-ABB8-CCC3701FFE2F}"/>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89B-4DC3-ABB8-CCC3701FFE2F}"/>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089B-4DC3-ABB8-CCC3701FFE2F}"/>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089B-4DC3-ABB8-CCC3701FFE2F}"/>
            </c:ext>
          </c:extLst>
        </c:ser>
        <c:dLbls>
          <c:showLegendKey val="0"/>
          <c:showVal val="1"/>
          <c:showCatName val="0"/>
          <c:showSerName val="0"/>
          <c:showPercent val="0"/>
          <c:showBubbleSize val="0"/>
        </c:dLbls>
        <c:gapWidth val="110"/>
        <c:overlap val="50"/>
        <c:axId val="987078351"/>
        <c:axId val="1"/>
      </c:barChart>
      <c:catAx>
        <c:axId val="98707835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87078351"/>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1-51DE-41EA-9742-37D9F4DF203F}"/>
            </c:ext>
          </c:extLst>
        </c:ser>
        <c:dLbls>
          <c:showLegendKey val="0"/>
          <c:showVal val="0"/>
          <c:showCatName val="0"/>
          <c:showSerName val="0"/>
          <c:showPercent val="0"/>
          <c:showBubbleSize val="0"/>
        </c:dLbls>
        <c:marker val="1"/>
        <c:smooth val="0"/>
        <c:axId val="987076911"/>
        <c:axId val="1"/>
      </c:lineChart>
      <c:catAx>
        <c:axId val="98707691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8707691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6EF6-4E04-B53D-FF4741A87EDB}"/>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6EF6-4E04-B53D-FF4741A87EDB}"/>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6EF6-4E04-B53D-FF4741A87EDB}"/>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6EF6-4E04-B53D-FF4741A87EDB}"/>
                </c:ext>
              </c:extLst>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F6-4E04-B53D-FF4741A87EDB}"/>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6EF6-4E04-B53D-FF4741A87EDB}"/>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6EF6-4E04-B53D-FF4741A87EDB}"/>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EF6-4E04-B53D-FF4741A87EDB}"/>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6EF6-4E04-B53D-FF4741A87EDB}"/>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EF6-4E04-B53D-FF4741A87EDB}"/>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6EF6-4E04-B53D-FF4741A87EDB}"/>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6EF6-4E04-B53D-FF4741A87EDB}"/>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6EF6-4E04-B53D-FF4741A87EDB}"/>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6EF6-4E04-B53D-FF4741A87EDB}"/>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6EF6-4E04-B53D-FF4741A87EDB}"/>
                </c:ext>
              </c:extLst>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EF6-4E04-B53D-FF4741A87EDB}"/>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6EF6-4E04-B53D-FF4741A87EDB}"/>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6EF6-4E04-B53D-FF4741A87EDB}"/>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6EF6-4E04-B53D-FF4741A87EDB}"/>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6EF6-4E04-B53D-FF4741A87EDB}"/>
            </c:ext>
          </c:extLst>
        </c:ser>
        <c:dLbls>
          <c:showLegendKey val="0"/>
          <c:showVal val="1"/>
          <c:showCatName val="0"/>
          <c:showSerName val="0"/>
          <c:showPercent val="0"/>
          <c:showBubbleSize val="0"/>
        </c:dLbls>
        <c:gapWidth val="150"/>
        <c:axId val="987077391"/>
        <c:axId val="1"/>
      </c:barChart>
      <c:catAx>
        <c:axId val="98707739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987077391"/>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03E7-487C-9BE8-D650669C2408}"/>
            </c:ext>
          </c:extLst>
        </c:ser>
        <c:dLbls>
          <c:showLegendKey val="0"/>
          <c:showVal val="0"/>
          <c:showCatName val="0"/>
          <c:showSerName val="0"/>
          <c:showPercent val="0"/>
          <c:showBubbleSize val="0"/>
        </c:dLbls>
        <c:gapWidth val="150"/>
        <c:axId val="987076431"/>
        <c:axId val="1"/>
      </c:barChart>
      <c:catAx>
        <c:axId val="98707643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987076431"/>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73D-4A70-A316-953BC2DBD7AF}"/>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C73D-4A70-A316-953BC2DBD7AF}"/>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C73D-4A70-A316-953BC2DBD7AF}"/>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C73D-4A70-A316-953BC2DBD7AF}"/>
            </c:ext>
          </c:extLst>
        </c:ser>
        <c:dLbls>
          <c:showLegendKey val="0"/>
          <c:showVal val="0"/>
          <c:showCatName val="0"/>
          <c:showSerName val="0"/>
          <c:showPercent val="0"/>
          <c:showBubbleSize val="0"/>
        </c:dLbls>
        <c:marker val="1"/>
        <c:smooth val="0"/>
        <c:axId val="1111225311"/>
        <c:axId val="1"/>
      </c:lineChart>
      <c:dateAx>
        <c:axId val="1111225311"/>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1225311"/>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A129-4647-B689-270084E6B24D}"/>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2-A129-4647-B689-270084E6B24D}"/>
            </c:ext>
          </c:extLst>
        </c:ser>
        <c:dLbls>
          <c:showLegendKey val="0"/>
          <c:showVal val="0"/>
          <c:showCatName val="0"/>
          <c:showSerName val="0"/>
          <c:showPercent val="0"/>
          <c:showBubbleSize val="0"/>
        </c:dLbls>
        <c:marker val="1"/>
        <c:smooth val="0"/>
        <c:axId val="1111220511"/>
        <c:axId val="1"/>
      </c:lineChart>
      <c:catAx>
        <c:axId val="1111220511"/>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111220511"/>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8333363172791622"/>
          <c:y val="0.19832985386221294"/>
          <c:w val="0.67166775987591121"/>
          <c:h val="0.5511482254697286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[1]Chart!$AB$78:$AB$120</c:f>
              <c:numCache>
                <c:formatCode>General</c:formatCode>
                <c:ptCount val="43"/>
                <c:pt idx="0">
                  <c:v>0.32916666666666666</c:v>
                </c:pt>
                <c:pt idx="1">
                  <c:v>0.31736111111111115</c:v>
                </c:pt>
                <c:pt idx="2">
                  <c:v>0.30902777777777779</c:v>
                </c:pt>
                <c:pt idx="3">
                  <c:v>0.32430555555555557</c:v>
                </c:pt>
                <c:pt idx="4">
                  <c:v>0.33333333333333331</c:v>
                </c:pt>
                <c:pt idx="5">
                  <c:v>0.31944444444444448</c:v>
                </c:pt>
                <c:pt idx="6">
                  <c:v>0.31944444444444448</c:v>
                </c:pt>
                <c:pt idx="7">
                  <c:v>0.32430555555555557</c:v>
                </c:pt>
                <c:pt idx="8">
                  <c:v>0.31944444444444448</c:v>
                </c:pt>
                <c:pt idx="9">
                  <c:v>0.31944444444444448</c:v>
                </c:pt>
                <c:pt idx="10">
                  <c:v>0.31944444444444448</c:v>
                </c:pt>
                <c:pt idx="11">
                  <c:v>0.31666666666666665</c:v>
                </c:pt>
                <c:pt idx="12">
                  <c:v>0.31944444444444448</c:v>
                </c:pt>
                <c:pt idx="13">
                  <c:v>0.31736111111111115</c:v>
                </c:pt>
                <c:pt idx="14">
                  <c:v>0.31944444444444448</c:v>
                </c:pt>
                <c:pt idx="15">
                  <c:v>0.32291666666666669</c:v>
                </c:pt>
                <c:pt idx="16">
                  <c:v>0.31944444444444448</c:v>
                </c:pt>
                <c:pt idx="17">
                  <c:v>0.31805555555555554</c:v>
                </c:pt>
                <c:pt idx="18">
                  <c:v>0.32291666666666669</c:v>
                </c:pt>
                <c:pt idx="19">
                  <c:v>0.31944444444444448</c:v>
                </c:pt>
                <c:pt idx="20">
                  <c:v>0.31944444444444448</c:v>
                </c:pt>
                <c:pt idx="21">
                  <c:v>0.31944444444444448</c:v>
                </c:pt>
                <c:pt idx="22">
                  <c:v>0.31944444444444448</c:v>
                </c:pt>
                <c:pt idx="23">
                  <c:v>0.31736111111111115</c:v>
                </c:pt>
                <c:pt idx="24">
                  <c:v>0.31944444444444448</c:v>
                </c:pt>
                <c:pt idx="25">
                  <c:v>0.31944444444444448</c:v>
                </c:pt>
                <c:pt idx="26">
                  <c:v>0.31736111111111115</c:v>
                </c:pt>
                <c:pt idx="27">
                  <c:v>0.31805555555555554</c:v>
                </c:pt>
                <c:pt idx="28">
                  <c:v>0.31944444444444448</c:v>
                </c:pt>
                <c:pt idx="29">
                  <c:v>0.32083333333333336</c:v>
                </c:pt>
                <c:pt idx="30">
                  <c:v>0.31666666666666665</c:v>
                </c:pt>
                <c:pt idx="31">
                  <c:v>0.31874999999999998</c:v>
                </c:pt>
                <c:pt idx="32">
                  <c:v>0.32083333333333336</c:v>
                </c:pt>
                <c:pt idx="37">
                  <c:v>0.31944444444444448</c:v>
                </c:pt>
                <c:pt idx="38">
                  <c:v>0.31805555555555554</c:v>
                </c:pt>
                <c:pt idx="39">
                  <c:v>0.31944444444444448</c:v>
                </c:pt>
                <c:pt idx="40">
                  <c:v>0.32222222222222224</c:v>
                </c:pt>
                <c:pt idx="41">
                  <c:v>0.32013888888888892</c:v>
                </c:pt>
                <c:pt idx="42">
                  <c:v>0.32013888888888892</c:v>
                </c:pt>
              </c:numCache>
            </c:numRef>
          </c:val>
          <c:smooth val="0"/>
          <c:extLst>
            <c:ext xmlns:c16="http://schemas.microsoft.com/office/drawing/2014/chart" uri="{C3380CC4-5D6E-409C-BE32-E72D297353CC}">
              <c16:uniqueId val="{00000000-F1BE-4B4B-B8A5-E0391145EF59}"/>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[1]Chart!$AC$78:$AC$120</c:f>
              <c:numCache>
                <c:formatCode>General</c:formatCode>
                <c:ptCount val="43"/>
                <c:pt idx="0">
                  <c:v>0.67847222222222225</c:v>
                </c:pt>
                <c:pt idx="1">
                  <c:v>0.72291666666666676</c:v>
                </c:pt>
                <c:pt idx="2">
                  <c:v>0.7270833333333333</c:v>
                </c:pt>
                <c:pt idx="3">
                  <c:v>0.67013888888888884</c:v>
                </c:pt>
                <c:pt idx="4">
                  <c:v>0.72152777777777777</c:v>
                </c:pt>
                <c:pt idx="5">
                  <c:v>0.69097222222222221</c:v>
                </c:pt>
                <c:pt idx="6">
                  <c:v>0.66666666666666663</c:v>
                </c:pt>
                <c:pt idx="7">
                  <c:v>0.7597222222222223</c:v>
                </c:pt>
                <c:pt idx="8">
                  <c:v>0.70833333333333337</c:v>
                </c:pt>
                <c:pt idx="9">
                  <c:v>0.7</c:v>
                </c:pt>
                <c:pt idx="10">
                  <c:v>0.7284722222222223</c:v>
                </c:pt>
                <c:pt idx="11">
                  <c:v>0.73958333333333337</c:v>
                </c:pt>
                <c:pt idx="12">
                  <c:v>0.73958333333333337</c:v>
                </c:pt>
                <c:pt idx="13">
                  <c:v>0.70416666666666661</c:v>
                </c:pt>
                <c:pt idx="15">
                  <c:v>0.61736111111111114</c:v>
                </c:pt>
                <c:pt idx="16">
                  <c:v>0.72499999999999998</c:v>
                </c:pt>
                <c:pt idx="17">
                  <c:v>0.72569444444444453</c:v>
                </c:pt>
                <c:pt idx="18">
                  <c:v>0.6694444444444444</c:v>
                </c:pt>
                <c:pt idx="19">
                  <c:v>0.68472222222222223</c:v>
                </c:pt>
                <c:pt idx="21">
                  <c:v>0.75208333333333333</c:v>
                </c:pt>
                <c:pt idx="22">
                  <c:v>0.70208333333333339</c:v>
                </c:pt>
                <c:pt idx="23">
                  <c:v>0.74791666666666667</c:v>
                </c:pt>
                <c:pt idx="24">
                  <c:v>0.73958333333333337</c:v>
                </c:pt>
                <c:pt idx="25">
                  <c:v>0.64583333333333337</c:v>
                </c:pt>
                <c:pt idx="26">
                  <c:v>0.71527777777777779</c:v>
                </c:pt>
                <c:pt idx="27">
                  <c:v>0.71527777777777779</c:v>
                </c:pt>
                <c:pt idx="28">
                  <c:v>0.72499999999999998</c:v>
                </c:pt>
                <c:pt idx="29">
                  <c:v>0.7284722222222223</c:v>
                </c:pt>
                <c:pt idx="30">
                  <c:v>0.67291666666666661</c:v>
                </c:pt>
                <c:pt idx="31">
                  <c:v>0.71736111111111101</c:v>
                </c:pt>
                <c:pt idx="37">
                  <c:v>0.69861111111111107</c:v>
                </c:pt>
                <c:pt idx="38">
                  <c:v>0.72291666666666676</c:v>
                </c:pt>
                <c:pt idx="39">
                  <c:v>0.68472222222222223</c:v>
                </c:pt>
                <c:pt idx="40">
                  <c:v>0.67013888888888884</c:v>
                </c:pt>
                <c:pt idx="41">
                  <c:v>0.65</c:v>
                </c:pt>
              </c:numCache>
            </c:numRef>
          </c:val>
          <c:smooth val="0"/>
          <c:extLst>
            <c:ext xmlns:c16="http://schemas.microsoft.com/office/drawing/2014/chart" uri="{C3380CC4-5D6E-409C-BE32-E72D297353CC}">
              <c16:uniqueId val="{00000002-F1BE-4B4B-B8A5-E0391145EF59}"/>
            </c:ext>
          </c:extLst>
        </c:ser>
        <c:dLbls>
          <c:showLegendKey val="0"/>
          <c:showVal val="0"/>
          <c:showCatName val="0"/>
          <c:showSerName val="0"/>
          <c:showPercent val="0"/>
          <c:showBubbleSize val="0"/>
        </c:dLbls>
        <c:marker val="1"/>
        <c:smooth val="0"/>
        <c:axId val="1112892719"/>
        <c:axId val="1"/>
      </c:lineChart>
      <c:catAx>
        <c:axId val="1112892719"/>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112892719"/>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34D7-4C69-BBCC-834F89E37F4E}"/>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D7-4C69-BBCC-834F89E37F4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34D7-4C69-BBCC-834F89E37F4E}"/>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D7-4C69-BBCC-834F89E37F4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34D7-4C69-BBCC-834F89E37F4E}"/>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D7-4C69-BBCC-834F89E37F4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34D7-4C69-BBCC-834F89E37F4E}"/>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D7-4C69-BBCC-834F89E37F4E}"/>
                </c:ext>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D7-4C69-BBCC-834F89E37F4E}"/>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34D7-4C69-BBCC-834F89E37F4E}"/>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D7-4C69-BBCC-834F89E37F4E}"/>
                </c:ext>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D7-4C69-BBCC-834F89E37F4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34D7-4C69-BBCC-834F89E37F4E}"/>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34D7-4C69-BBCC-834F89E37F4E}"/>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4D7-4C69-BBCC-834F89E37F4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34D7-4C69-BBCC-834F89E37F4E}"/>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34D7-4C69-BBCC-834F89E37F4E}"/>
            </c:ext>
          </c:extLst>
        </c:ser>
        <c:dLbls>
          <c:showLegendKey val="0"/>
          <c:showVal val="1"/>
          <c:showCatName val="0"/>
          <c:showSerName val="0"/>
          <c:showPercent val="0"/>
          <c:showBubbleSize val="0"/>
        </c:dLbls>
        <c:gapWidth val="110"/>
        <c:overlap val="50"/>
        <c:axId val="988509215"/>
        <c:axId val="1"/>
      </c:barChart>
      <c:catAx>
        <c:axId val="988509215"/>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88509215"/>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1-B392-41BC-B4EB-7296411A35B1}"/>
            </c:ext>
          </c:extLst>
        </c:ser>
        <c:dLbls>
          <c:showLegendKey val="0"/>
          <c:showVal val="0"/>
          <c:showCatName val="0"/>
          <c:showSerName val="0"/>
          <c:showPercent val="0"/>
          <c:showBubbleSize val="0"/>
        </c:dLbls>
        <c:marker val="1"/>
        <c:smooth val="0"/>
        <c:axId val="1107084639"/>
        <c:axId val="1"/>
      </c:lineChart>
      <c:catAx>
        <c:axId val="1107084639"/>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07084639"/>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D871-41D5-969C-2F88AF4B36C3}"/>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D871-41D5-969C-2F88AF4B36C3}"/>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D871-41D5-969C-2F88AF4B36C3}"/>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D871-41D5-969C-2F88AF4B36C3}"/>
                </c:ext>
              </c:extLst>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71-41D5-969C-2F88AF4B36C3}"/>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D871-41D5-969C-2F88AF4B36C3}"/>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D871-41D5-969C-2F88AF4B36C3}"/>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D871-41D5-969C-2F88AF4B36C3}"/>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D871-41D5-969C-2F88AF4B36C3}"/>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D871-41D5-969C-2F88AF4B36C3}"/>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D871-41D5-969C-2F88AF4B36C3}"/>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D871-41D5-969C-2F88AF4B36C3}"/>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D871-41D5-969C-2F88AF4B36C3}"/>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D871-41D5-969C-2F88AF4B36C3}"/>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D871-41D5-969C-2F88AF4B36C3}"/>
                </c:ext>
              </c:extLst>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871-41D5-969C-2F88AF4B36C3}"/>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D871-41D5-969C-2F88AF4B36C3}"/>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D871-41D5-969C-2F88AF4B36C3}"/>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D871-41D5-969C-2F88AF4B36C3}"/>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D871-41D5-969C-2F88AF4B36C3}"/>
            </c:ext>
          </c:extLst>
        </c:ser>
        <c:dLbls>
          <c:showLegendKey val="0"/>
          <c:showVal val="1"/>
          <c:showCatName val="0"/>
          <c:showSerName val="0"/>
          <c:showPercent val="0"/>
          <c:showBubbleSize val="0"/>
        </c:dLbls>
        <c:gapWidth val="150"/>
        <c:axId val="1107084159"/>
        <c:axId val="1"/>
      </c:barChart>
      <c:catAx>
        <c:axId val="110708415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107084159"/>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3A25-4EC6-9E5B-2E90D673585C}"/>
            </c:ext>
          </c:extLst>
        </c:ser>
        <c:dLbls>
          <c:showLegendKey val="0"/>
          <c:showVal val="0"/>
          <c:showCatName val="0"/>
          <c:showSerName val="0"/>
          <c:showPercent val="0"/>
          <c:showBubbleSize val="0"/>
        </c:dLbls>
        <c:gapWidth val="150"/>
        <c:axId val="1107090399"/>
        <c:axId val="1"/>
      </c:barChart>
      <c:catAx>
        <c:axId val="110709039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107090399"/>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36D-4ACB-A893-B85543C19A9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836D-4ACB-A893-B85543C19A92}"/>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836D-4ACB-A893-B85543C19A92}"/>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836D-4ACB-A893-B85543C19A92}"/>
            </c:ext>
          </c:extLst>
        </c:ser>
        <c:dLbls>
          <c:showLegendKey val="0"/>
          <c:showVal val="0"/>
          <c:showCatName val="0"/>
          <c:showSerName val="0"/>
          <c:showPercent val="0"/>
          <c:showBubbleSize val="0"/>
        </c:dLbls>
        <c:marker val="1"/>
        <c:smooth val="0"/>
        <c:axId val="1107089439"/>
        <c:axId val="1"/>
      </c:lineChart>
      <c:dateAx>
        <c:axId val="1107089439"/>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07089439"/>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4DC7-48ED-A515-53499DCC931B}"/>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2-4DC7-48ED-A515-53499DCC931B}"/>
            </c:ext>
          </c:extLst>
        </c:ser>
        <c:dLbls>
          <c:showLegendKey val="0"/>
          <c:showVal val="0"/>
          <c:showCatName val="0"/>
          <c:showSerName val="0"/>
          <c:showPercent val="0"/>
          <c:showBubbleSize val="0"/>
        </c:dLbls>
        <c:marker val="1"/>
        <c:smooth val="0"/>
        <c:axId val="987078831"/>
        <c:axId val="1"/>
      </c:lineChart>
      <c:catAx>
        <c:axId val="987078831"/>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987078831"/>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2.8862502704616128E-2"/>
          <c:y val="0.14406819404405577"/>
          <c:w val="0.88794640673613145"/>
          <c:h val="0.63559497372377549"/>
        </c:manualLayout>
      </c:layout>
      <c:barChart>
        <c:barDir val="col"/>
        <c:grouping val="stacked"/>
        <c:varyColors val="0"/>
        <c:ser>
          <c:idx val="0"/>
          <c:order val="0"/>
          <c:tx>
            <c:strRef>
              <c:f>'Graph Data Oct 08'!$AH$15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994929000199791"/>
                  <c:y val="0.7372901695195796"/>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72-476C-BCCD-0D26A3E6D666}"/>
                </c:ext>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08'!$AB$15:$AG$15</c:f>
              <c:numCache>
                <c:formatCode>General</c:formatCode>
                <c:ptCount val="6"/>
                <c:pt idx="0">
                  <c:v>3</c:v>
                </c:pt>
                <c:pt idx="1">
                  <c:v>2</c:v>
                </c:pt>
                <c:pt idx="2">
                  <c:v>3</c:v>
                </c:pt>
                <c:pt idx="3">
                  <c:v>8</c:v>
                </c:pt>
                <c:pt idx="4">
                  <c:v>2</c:v>
                </c:pt>
                <c:pt idx="5">
                  <c:v>1</c:v>
                </c:pt>
              </c:numCache>
            </c:numRef>
          </c:val>
          <c:extLst>
            <c:ext xmlns:c16="http://schemas.microsoft.com/office/drawing/2014/chart" uri="{C3380CC4-5D6E-409C-BE32-E72D297353CC}">
              <c16:uniqueId val="{00000001-A172-476C-BCCD-0D26A3E6D666}"/>
            </c:ext>
          </c:extLst>
        </c:ser>
        <c:ser>
          <c:idx val="1"/>
          <c:order val="1"/>
          <c:tx>
            <c:strRef>
              <c:f>'Graph Data Oct 08'!$AH$16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2903236503240151"/>
                  <c:y val="0.6779679719720271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72-476C-BCCD-0D26A3E6D666}"/>
                </c:ext>
              </c:extLst>
            </c:dLbl>
            <c:dLbl>
              <c:idx val="1"/>
              <c:layout>
                <c:manualLayout>
                  <c:xMode val="edge"/>
                  <c:yMode val="edge"/>
                  <c:x val="0.21052649031602352"/>
                  <c:y val="0.63559497372377549"/>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72-476C-BCCD-0D26A3E6D666}"/>
                </c:ext>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08'!$AB$16:$AG$16</c:f>
              <c:numCache>
                <c:formatCode>General</c:formatCode>
                <c:ptCount val="6"/>
                <c:pt idx="0">
                  <c:v>9</c:v>
                </c:pt>
                <c:pt idx="1">
                  <c:v>17</c:v>
                </c:pt>
                <c:pt idx="2">
                  <c:v>57</c:v>
                </c:pt>
                <c:pt idx="3">
                  <c:v>16</c:v>
                </c:pt>
                <c:pt idx="4">
                  <c:v>2</c:v>
                </c:pt>
                <c:pt idx="5">
                  <c:v>5</c:v>
                </c:pt>
              </c:numCache>
            </c:numRef>
          </c:val>
          <c:extLst>
            <c:ext xmlns:c16="http://schemas.microsoft.com/office/drawing/2014/chart" uri="{C3380CC4-5D6E-409C-BE32-E72D297353CC}">
              <c16:uniqueId val="{00000004-A172-476C-BCCD-0D26A3E6D666}"/>
            </c:ext>
          </c:extLst>
        </c:ser>
        <c:ser>
          <c:idx val="2"/>
          <c:order val="2"/>
          <c:tx>
            <c:strRef>
              <c:f>'Graph Data Oct 08'!$AH$17</c:f>
              <c:strCache>
                <c:ptCount val="1"/>
                <c:pt idx="0">
                  <c:v>EBS</c:v>
                </c:pt>
              </c:strCache>
            </c:strRef>
          </c:tx>
          <c:spPr>
            <a:solidFill>
              <a:srgbClr val="FFFFCC"/>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08'!$AB$17:$AG$17</c:f>
              <c:numCache>
                <c:formatCode>General</c:formatCode>
                <c:ptCount val="6"/>
              </c:numCache>
            </c:numRef>
          </c:val>
          <c:extLst>
            <c:ext xmlns:c16="http://schemas.microsoft.com/office/drawing/2014/chart" uri="{C3380CC4-5D6E-409C-BE32-E72D297353CC}">
              <c16:uniqueId val="{00000005-A172-476C-BCCD-0D26A3E6D666}"/>
            </c:ext>
          </c:extLst>
        </c:ser>
        <c:ser>
          <c:idx val="3"/>
          <c:order val="3"/>
          <c:tx>
            <c:strRef>
              <c:f>'Graph Data Oct 08'!$AH$18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08'!$AB$18:$AG$18</c:f>
              <c:numCache>
                <c:formatCode>General</c:formatCode>
                <c:ptCount val="6"/>
                <c:pt idx="5">
                  <c:v>5</c:v>
                </c:pt>
              </c:numCache>
            </c:numRef>
          </c:val>
          <c:extLst>
            <c:ext xmlns:c16="http://schemas.microsoft.com/office/drawing/2014/chart" uri="{C3380CC4-5D6E-409C-BE32-E72D297353CC}">
              <c16:uniqueId val="{00000006-A172-476C-BCCD-0D26A3E6D666}"/>
            </c:ext>
          </c:extLst>
        </c:ser>
        <c:ser>
          <c:idx val="4"/>
          <c:order val="4"/>
          <c:tx>
            <c:strRef>
              <c:f>'Graph Data Oct 08'!$AH$19</c:f>
              <c:strCache>
                <c:ptCount val="1"/>
                <c:pt idx="0">
                  <c:v>EES</c:v>
                </c:pt>
              </c:strCache>
            </c:strRef>
          </c:tx>
          <c:spPr>
            <a:solidFill>
              <a:srgbClr val="660066"/>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08'!$AB$19:$AG$19</c:f>
              <c:numCache>
                <c:formatCode>General</c:formatCode>
                <c:ptCount val="6"/>
              </c:numCache>
            </c:numRef>
          </c:val>
          <c:extLst>
            <c:ext xmlns:c16="http://schemas.microsoft.com/office/drawing/2014/chart" uri="{C3380CC4-5D6E-409C-BE32-E72D297353CC}">
              <c16:uniqueId val="{00000007-A172-476C-BCCD-0D26A3E6D666}"/>
            </c:ext>
          </c:extLst>
        </c:ser>
        <c:ser>
          <c:idx val="5"/>
          <c:order val="5"/>
          <c:tx>
            <c:strRef>
              <c:f>'Graph Data Oct 08'!$AH$20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2224118792543301"/>
                  <c:y val="0.6242955075242416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72-476C-BCCD-0D26A3E6D666}"/>
                </c:ext>
              </c:extLst>
            </c:dLbl>
            <c:dLbl>
              <c:idx val="1"/>
              <c:layout>
                <c:manualLayout>
                  <c:xMode val="edge"/>
                  <c:yMode val="edge"/>
                  <c:x val="0.25806473006480302"/>
                  <c:y val="0.4887019131298363"/>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72-476C-BCCD-0D26A3E6D666}"/>
                </c:ext>
              </c:extLst>
            </c:dLbl>
            <c:dLbl>
              <c:idx val="2"/>
              <c:layout>
                <c:manualLayout>
                  <c:xMode val="edge"/>
                  <c:yMode val="edge"/>
                  <c:x val="0.41595959780182068"/>
                  <c:y val="0.175141726092773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72-476C-BCCD-0D26A3E6D666}"/>
                </c:ext>
              </c:extLst>
            </c:dLbl>
            <c:dLbl>
              <c:idx val="3"/>
              <c:layout>
                <c:manualLayout>
                  <c:xMode val="edge"/>
                  <c:yMode val="edge"/>
                  <c:x val="0.5365029914505115"/>
                  <c:y val="0.5113008455289038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72-476C-BCCD-0D26A3E6D666}"/>
                </c:ext>
              </c:extLst>
            </c:dLbl>
            <c:dLbl>
              <c:idx val="4"/>
              <c:layout>
                <c:manualLayout>
                  <c:xMode val="edge"/>
                  <c:yMode val="edge"/>
                  <c:x val="0.7028868305712398"/>
                  <c:y val="0.66949337232237682"/>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72-476C-BCCD-0D26A3E6D666}"/>
                </c:ext>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08'!$AB$20:$AG$20</c:f>
              <c:numCache>
                <c:formatCode>General</c:formatCode>
                <c:ptCount val="6"/>
                <c:pt idx="0">
                  <c:v>1</c:v>
                </c:pt>
                <c:pt idx="1">
                  <c:v>17</c:v>
                </c:pt>
                <c:pt idx="2">
                  <c:v>6</c:v>
                </c:pt>
                <c:pt idx="3">
                  <c:v>5</c:v>
                </c:pt>
                <c:pt idx="4">
                  <c:v>9</c:v>
                </c:pt>
                <c:pt idx="5">
                  <c:v>9</c:v>
                </c:pt>
              </c:numCache>
            </c:numRef>
          </c:val>
          <c:extLst>
            <c:ext xmlns:c16="http://schemas.microsoft.com/office/drawing/2014/chart" uri="{C3380CC4-5D6E-409C-BE32-E72D297353CC}">
              <c16:uniqueId val="{0000000D-A172-476C-BCCD-0D26A3E6D666}"/>
            </c:ext>
          </c:extLst>
        </c:ser>
        <c:dLbls>
          <c:showLegendKey val="0"/>
          <c:showVal val="0"/>
          <c:showCatName val="0"/>
          <c:showSerName val="0"/>
          <c:showPercent val="0"/>
          <c:showBubbleSize val="0"/>
        </c:dLbls>
        <c:gapWidth val="0"/>
        <c:overlap val="100"/>
        <c:axId val="1112892239"/>
        <c:axId val="1"/>
      </c:barChart>
      <c:catAx>
        <c:axId val="1112892239"/>
        <c:scaling>
          <c:orientation val="minMax"/>
        </c:scaling>
        <c:delete val="0"/>
        <c:axPos val="b"/>
        <c:title>
          <c:tx>
            <c:rich>
              <a:bodyPr/>
              <a:lstStyle/>
              <a:p>
                <a:pPr>
                  <a:defRPr sz="950" b="1" i="0" u="none" strike="noStrike" baseline="0">
                    <a:solidFill>
                      <a:srgbClr val="000000"/>
                    </a:solidFill>
                    <a:latin typeface="Arial"/>
                    <a:ea typeface="Arial"/>
                    <a:cs typeface="Arial"/>
                  </a:defRPr>
                </a:pPr>
                <a:r>
                  <a:rPr lang="en-US"/>
                  <a:t>Week Beginning</a:t>
                </a:r>
              </a:p>
            </c:rich>
          </c:tx>
          <c:layout>
            <c:manualLayout>
              <c:xMode val="edge"/>
              <c:yMode val="edge"/>
              <c:x val="0.380305917990236"/>
              <c:y val="0.86723403081421813"/>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12892239"/>
        <c:crossesAt val="65503"/>
        <c:crossBetween val="between"/>
      </c:valAx>
      <c:spPr>
        <a:solidFill>
          <a:srgbClr val="FFFFFF"/>
        </a:solidFill>
        <a:ln w="12700">
          <a:solidFill>
            <a:srgbClr val="808080"/>
          </a:solidFill>
          <a:prstDash val="solid"/>
        </a:ln>
      </c:spPr>
    </c:plotArea>
    <c:legend>
      <c:legendPos val="r"/>
      <c:layout>
        <c:manualLayout>
          <c:xMode val="edge"/>
          <c:yMode val="edge"/>
          <c:x val="0.90492434950355272"/>
          <c:y val="0.21468985779114194"/>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8.8741721854304637E-2"/>
          <c:y val="0.18448675086549821"/>
          <c:w val="0.64768211920529806"/>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11BB-4B0A-818B-70BCD498C41D}"/>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11BB-4B0A-818B-70BCD498C41D}"/>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11BB-4B0A-818B-70BCD498C41D}"/>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11BB-4B0A-818B-70BCD498C41D}"/>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11BB-4B0A-818B-70BCD498C41D}"/>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11BB-4B0A-818B-70BCD498C41D}"/>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11BB-4B0A-818B-70BCD498C41D}"/>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11BB-4B0A-818B-70BCD498C41D}"/>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11BB-4B0A-818B-70BCD498C41D}"/>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11BB-4B0A-818B-70BCD498C41D}"/>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11BB-4B0A-818B-70BCD498C41D}"/>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11BB-4B0A-818B-70BCD498C41D}"/>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11BB-4B0A-818B-70BCD498C41D}"/>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11BB-4B0A-818B-70BCD498C41D}"/>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11BB-4B0A-818B-70BCD498C41D}"/>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11BB-4B0A-818B-70BCD498C41D}"/>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11BB-4B0A-818B-70BCD498C41D}"/>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11BB-4B0A-818B-70BCD498C41D}"/>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11BB-4B0A-818B-70BCD498C41D}"/>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11BB-4B0A-818B-70BCD498C41D}"/>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11BB-4B0A-818B-70BCD498C41D}"/>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11BB-4B0A-818B-70BCD498C41D}"/>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11BB-4B0A-818B-70BCD498C41D}"/>
            </c:ext>
          </c:extLst>
        </c:ser>
        <c:ser>
          <c:idx val="0"/>
          <c:order val="23"/>
          <c:tx>
            <c:strRef>
              <c:f>[2]Summary!$A$8:$E$8</c:f>
              <c:strCache>
                <c:ptCount val="1"/>
                <c:pt idx="0">
                  <c:v>Broadband</c:v>
                </c:pt>
              </c:strCache>
            </c:strRef>
          </c:tx>
          <c:spPr>
            <a:solidFill>
              <a:srgbClr val="9999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[2]Summary!$K$8:$AG$8</c:f>
              <c:numCache>
                <c:formatCode>General</c:formatCode>
                <c:ptCount val="23"/>
              </c:numCache>
            </c:numRef>
          </c:val>
          <c:extLst>
            <c:ext xmlns:c16="http://schemas.microsoft.com/office/drawing/2014/chart" uri="{C3380CC4-5D6E-409C-BE32-E72D297353CC}">
              <c16:uniqueId val="{00000017-11BB-4B0A-818B-70BCD498C41D}"/>
            </c:ext>
          </c:extLst>
        </c:ser>
        <c:ser>
          <c:idx val="1"/>
          <c:order val="24"/>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[2]Summary!$K$9:$AG$9</c:f>
              <c:numCache>
                <c:formatCode>General</c:formatCode>
                <c:ptCount val="23"/>
              </c:numCache>
            </c:numRef>
          </c:val>
          <c:extLst>
            <c:ext xmlns:c16="http://schemas.microsoft.com/office/drawing/2014/chart" uri="{C3380CC4-5D6E-409C-BE32-E72D297353CC}">
              <c16:uniqueId val="{00000018-11BB-4B0A-818B-70BCD498C41D}"/>
            </c:ext>
          </c:extLst>
        </c:ser>
        <c:ser>
          <c:idx val="2"/>
          <c:order val="25"/>
          <c:tx>
            <c:strRef>
              <c:f>[2]Summary!$A$10:$E$10</c:f>
              <c:strCache>
                <c:ptCount val="1"/>
                <c:pt idx="0">
                  <c:v>Coal</c:v>
                </c:pt>
              </c:strCache>
            </c:strRef>
          </c:tx>
          <c:spPr>
            <a:solidFill>
              <a:srgbClr val="FFFF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[2]Summary!$K$10:$AG$10</c:f>
              <c:numCache>
                <c:formatCode>General</c:formatCode>
                <c:ptCount val="23"/>
              </c:numCache>
            </c:numRef>
          </c:val>
          <c:extLst>
            <c:ext xmlns:c16="http://schemas.microsoft.com/office/drawing/2014/chart" uri="{C3380CC4-5D6E-409C-BE32-E72D297353CC}">
              <c16:uniqueId val="{00000019-11BB-4B0A-818B-70BCD498C41D}"/>
            </c:ext>
          </c:extLst>
        </c:ser>
        <c:ser>
          <c:idx val="3"/>
          <c:order val="26"/>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[2]Summary!$K$11:$AG$11</c:f>
              <c:numCache>
                <c:formatCode>General</c:formatCode>
                <c:ptCount val="23"/>
              </c:numCache>
            </c:numRef>
          </c:val>
          <c:extLst>
            <c:ext xmlns:c16="http://schemas.microsoft.com/office/drawing/2014/chart" uri="{C3380CC4-5D6E-409C-BE32-E72D297353CC}">
              <c16:uniqueId val="{0000001A-11BB-4B0A-818B-70BCD498C41D}"/>
            </c:ext>
          </c:extLst>
        </c:ser>
        <c:ser>
          <c:idx val="4"/>
          <c:order val="27"/>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[2]Summary!$K$12:$AG$12</c:f>
              <c:numCache>
                <c:formatCode>General</c:formatCode>
                <c:ptCount val="23"/>
              </c:numCache>
            </c:numRef>
          </c:val>
          <c:extLst>
            <c:ext xmlns:c16="http://schemas.microsoft.com/office/drawing/2014/chart" uri="{C3380CC4-5D6E-409C-BE32-E72D297353CC}">
              <c16:uniqueId val="{0000001B-11BB-4B0A-818B-70BCD498C41D}"/>
            </c:ext>
          </c:extLst>
        </c:ser>
        <c:ser>
          <c:idx val="5"/>
          <c:order val="28"/>
          <c:tx>
            <c:strRef>
              <c:f>[2]Summary!$A$13:$E$13</c:f>
              <c:strCache>
                <c:ptCount val="1"/>
                <c:pt idx="0">
                  <c:v>EES/EWS</c:v>
                </c:pt>
              </c:strCache>
            </c:strRef>
          </c:tx>
          <c:spPr>
            <a:solidFill>
              <a:srgbClr val="FF8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[2]Summary!$K$13:$AG$13</c:f>
              <c:numCache>
                <c:formatCode>General</c:formatCode>
                <c:ptCount val="23"/>
                <c:pt idx="0">
                  <c:v>-32303.822</c:v>
                </c:pt>
                <c:pt idx="1">
                  <c:v>4327.2713099999983</c:v>
                </c:pt>
                <c:pt idx="2">
                  <c:v>-5180.558</c:v>
                </c:pt>
                <c:pt idx="3">
                  <c:v>0</c:v>
                </c:pt>
                <c:pt idx="4">
                  <c:v>0</c:v>
                </c:pt>
                <c:pt idx="5">
                  <c:v>-2878.2560000000008</c:v>
                </c:pt>
                <c:pt idx="6">
                  <c:v>-2878.265159999999</c:v>
                </c:pt>
                <c:pt idx="7">
                  <c:v>-1702.6640000000007</c:v>
                </c:pt>
                <c:pt idx="8">
                  <c:v>0</c:v>
                </c:pt>
                <c:pt idx="9">
                  <c:v>-3042.1180000000013</c:v>
                </c:pt>
                <c:pt idx="10">
                  <c:v>0</c:v>
                </c:pt>
                <c:pt idx="11">
                  <c:v>-3449.9170000000004</c:v>
                </c:pt>
                <c:pt idx="12">
                  <c:v>2202.3159999999998</c:v>
                </c:pt>
                <c:pt idx="13">
                  <c:v>0</c:v>
                </c:pt>
                <c:pt idx="14">
                  <c:v>0</c:v>
                </c:pt>
                <c:pt idx="15">
                  <c:v>0</c:v>
                </c:pt>
                <c:pt idx="16">
                  <c:v>0</c:v>
                </c:pt>
                <c:pt idx="17">
                  <c:v>0</c:v>
                </c:pt>
                <c:pt idx="18">
                  <c:v>2072.424</c:v>
                </c:pt>
                <c:pt idx="19">
                  <c:v>0</c:v>
                </c:pt>
                <c:pt idx="20">
                  <c:v>1148.0819999999992</c:v>
                </c:pt>
                <c:pt idx="21">
                  <c:v>-3854.5340000000001</c:v>
                </c:pt>
                <c:pt idx="22">
                  <c:v>2646.8300000000004</c:v>
                </c:pt>
              </c:numCache>
            </c:numRef>
          </c:val>
          <c:extLst>
            <c:ext xmlns:c16="http://schemas.microsoft.com/office/drawing/2014/chart" uri="{C3380CC4-5D6E-409C-BE32-E72D297353CC}">
              <c16:uniqueId val="{0000001C-11BB-4B0A-818B-70BCD498C41D}"/>
            </c:ext>
          </c:extLst>
        </c:ser>
        <c:ser>
          <c:idx val="6"/>
          <c:order val="29"/>
          <c:tx>
            <c:strRef>
              <c:f>[2]Summary!$A$14:$E$14</c:f>
              <c:strCache>
                <c:ptCount val="1"/>
                <c:pt idx="0">
                  <c:v>Freight</c:v>
                </c:pt>
              </c:strCache>
            </c:strRef>
          </c:tx>
          <c:spPr>
            <a:solidFill>
              <a:srgbClr val="0066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[2]Summary!$K$14:$AG$14</c:f>
              <c:numCache>
                <c:formatCode>General</c:formatCode>
                <c:ptCount val="23"/>
              </c:numCache>
            </c:numRef>
          </c:val>
          <c:extLst>
            <c:ext xmlns:c16="http://schemas.microsoft.com/office/drawing/2014/chart" uri="{C3380CC4-5D6E-409C-BE32-E72D297353CC}">
              <c16:uniqueId val="{0000001D-11BB-4B0A-818B-70BCD498C41D}"/>
            </c:ext>
          </c:extLst>
        </c:ser>
        <c:ser>
          <c:idx val="7"/>
          <c:order val="30"/>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[2]Summary!$K$15:$AG$15</c:f>
              <c:numCache>
                <c:formatCode>General</c:formatCode>
                <c:ptCount val="23"/>
                <c:pt idx="0">
                  <c:v>0</c:v>
                </c:pt>
              </c:numCache>
            </c:numRef>
          </c:val>
          <c:extLst>
            <c:ext xmlns:c16="http://schemas.microsoft.com/office/drawing/2014/chart" uri="{C3380CC4-5D6E-409C-BE32-E72D297353CC}">
              <c16:uniqueId val="{0000001E-11BB-4B0A-818B-70BCD498C41D}"/>
            </c:ext>
          </c:extLst>
        </c:ser>
        <c:ser>
          <c:idx val="8"/>
          <c:order val="31"/>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[2]Summary!$K$16:$AG$16</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20">
                  <c:v>-454.01399999999995</c:v>
                </c:pt>
              </c:numCache>
            </c:numRef>
          </c:val>
          <c:extLst>
            <c:ext xmlns:c16="http://schemas.microsoft.com/office/drawing/2014/chart" uri="{C3380CC4-5D6E-409C-BE32-E72D297353CC}">
              <c16:uniqueId val="{0000001F-11BB-4B0A-818B-70BCD498C41D}"/>
            </c:ext>
          </c:extLst>
        </c:ser>
        <c:ser>
          <c:idx val="9"/>
          <c:order val="32"/>
          <c:tx>
            <c:strRef>
              <c:f>[2]Summary!$A$17:$E$17</c:f>
              <c:strCache>
                <c:ptCount val="1"/>
                <c:pt idx="0">
                  <c:v>LNG</c:v>
                </c:pt>
              </c:strCache>
            </c:strRef>
          </c:tx>
          <c:spPr>
            <a:solidFill>
              <a:srgbClr val="FF00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[2]Summary!$K$17:$AG$17</c:f>
              <c:numCache>
                <c:formatCode>General</c:formatCode>
                <c:ptCount val="23"/>
              </c:numCache>
            </c:numRef>
          </c:val>
          <c:extLst>
            <c:ext xmlns:c16="http://schemas.microsoft.com/office/drawing/2014/chart" uri="{C3380CC4-5D6E-409C-BE32-E72D297353CC}">
              <c16:uniqueId val="{00000020-11BB-4B0A-818B-70BCD498C41D}"/>
            </c:ext>
          </c:extLst>
        </c:ser>
        <c:ser>
          <c:idx val="10"/>
          <c:order val="33"/>
          <c:tx>
            <c:strRef>
              <c:f>[2]Summary!$A$18:$E$18</c:f>
              <c:strCache>
                <c:ptCount val="1"/>
                <c:pt idx="0">
                  <c:v>Lumber</c:v>
                </c:pt>
              </c:strCache>
            </c:strRef>
          </c:tx>
          <c:spPr>
            <a:solidFill>
              <a:srgbClr val="FFFF0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[2]Summary!$K$18:$AG$18</c:f>
              <c:numCache>
                <c:formatCode>General</c:formatCode>
                <c:ptCount val="23"/>
              </c:numCache>
            </c:numRef>
          </c:val>
          <c:extLst>
            <c:ext xmlns:c16="http://schemas.microsoft.com/office/drawing/2014/chart" uri="{C3380CC4-5D6E-409C-BE32-E72D297353CC}">
              <c16:uniqueId val="{00000021-11BB-4B0A-818B-70BCD498C41D}"/>
            </c:ext>
          </c:extLst>
        </c:ser>
        <c:ser>
          <c:idx val="11"/>
          <c:order val="34"/>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[2]Summary!$K$19:$AG$19</c:f>
              <c:numCache>
                <c:formatCode>General</c:formatCode>
                <c:ptCount val="23"/>
              </c:numCache>
            </c:numRef>
          </c:val>
          <c:extLst>
            <c:ext xmlns:c16="http://schemas.microsoft.com/office/drawing/2014/chart" uri="{C3380CC4-5D6E-409C-BE32-E72D297353CC}">
              <c16:uniqueId val="{00000022-11BB-4B0A-818B-70BCD498C41D}"/>
            </c:ext>
          </c:extLst>
        </c:ser>
        <c:ser>
          <c:idx val="12"/>
          <c:order val="35"/>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[2]Summary!$K$20:$AG$20</c:f>
              <c:numCache>
                <c:formatCode>General</c:formatCode>
                <c:ptCount val="23"/>
                <c:pt idx="0">
                  <c:v>-4715.0296499999986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37188.545819999999</c:v>
                </c:pt>
                <c:pt idx="18">
                  <c:v>0</c:v>
                </c:pt>
                <c:pt idx="19">
                  <c:v>0</c:v>
                </c:pt>
                <c:pt idx="20">
                  <c:v>0</c:v>
                </c:pt>
                <c:pt idx="21">
                  <c:v>0</c:v>
                </c:pt>
              </c:numCache>
            </c:numRef>
          </c:val>
          <c:extLst>
            <c:ext xmlns:c16="http://schemas.microsoft.com/office/drawing/2014/chart" uri="{C3380CC4-5D6E-409C-BE32-E72D297353CC}">
              <c16:uniqueId val="{00000023-11BB-4B0A-818B-70BCD498C41D}"/>
            </c:ext>
          </c:extLst>
        </c:ser>
        <c:ser>
          <c:idx val="13"/>
          <c:order val="36"/>
          <c:tx>
            <c:strRef>
              <c:f>[2]Summary!$A$21:$E$21</c:f>
              <c:strCache>
                <c:ptCount val="1"/>
                <c:pt idx="0">
                  <c:v>Paper</c:v>
                </c:pt>
              </c:strCache>
            </c:strRef>
          </c:tx>
          <c:spPr>
            <a:solidFill>
              <a:srgbClr val="80000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[2]Summary!$K$21:$AG$21</c:f>
              <c:numCache>
                <c:formatCode>General</c:formatCode>
                <c:ptCount val="23"/>
              </c:numCache>
            </c:numRef>
          </c:val>
          <c:extLst>
            <c:ext xmlns:c16="http://schemas.microsoft.com/office/drawing/2014/chart" uri="{C3380CC4-5D6E-409C-BE32-E72D297353CC}">
              <c16:uniqueId val="{00000024-11BB-4B0A-818B-70BCD498C41D}"/>
            </c:ext>
          </c:extLst>
        </c:ser>
        <c:ser>
          <c:idx val="14"/>
          <c:order val="37"/>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[2]Summary!$K$22:$AG$22</c:f>
              <c:numCache>
                <c:formatCode>General</c:formatCode>
                <c:ptCount val="23"/>
                <c:pt idx="11">
                  <c:v>521.73043999999993</c:v>
                </c:pt>
              </c:numCache>
            </c:numRef>
          </c:val>
          <c:extLst>
            <c:ext xmlns:c16="http://schemas.microsoft.com/office/drawing/2014/chart" uri="{C3380CC4-5D6E-409C-BE32-E72D297353CC}">
              <c16:uniqueId val="{00000025-11BB-4B0A-818B-70BCD498C41D}"/>
            </c:ext>
          </c:extLst>
        </c:ser>
        <c:ser>
          <c:idx val="15"/>
          <c:order val="38"/>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[2]Summary!$K$23:$AG$23</c:f>
              <c:numCache>
                <c:formatCode>General</c:formatCode>
                <c:ptCount val="23"/>
                <c:pt idx="0">
                  <c:v>0</c:v>
                </c:pt>
                <c:pt idx="1">
                  <c:v>0</c:v>
                </c:pt>
                <c:pt idx="2">
                  <c:v>0</c:v>
                </c:pt>
                <c:pt idx="3">
                  <c:v>0</c:v>
                </c:pt>
                <c:pt idx="4">
                  <c:v>0</c:v>
                </c:pt>
                <c:pt idx="5">
                  <c:v>344.28054999999949</c:v>
                </c:pt>
                <c:pt idx="6">
                  <c:v>0</c:v>
                </c:pt>
                <c:pt idx="7">
                  <c:v>0</c:v>
                </c:pt>
                <c:pt idx="8">
                  <c:v>0</c:v>
                </c:pt>
                <c:pt idx="9">
                  <c:v>-353.28329000000031</c:v>
                </c:pt>
                <c:pt idx="10">
                  <c:v>0</c:v>
                </c:pt>
                <c:pt idx="11">
                  <c:v>-312.5136</c:v>
                </c:pt>
                <c:pt idx="12">
                  <c:v>0</c:v>
                </c:pt>
                <c:pt idx="13">
                  <c:v>0</c:v>
                </c:pt>
                <c:pt idx="19">
                  <c:v>931.93002000000001</c:v>
                </c:pt>
                <c:pt idx="20">
                  <c:v>111.1180600000007</c:v>
                </c:pt>
              </c:numCache>
            </c:numRef>
          </c:val>
          <c:extLst>
            <c:ext xmlns:c16="http://schemas.microsoft.com/office/drawing/2014/chart" uri="{C3380CC4-5D6E-409C-BE32-E72D297353CC}">
              <c16:uniqueId val="{00000026-11BB-4B0A-818B-70BCD498C41D}"/>
            </c:ext>
          </c:extLst>
        </c:ser>
        <c:ser>
          <c:idx val="16"/>
          <c:order val="39"/>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[2]Summary!$K$24:$AG$24</c:f>
              <c:numCache>
                <c:formatCode>General</c:formatCode>
                <c:ptCount val="23"/>
                <c:pt idx="11">
                  <c:v>223.70521000000008</c:v>
                </c:pt>
                <c:pt idx="12">
                  <c:v>0</c:v>
                </c:pt>
                <c:pt idx="13">
                  <c:v>0</c:v>
                </c:pt>
                <c:pt idx="19">
                  <c:v>0</c:v>
                </c:pt>
              </c:numCache>
            </c:numRef>
          </c:val>
          <c:extLst>
            <c:ext xmlns:c16="http://schemas.microsoft.com/office/drawing/2014/chart" uri="{C3380CC4-5D6E-409C-BE32-E72D297353CC}">
              <c16:uniqueId val="{00000027-11BB-4B0A-818B-70BCD498C41D}"/>
            </c:ext>
          </c:extLst>
        </c:ser>
        <c:ser>
          <c:idx val="17"/>
          <c:order val="40"/>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[2]Summary!$K$25:$AG$25</c:f>
              <c:numCache>
                <c:formatCode>General</c:formatCode>
                <c:ptCount val="23"/>
              </c:numCache>
            </c:numRef>
          </c:val>
          <c:extLst>
            <c:ext xmlns:c16="http://schemas.microsoft.com/office/drawing/2014/chart" uri="{C3380CC4-5D6E-409C-BE32-E72D297353CC}">
              <c16:uniqueId val="{00000028-11BB-4B0A-818B-70BCD498C41D}"/>
            </c:ext>
          </c:extLst>
        </c:ser>
        <c:ser>
          <c:idx val="18"/>
          <c:order val="41"/>
          <c:tx>
            <c:strRef>
              <c:f>[2]Summary!$A$26:$E$26</c:f>
              <c:strCache>
                <c:ptCount val="1"/>
                <c:pt idx="0">
                  <c:v>Steel</c:v>
                </c:pt>
              </c:strCache>
            </c:strRef>
          </c:tx>
          <c:spPr>
            <a:solidFill>
              <a:srgbClr val="CCFF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[2]Summary!$K$26:$AG$26</c:f>
              <c:numCache>
                <c:formatCode>General</c:formatCode>
                <c:ptCount val="23"/>
              </c:numCache>
            </c:numRef>
          </c:val>
          <c:extLst>
            <c:ext xmlns:c16="http://schemas.microsoft.com/office/drawing/2014/chart" uri="{C3380CC4-5D6E-409C-BE32-E72D297353CC}">
              <c16:uniqueId val="{00000029-11BB-4B0A-818B-70BCD498C41D}"/>
            </c:ext>
          </c:extLst>
        </c:ser>
        <c:ser>
          <c:idx val="19"/>
          <c:order val="42"/>
          <c:tx>
            <c:strRef>
              <c:f>[2]Summary!$A$27:$E$27</c:f>
              <c:strCache>
                <c:ptCount val="1"/>
                <c:pt idx="0">
                  <c:v>Weather</c:v>
                </c:pt>
              </c:strCache>
            </c:strRef>
          </c:tx>
          <c:spPr>
            <a:solidFill>
              <a:srgbClr val="FFFF99"/>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[2]Summary!$K$27:$AG$27</c:f>
              <c:numCache>
                <c:formatCode>General</c:formatCode>
                <c:ptCount val="23"/>
              </c:numCache>
            </c:numRef>
          </c:val>
          <c:extLst>
            <c:ext xmlns:c16="http://schemas.microsoft.com/office/drawing/2014/chart" uri="{C3380CC4-5D6E-409C-BE32-E72D297353CC}">
              <c16:uniqueId val="{0000002A-11BB-4B0A-818B-70BCD498C41D}"/>
            </c:ext>
          </c:extLst>
        </c:ser>
        <c:ser>
          <c:idx val="20"/>
          <c:order val="43"/>
          <c:tx>
            <c:strRef>
              <c:f>[2]Summary!$A$28:$E$28</c:f>
              <c:strCache>
                <c:ptCount val="1"/>
                <c:pt idx="0">
                  <c:v>EEL</c:v>
                </c:pt>
              </c:strCache>
            </c:strRef>
          </c:tx>
          <c:spPr>
            <a:solidFill>
              <a:srgbClr val="99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[2]Summary!$K$28:$AG$28</c:f>
              <c:numCache>
                <c:formatCode>General</c:formatCode>
                <c:ptCount val="23"/>
                <c:pt idx="0">
                  <c:v>0</c:v>
                </c:pt>
                <c:pt idx="1">
                  <c:v>418.55201999999917</c:v>
                </c:pt>
                <c:pt idx="2">
                  <c:v>0</c:v>
                </c:pt>
                <c:pt idx="3">
                  <c:v>0</c:v>
                </c:pt>
                <c:pt idx="4">
                  <c:v>0</c:v>
                </c:pt>
                <c:pt idx="5">
                  <c:v>-844.91970000000038</c:v>
                </c:pt>
                <c:pt idx="6">
                  <c:v>0</c:v>
                </c:pt>
                <c:pt idx="7">
                  <c:v>-9243.2155400000029</c:v>
                </c:pt>
                <c:pt idx="8">
                  <c:v>0</c:v>
                </c:pt>
                <c:pt idx="9">
                  <c:v>0</c:v>
                </c:pt>
                <c:pt idx="10">
                  <c:v>0</c:v>
                </c:pt>
                <c:pt idx="11">
                  <c:v>780</c:v>
                </c:pt>
                <c:pt idx="12">
                  <c:v>263.54219000000376</c:v>
                </c:pt>
                <c:pt idx="20">
                  <c:v>0</c:v>
                </c:pt>
                <c:pt idx="21">
                  <c:v>0</c:v>
                </c:pt>
                <c:pt idx="22">
                  <c:v>0</c:v>
                </c:pt>
              </c:numCache>
            </c:numRef>
          </c:val>
          <c:extLst>
            <c:ext xmlns:c16="http://schemas.microsoft.com/office/drawing/2014/chart" uri="{C3380CC4-5D6E-409C-BE32-E72D297353CC}">
              <c16:uniqueId val="{0000002B-11BB-4B0A-818B-70BCD498C41D}"/>
            </c:ext>
          </c:extLst>
        </c:ser>
        <c:ser>
          <c:idx val="21"/>
          <c:order val="44"/>
          <c:tx>
            <c:strRef>
              <c:f>[2]Summary!$A$29:$E$29</c:f>
              <c:strCache>
                <c:ptCount val="1"/>
                <c:pt idx="0">
                  <c:v>DRAM</c:v>
                </c:pt>
              </c:strCache>
            </c:strRef>
          </c:tx>
          <c:spPr>
            <a:solidFill>
              <a:srgbClr val="FF99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[2]Summary!$K$29:$AG$29</c:f>
              <c:numCache>
                <c:formatCode>General</c:formatCode>
                <c:ptCount val="23"/>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2C-11BB-4B0A-818B-70BCD498C41D}"/>
            </c:ext>
          </c:extLst>
        </c:ser>
        <c:ser>
          <c:idx val="22"/>
          <c:order val="45"/>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[2]Summary!$K$30:$AG$30</c:f>
              <c:numCache>
                <c:formatCode>General</c:formatCode>
                <c:ptCount val="23"/>
                <c:pt idx="0">
                  <c:v>1756.6984800000064</c:v>
                </c:pt>
                <c:pt idx="1">
                  <c:v>-993.20510000000468</c:v>
                </c:pt>
                <c:pt idx="2">
                  <c:v>153.06785000000218</c:v>
                </c:pt>
                <c:pt idx="3">
                  <c:v>0</c:v>
                </c:pt>
                <c:pt idx="4">
                  <c:v>0</c:v>
                </c:pt>
                <c:pt idx="5">
                  <c:v>1655.5178199999987</c:v>
                </c:pt>
                <c:pt idx="6">
                  <c:v>368.17946999996275</c:v>
                </c:pt>
                <c:pt idx="7">
                  <c:v>207.29042000001391</c:v>
                </c:pt>
                <c:pt idx="8">
                  <c:v>0</c:v>
                </c:pt>
                <c:pt idx="9">
                  <c:v>2041.2994499999968</c:v>
                </c:pt>
                <c:pt idx="10">
                  <c:v>0</c:v>
                </c:pt>
                <c:pt idx="11">
                  <c:v>408.69374000000244</c:v>
                </c:pt>
                <c:pt idx="12">
                  <c:v>52.123350000004393</c:v>
                </c:pt>
                <c:pt idx="13">
                  <c:v>0</c:v>
                </c:pt>
                <c:pt idx="14">
                  <c:v>0</c:v>
                </c:pt>
                <c:pt idx="15">
                  <c:v>1177.2462899999991</c:v>
                </c:pt>
                <c:pt idx="16">
                  <c:v>0</c:v>
                </c:pt>
                <c:pt idx="17">
                  <c:v>5963.9907799999928</c:v>
                </c:pt>
                <c:pt idx="18">
                  <c:v>3573.7982999999995</c:v>
                </c:pt>
                <c:pt idx="19">
                  <c:v>-4693.9400599999935</c:v>
                </c:pt>
                <c:pt idx="20">
                  <c:v>305.20200999999452</c:v>
                </c:pt>
                <c:pt idx="21">
                  <c:v>158.88641000000689</c:v>
                </c:pt>
                <c:pt idx="22">
                  <c:v>616.16316000000506</c:v>
                </c:pt>
              </c:numCache>
            </c:numRef>
          </c:val>
          <c:extLst>
            <c:ext xmlns:c16="http://schemas.microsoft.com/office/drawing/2014/chart" uri="{C3380CC4-5D6E-409C-BE32-E72D297353CC}">
              <c16:uniqueId val="{0000002D-11BB-4B0A-818B-70BCD498C41D}"/>
            </c:ext>
          </c:extLst>
        </c:ser>
        <c:dLbls>
          <c:showLegendKey val="0"/>
          <c:showVal val="0"/>
          <c:showCatName val="0"/>
          <c:showSerName val="0"/>
          <c:showPercent val="0"/>
          <c:showBubbleSize val="0"/>
        </c:dLbls>
        <c:gapWidth val="0"/>
        <c:overlap val="100"/>
        <c:axId val="1112891759"/>
        <c:axId val="1"/>
      </c:barChart>
      <c:dateAx>
        <c:axId val="1112891759"/>
        <c:scaling>
          <c:orientation val="minMax"/>
          <c:min val="37137"/>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12891759"/>
        <c:crosses val="autoZero"/>
        <c:crossBetween val="between"/>
      </c:valAx>
      <c:spPr>
        <a:solidFill>
          <a:srgbClr val="FFFFFF"/>
        </a:solidFill>
        <a:ln w="12700">
          <a:solidFill>
            <a:srgbClr val="808080"/>
          </a:solidFill>
          <a:prstDash val="solid"/>
        </a:ln>
      </c:spPr>
    </c:plotArea>
    <c:legend>
      <c:legendPos val="r"/>
      <c:layout>
        <c:manualLayout>
          <c:xMode val="edge"/>
          <c:yMode val="edge"/>
          <c:x val="0.82781456953642385"/>
          <c:y val="1.0482201753721488E-2"/>
          <c:w val="0.16026490066225166"/>
          <c:h val="0.9832305244990756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extLst>
            <c:ext xmlns:c16="http://schemas.microsoft.com/office/drawing/2014/chart" uri="{C3380CC4-5D6E-409C-BE32-E72D297353CC}">
              <c16:uniqueId val="{00000000-253A-4FC7-A52D-8312584D8475}"/>
            </c:ext>
          </c:extLst>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90581162324649"/>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3A-4FC7-A52D-8312584D8475}"/>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extLst>
            <c:ext xmlns:c16="http://schemas.microsoft.com/office/drawing/2014/chart" uri="{C3380CC4-5D6E-409C-BE32-E72D297353CC}">
              <c16:uniqueId val="{00000002-253A-4FC7-A52D-8312584D8475}"/>
            </c:ext>
          </c:extLst>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3A-4FC7-A52D-8312584D8475}"/>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extLst>
            <c:ext xmlns:c16="http://schemas.microsoft.com/office/drawing/2014/chart" uri="{C3380CC4-5D6E-409C-BE32-E72D297353CC}">
              <c16:uniqueId val="{00000004-253A-4FC7-A52D-8312584D8475}"/>
            </c:ext>
          </c:extLst>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3A-4FC7-A52D-8312584D8475}"/>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extLst>
            <c:ext xmlns:c16="http://schemas.microsoft.com/office/drawing/2014/chart" uri="{C3380CC4-5D6E-409C-BE32-E72D297353CC}">
              <c16:uniqueId val="{00000006-253A-4FC7-A52D-8312584D8475}"/>
            </c:ext>
          </c:extLst>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895791583166331"/>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3A-4FC7-A52D-8312584D8475}"/>
                </c:ext>
              </c:extLst>
            </c:dLbl>
            <c:dLbl>
              <c:idx val="8"/>
              <c:layout>
                <c:manualLayout>
                  <c:xMode val="edge"/>
                  <c:yMode val="edge"/>
                  <c:x val="0.6112224448897795"/>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3A-4FC7-A52D-8312584D8475}"/>
                </c:ext>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extLst>
            <c:ext xmlns:c16="http://schemas.microsoft.com/office/drawing/2014/chart" uri="{C3380CC4-5D6E-409C-BE32-E72D297353CC}">
              <c16:uniqueId val="{00000009-253A-4FC7-A52D-8312584D8475}"/>
            </c:ext>
          </c:extLst>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010020040080165"/>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3A-4FC7-A52D-8312584D8475}"/>
                </c:ext>
              </c:extLst>
            </c:dLbl>
            <c:dLbl>
              <c:idx val="8"/>
              <c:layout>
                <c:manualLayout>
                  <c:xMode val="edge"/>
                  <c:yMode val="edge"/>
                  <c:x val="0.62625250501002006"/>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53A-4FC7-A52D-8312584D8475}"/>
                </c:ext>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253A-4FC7-A52D-8312584D8475}"/>
            </c:ext>
          </c:extLst>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extLst>
            <c:ext xmlns:c16="http://schemas.microsoft.com/office/drawing/2014/chart" uri="{C3380CC4-5D6E-409C-BE32-E72D297353CC}">
              <c16:uniqueId val="{0000000D-253A-4FC7-A52D-8312584D8475}"/>
            </c:ext>
          </c:extLst>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53A-4FC7-A52D-8312584D8475}"/>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253A-4FC7-A52D-8312584D8475}"/>
            </c:ext>
          </c:extLst>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414829659318634"/>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53A-4FC7-A52D-8312584D8475}"/>
                </c:ext>
              </c:extLst>
            </c:dLbl>
            <c:dLbl>
              <c:idx val="8"/>
              <c:layout>
                <c:manualLayout>
                  <c:xMode val="edge"/>
                  <c:yMode val="edge"/>
                  <c:x val="0.63727454909819636"/>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53A-4FC7-A52D-8312584D8475}"/>
                </c:ext>
              </c:extLst>
            </c:dLbl>
            <c:dLbl>
              <c:idx val="9"/>
              <c:layout>
                <c:manualLayout>
                  <c:xMode val="edge"/>
                  <c:yMode val="edge"/>
                  <c:x val="0.70841683366733466"/>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53A-4FC7-A52D-8312584D8475}"/>
                </c:ext>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extLst>
            <c:ext xmlns:c16="http://schemas.microsoft.com/office/drawing/2014/chart" uri="{C3380CC4-5D6E-409C-BE32-E72D297353CC}">
              <c16:uniqueId val="{00000013-253A-4FC7-A52D-8312584D8475}"/>
            </c:ext>
          </c:extLst>
        </c:ser>
        <c:dLbls>
          <c:showLegendKey val="0"/>
          <c:showVal val="1"/>
          <c:showCatName val="0"/>
          <c:showSerName val="0"/>
          <c:showPercent val="0"/>
          <c:showBubbleSize val="0"/>
        </c:dLbls>
        <c:gapWidth val="110"/>
        <c:overlap val="50"/>
        <c:axId val="1111227711"/>
        <c:axId val="1"/>
      </c:barChart>
      <c:catAx>
        <c:axId val="1111227711"/>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11227711"/>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extLst>
            <c:ext xmlns:c16="http://schemas.microsoft.com/office/drawing/2014/chart" uri="{C3380CC4-5D6E-409C-BE32-E72D297353CC}">
              <c16:uniqueId val="{00000001-65B0-4BE4-9D4A-85E986989307}"/>
            </c:ext>
          </c:extLst>
        </c:ser>
        <c:dLbls>
          <c:showLegendKey val="0"/>
          <c:showVal val="0"/>
          <c:showCatName val="0"/>
          <c:showSerName val="0"/>
          <c:showPercent val="0"/>
          <c:showBubbleSize val="0"/>
        </c:dLbls>
        <c:marker val="1"/>
        <c:smooth val="0"/>
        <c:axId val="1111222911"/>
        <c:axId val="1"/>
      </c:lineChart>
      <c:catAx>
        <c:axId val="1111222911"/>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11222911"/>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71681" name="Chart 1">
          <a:extLst>
            <a:ext uri="{FF2B5EF4-FFF2-40B4-BE49-F238E27FC236}">
              <a16:creationId xmlns:a16="http://schemas.microsoft.com/office/drawing/2014/main" id="{BF5639CE-387D-20C8-557A-FAE7D24E3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71682" name="Chart 2">
          <a:extLst>
            <a:ext uri="{FF2B5EF4-FFF2-40B4-BE49-F238E27FC236}">
              <a16:creationId xmlns:a16="http://schemas.microsoft.com/office/drawing/2014/main" id="{A1A5D4E5-2878-BC14-3385-782F93D64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71683" name="Chart 3">
          <a:extLst>
            <a:ext uri="{FF2B5EF4-FFF2-40B4-BE49-F238E27FC236}">
              <a16:creationId xmlns:a16="http://schemas.microsoft.com/office/drawing/2014/main" id="{5313A613-F828-BD7F-A904-A16873781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71684" name="Chart 4">
          <a:extLst>
            <a:ext uri="{FF2B5EF4-FFF2-40B4-BE49-F238E27FC236}">
              <a16:creationId xmlns:a16="http://schemas.microsoft.com/office/drawing/2014/main" id="{3161A7E4-68DE-61CB-FFD3-417CE8E4B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71685" name="AutoShape 5">
          <a:extLst>
            <a:ext uri="{FF2B5EF4-FFF2-40B4-BE49-F238E27FC236}">
              <a16:creationId xmlns:a16="http://schemas.microsoft.com/office/drawing/2014/main" id="{EF3B20C8-1D5F-8F21-A10B-87B58BCB7D67}"/>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71686" name="Chart 6">
          <a:extLst>
            <a:ext uri="{FF2B5EF4-FFF2-40B4-BE49-F238E27FC236}">
              <a16:creationId xmlns:a16="http://schemas.microsoft.com/office/drawing/2014/main" id="{4DC6A982-D953-0613-EDED-637367E33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71687" name="Chart 7">
          <a:extLst>
            <a:ext uri="{FF2B5EF4-FFF2-40B4-BE49-F238E27FC236}">
              <a16:creationId xmlns:a16="http://schemas.microsoft.com/office/drawing/2014/main" id="{E0F1C365-68A0-00E6-7FB5-73F30A535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71688" name="Chart 8">
          <a:extLst>
            <a:ext uri="{FF2B5EF4-FFF2-40B4-BE49-F238E27FC236}">
              <a16:creationId xmlns:a16="http://schemas.microsoft.com/office/drawing/2014/main" id="{CEF3D6EE-9729-02B9-DBDB-96A13031D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a:extLst>
            <a:ext uri="{FF2B5EF4-FFF2-40B4-BE49-F238E27FC236}">
              <a16:creationId xmlns:a16="http://schemas.microsoft.com/office/drawing/2014/main" id="{C2D1415D-40DF-35F4-640B-2403E6DAE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a:extLst>
            <a:ext uri="{FF2B5EF4-FFF2-40B4-BE49-F238E27FC236}">
              <a16:creationId xmlns:a16="http://schemas.microsoft.com/office/drawing/2014/main" id="{1B001B1B-63E3-CA09-8513-14E300D7D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a:extLst>
            <a:ext uri="{FF2B5EF4-FFF2-40B4-BE49-F238E27FC236}">
              <a16:creationId xmlns:a16="http://schemas.microsoft.com/office/drawing/2014/main" id="{F96F3430-923E-6938-A958-989D9A121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a:extLst>
            <a:ext uri="{FF2B5EF4-FFF2-40B4-BE49-F238E27FC236}">
              <a16:creationId xmlns:a16="http://schemas.microsoft.com/office/drawing/2014/main" id="{7F5B9980-30FF-1315-908A-A8F6F7E85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a:extLst>
            <a:ext uri="{FF2B5EF4-FFF2-40B4-BE49-F238E27FC236}">
              <a16:creationId xmlns:a16="http://schemas.microsoft.com/office/drawing/2014/main" id="{1D79DE71-63AF-55AC-DA7F-A06A3382E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a:extLst>
            <a:ext uri="{FF2B5EF4-FFF2-40B4-BE49-F238E27FC236}">
              <a16:creationId xmlns:a16="http://schemas.microsoft.com/office/drawing/2014/main" id="{9F11AC86-00F6-55F8-B6F7-E880686ED6D6}"/>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a:extLst>
            <a:ext uri="{FF2B5EF4-FFF2-40B4-BE49-F238E27FC236}">
              <a16:creationId xmlns:a16="http://schemas.microsoft.com/office/drawing/2014/main" id="{130DBBC7-EBCD-DA49-0C0D-8E315EFD7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a:extLst>
            <a:ext uri="{FF2B5EF4-FFF2-40B4-BE49-F238E27FC236}">
              <a16:creationId xmlns:a16="http://schemas.microsoft.com/office/drawing/2014/main" id="{00E47966-7BB0-4E8E-EA31-44F82AC35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a:extLst>
            <a:ext uri="{FF2B5EF4-FFF2-40B4-BE49-F238E27FC236}">
              <a16:creationId xmlns:a16="http://schemas.microsoft.com/office/drawing/2014/main" id="{745B8D2A-D4A9-732A-3CE4-635670CC8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a:extLst xmlns:a="http://schemas.openxmlformats.org/drawingml/2006/main">
            <a:ext uri="{FF2B5EF4-FFF2-40B4-BE49-F238E27FC236}">
              <a16:creationId xmlns:a16="http://schemas.microsoft.com/office/drawing/2014/main" id="{F759A97E-68FE-70B9-D1AB-2A89DDAC5EDC}"/>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a:extLst xmlns:a="http://schemas.openxmlformats.org/drawingml/2006/main">
            <a:ext uri="{FF2B5EF4-FFF2-40B4-BE49-F238E27FC236}">
              <a16:creationId xmlns:a16="http://schemas.microsoft.com/office/drawing/2014/main" id="{6F7E07DE-471C-0468-E72C-CEAD75DC792A}"/>
            </a:ext>
          </a:extLst>
        </cdr:cNvPr>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a:extLst>
            <a:ext uri="{FF2B5EF4-FFF2-40B4-BE49-F238E27FC236}">
              <a16:creationId xmlns:a16="http://schemas.microsoft.com/office/drawing/2014/main" id="{C6F703B1-DC5D-D93A-71C9-FE03A0C6A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a:extLst>
            <a:ext uri="{FF2B5EF4-FFF2-40B4-BE49-F238E27FC236}">
              <a16:creationId xmlns:a16="http://schemas.microsoft.com/office/drawing/2014/main" id="{19553741-E913-F7EF-8752-0C8AA1C56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a:extLst>
            <a:ext uri="{FF2B5EF4-FFF2-40B4-BE49-F238E27FC236}">
              <a16:creationId xmlns:a16="http://schemas.microsoft.com/office/drawing/2014/main" id="{B9FAEBE9-8466-762A-D35B-6280E5E7F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a:extLst>
            <a:ext uri="{FF2B5EF4-FFF2-40B4-BE49-F238E27FC236}">
              <a16:creationId xmlns:a16="http://schemas.microsoft.com/office/drawing/2014/main" id="{9A7B6FDD-F95C-ADF2-5C6F-E2EAB30C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a:extLst>
            <a:ext uri="{FF2B5EF4-FFF2-40B4-BE49-F238E27FC236}">
              <a16:creationId xmlns:a16="http://schemas.microsoft.com/office/drawing/2014/main" id="{BDD42067-1523-F9EB-AE4D-A575454CE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a:extLst>
            <a:ext uri="{FF2B5EF4-FFF2-40B4-BE49-F238E27FC236}">
              <a16:creationId xmlns:a16="http://schemas.microsoft.com/office/drawing/2014/main" id="{95BBDEC6-2715-92F3-30F4-FD998178A133}"/>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a:extLst>
            <a:ext uri="{FF2B5EF4-FFF2-40B4-BE49-F238E27FC236}">
              <a16:creationId xmlns:a16="http://schemas.microsoft.com/office/drawing/2014/main" id="{710634BD-ED48-E25A-B28C-254935FF9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a:extLst>
            <a:ext uri="{FF2B5EF4-FFF2-40B4-BE49-F238E27FC236}">
              <a16:creationId xmlns:a16="http://schemas.microsoft.com/office/drawing/2014/main" id="{F1DCC50A-3320-D7A4-BD41-FFB62A33C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0.29559</cdr:x>
      <cdr:y>0.91684</cdr:y>
    </cdr:from>
    <cdr:to>
      <cdr:x>0.56822</cdr:x>
      <cdr:y>0.95351</cdr:y>
    </cdr:to>
    <cdr:sp macro="" textlink="">
      <cdr:nvSpPr>
        <cdr:cNvPr id="41985" name="Text Box 1">
          <a:extLst xmlns:a="http://schemas.openxmlformats.org/drawingml/2006/main">
            <a:ext uri="{FF2B5EF4-FFF2-40B4-BE49-F238E27FC236}">
              <a16:creationId xmlns:a16="http://schemas.microsoft.com/office/drawing/2014/main" id="{47C29C60-0A9F-B57D-D755-C3848E0479E4}"/>
            </a:ext>
          </a:extLst>
        </cdr:cNvPr>
        <cdr:cNvSpPr txBox="1">
          <a:spLocks xmlns:a="http://schemas.openxmlformats.org/drawingml/2006/main" noChangeArrowheads="1"/>
        </cdr:cNvSpPr>
      </cdr:nvSpPr>
      <cdr:spPr bwMode="auto">
        <a:xfrm xmlns:a="http://schemas.openxmlformats.org/drawingml/2006/main">
          <a:off x="1531964" y="2492058"/>
          <a:ext cx="1410088" cy="995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5.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a:extLst xmlns:a="http://schemas.openxmlformats.org/drawingml/2006/main">
            <a:ext uri="{FF2B5EF4-FFF2-40B4-BE49-F238E27FC236}">
              <a16:creationId xmlns:a16="http://schemas.microsoft.com/office/drawing/2014/main" id="{7A9B88B1-05DD-3FF4-2BA9-6E30FA182CE9}"/>
            </a:ext>
          </a:extLst>
        </cdr:cNvPr>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6.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a:extLst>
            <a:ext uri="{FF2B5EF4-FFF2-40B4-BE49-F238E27FC236}">
              <a16:creationId xmlns:a16="http://schemas.microsoft.com/office/drawing/2014/main" id="{96A93A1A-56DF-2373-BDE1-D87F3A148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a:extLst>
            <a:ext uri="{FF2B5EF4-FFF2-40B4-BE49-F238E27FC236}">
              <a16:creationId xmlns:a16="http://schemas.microsoft.com/office/drawing/2014/main" id="{1B58ADDC-27EF-4025-BF0F-AACA6BD95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a:extLst>
            <a:ext uri="{FF2B5EF4-FFF2-40B4-BE49-F238E27FC236}">
              <a16:creationId xmlns:a16="http://schemas.microsoft.com/office/drawing/2014/main" id="{E177BA10-437C-4EAC-97FF-813DB5695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a:extLst>
            <a:ext uri="{FF2B5EF4-FFF2-40B4-BE49-F238E27FC236}">
              <a16:creationId xmlns:a16="http://schemas.microsoft.com/office/drawing/2014/main" id="{EF1860F4-0567-A4AF-D29A-44748C59C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a:extLst>
            <a:ext uri="{FF2B5EF4-FFF2-40B4-BE49-F238E27FC236}">
              <a16:creationId xmlns:a16="http://schemas.microsoft.com/office/drawing/2014/main" id="{91AD21A3-FB8D-1752-1E63-D14A3053E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a:extLst>
            <a:ext uri="{FF2B5EF4-FFF2-40B4-BE49-F238E27FC236}">
              <a16:creationId xmlns:a16="http://schemas.microsoft.com/office/drawing/2014/main" id="{C6E3B35B-097C-ECD6-F415-A13FA59CCD15}"/>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a:extLst>
            <a:ext uri="{FF2B5EF4-FFF2-40B4-BE49-F238E27FC236}">
              <a16:creationId xmlns:a16="http://schemas.microsoft.com/office/drawing/2014/main" id="{B3AFB16B-1C3F-2772-45DC-169AB01BF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a:extLst>
            <a:ext uri="{FF2B5EF4-FFF2-40B4-BE49-F238E27FC236}">
              <a16:creationId xmlns:a16="http://schemas.microsoft.com/office/drawing/2014/main" id="{426BF7E9-1C6D-2124-A3BA-1CEA6C99D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a:extLst xmlns:a="http://schemas.openxmlformats.org/drawingml/2006/main">
            <a:ext uri="{FF2B5EF4-FFF2-40B4-BE49-F238E27FC236}">
              <a16:creationId xmlns:a16="http://schemas.microsoft.com/office/drawing/2014/main" id="{34C84E6E-4773-AF10-CBD9-16088565CDD1}"/>
            </a:ext>
          </a:extLst>
        </cdr:cNvPr>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a:extLst>
            <a:ext uri="{FF2B5EF4-FFF2-40B4-BE49-F238E27FC236}">
              <a16:creationId xmlns:a16="http://schemas.microsoft.com/office/drawing/2014/main" id="{8E63E55A-07AF-052D-670D-C7E31F67A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a:extLst>
            <a:ext uri="{FF2B5EF4-FFF2-40B4-BE49-F238E27FC236}">
              <a16:creationId xmlns:a16="http://schemas.microsoft.com/office/drawing/2014/main" id="{9070FB74-8D40-93AB-F5E2-D91DEE5EA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a:extLst>
            <a:ext uri="{FF2B5EF4-FFF2-40B4-BE49-F238E27FC236}">
              <a16:creationId xmlns:a16="http://schemas.microsoft.com/office/drawing/2014/main" id="{98116BAC-C34C-BC52-17B8-FAFA6659D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a:extLst>
            <a:ext uri="{FF2B5EF4-FFF2-40B4-BE49-F238E27FC236}">
              <a16:creationId xmlns:a16="http://schemas.microsoft.com/office/drawing/2014/main" id="{5A672A36-9F29-3FA9-FA9B-05B4CB23C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a:extLst>
            <a:ext uri="{FF2B5EF4-FFF2-40B4-BE49-F238E27FC236}">
              <a16:creationId xmlns:a16="http://schemas.microsoft.com/office/drawing/2014/main" id="{065E5E16-AA1B-20B3-EE0C-73003BB08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a:extLst>
            <a:ext uri="{FF2B5EF4-FFF2-40B4-BE49-F238E27FC236}">
              <a16:creationId xmlns:a16="http://schemas.microsoft.com/office/drawing/2014/main" id="{73CAC71A-F5A9-AAE3-6199-83AC6C776670}"/>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a:extLst>
            <a:ext uri="{FF2B5EF4-FFF2-40B4-BE49-F238E27FC236}">
              <a16:creationId xmlns:a16="http://schemas.microsoft.com/office/drawing/2014/main" id="{01971DDF-6422-4781-BC5D-5E19B1EEC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a:extLst xmlns:a="http://schemas.openxmlformats.org/drawingml/2006/main">
            <a:ext uri="{FF2B5EF4-FFF2-40B4-BE49-F238E27FC236}">
              <a16:creationId xmlns:a16="http://schemas.microsoft.com/office/drawing/2014/main" id="{F1E95181-19B9-4F29-3B9B-7889DA04AC47}"/>
            </a:ext>
          </a:extLst>
        </cdr:cNvPr>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72705" name="Text Box 1">
          <a:extLst xmlns:a="http://schemas.openxmlformats.org/drawingml/2006/main">
            <a:ext uri="{FF2B5EF4-FFF2-40B4-BE49-F238E27FC236}">
              <a16:creationId xmlns:a16="http://schemas.microsoft.com/office/drawing/2014/main" id="{78BBEE40-B7F3-110B-252F-30E8202CE1FE}"/>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a:extLst>
            <a:ext uri="{FF2B5EF4-FFF2-40B4-BE49-F238E27FC236}">
              <a16:creationId xmlns:a16="http://schemas.microsoft.com/office/drawing/2014/main" id="{94133B7B-F005-C3B5-0A9E-706893B11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a:extLst>
            <a:ext uri="{FF2B5EF4-FFF2-40B4-BE49-F238E27FC236}">
              <a16:creationId xmlns:a16="http://schemas.microsoft.com/office/drawing/2014/main" id="{BC2A66AB-7824-F71B-157B-58051981F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a:extLst>
            <a:ext uri="{FF2B5EF4-FFF2-40B4-BE49-F238E27FC236}">
              <a16:creationId xmlns:a16="http://schemas.microsoft.com/office/drawing/2014/main" id="{B82ACE84-0302-AD72-98D9-F54F19898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a:extLst>
            <a:ext uri="{FF2B5EF4-FFF2-40B4-BE49-F238E27FC236}">
              <a16:creationId xmlns:a16="http://schemas.microsoft.com/office/drawing/2014/main" id="{05E8E6C0-B97F-5C78-7598-FF96D4040599}"/>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a:extLst>
            <a:ext uri="{FF2B5EF4-FFF2-40B4-BE49-F238E27FC236}">
              <a16:creationId xmlns:a16="http://schemas.microsoft.com/office/drawing/2014/main" id="{AFE18D28-F406-168C-6278-E1CFFA977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a:extLst>
            <a:ext uri="{FF2B5EF4-FFF2-40B4-BE49-F238E27FC236}">
              <a16:creationId xmlns:a16="http://schemas.microsoft.com/office/drawing/2014/main" id="{746356BD-168A-89DD-5293-ED55CB519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a:extLst>
            <a:ext uri="{FF2B5EF4-FFF2-40B4-BE49-F238E27FC236}">
              <a16:creationId xmlns:a16="http://schemas.microsoft.com/office/drawing/2014/main" id="{A52DDCA9-F8B4-18BB-D69E-901CB0DA322C}"/>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a:extLst>
            <a:ext uri="{FF2B5EF4-FFF2-40B4-BE49-F238E27FC236}">
              <a16:creationId xmlns:a16="http://schemas.microsoft.com/office/drawing/2014/main" id="{B7BDD4A7-570C-AC98-E073-112EF35C0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a:extLst xmlns:a="http://schemas.openxmlformats.org/drawingml/2006/main">
            <a:ext uri="{FF2B5EF4-FFF2-40B4-BE49-F238E27FC236}">
              <a16:creationId xmlns:a16="http://schemas.microsoft.com/office/drawing/2014/main" id="{6E5A5645-0F7D-9E27-1B2A-0AC6915016E3}"/>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2.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a:extLst xmlns:a="http://schemas.openxmlformats.org/drawingml/2006/main">
            <a:ext uri="{FF2B5EF4-FFF2-40B4-BE49-F238E27FC236}">
              <a16:creationId xmlns:a16="http://schemas.microsoft.com/office/drawing/2014/main" id="{55D83178-8FDF-737F-98A2-C78FDD1750EE}"/>
            </a:ext>
          </a:extLst>
        </cdr:cNvPr>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3.xml><?xml version="1.0" encoding="utf-8"?>
<c:userShapes xmlns:c="http://schemas.openxmlformats.org/drawingml/2006/chart">
  <cdr:relSizeAnchor xmlns:cdr="http://schemas.openxmlformats.org/drawingml/2006/chartDrawing">
    <cdr:from>
      <cdr:x>0.18311</cdr:x>
      <cdr:y>0.36855</cdr:y>
    </cdr:from>
    <cdr:to>
      <cdr:x>0.83557</cdr:x>
      <cdr:y>0.36855</cdr:y>
    </cdr:to>
    <cdr:sp macro="" textlink="">
      <cdr:nvSpPr>
        <cdr:cNvPr id="74753" name="Line 1">
          <a:extLst xmlns:a="http://schemas.openxmlformats.org/drawingml/2006/main">
            <a:ext uri="{FF2B5EF4-FFF2-40B4-BE49-F238E27FC236}">
              <a16:creationId xmlns:a16="http://schemas.microsoft.com/office/drawing/2014/main" id="{5AEBB768-6F6D-0129-D86B-DF01E32DAD3C}"/>
            </a:ext>
          </a:extLst>
        </cdr:cNvPr>
        <cdr:cNvSpPr>
          <a:spLocks xmlns:a="http://schemas.openxmlformats.org/drawingml/2006/main" noChangeShapeType="1"/>
        </cdr:cNvSpPr>
      </cdr:nvSpPr>
      <cdr:spPr bwMode="auto">
        <a:xfrm xmlns:a="http://schemas.openxmlformats.org/drawingml/2006/main" flipH="1">
          <a:off x="1051404" y="1688171"/>
          <a:ext cx="373502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62465" name="Chart 1">
          <a:extLst>
            <a:ext uri="{FF2B5EF4-FFF2-40B4-BE49-F238E27FC236}">
              <a16:creationId xmlns:a16="http://schemas.microsoft.com/office/drawing/2014/main" id="{F1FBB65F-586B-8B61-B7F7-6477663E6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62466" name="Chart 2">
          <a:extLst>
            <a:ext uri="{FF2B5EF4-FFF2-40B4-BE49-F238E27FC236}">
              <a16:creationId xmlns:a16="http://schemas.microsoft.com/office/drawing/2014/main" id="{74C6F769-72F5-38EE-2731-93ABF8CDB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62467" name="Chart 3">
          <a:extLst>
            <a:ext uri="{FF2B5EF4-FFF2-40B4-BE49-F238E27FC236}">
              <a16:creationId xmlns:a16="http://schemas.microsoft.com/office/drawing/2014/main" id="{D8FFC0D8-2F36-6D81-1A41-938275CE9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62468" name="Chart 4">
          <a:extLst>
            <a:ext uri="{FF2B5EF4-FFF2-40B4-BE49-F238E27FC236}">
              <a16:creationId xmlns:a16="http://schemas.microsoft.com/office/drawing/2014/main" id="{EB1C693A-E448-A95E-5CA7-2DB2FFF37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62469" name="AutoShape 5">
          <a:extLst>
            <a:ext uri="{FF2B5EF4-FFF2-40B4-BE49-F238E27FC236}">
              <a16:creationId xmlns:a16="http://schemas.microsoft.com/office/drawing/2014/main" id="{BA961846-E300-3349-289E-C092AEC6768B}"/>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62470" name="Chart 6">
          <a:extLst>
            <a:ext uri="{FF2B5EF4-FFF2-40B4-BE49-F238E27FC236}">
              <a16:creationId xmlns:a16="http://schemas.microsoft.com/office/drawing/2014/main" id="{25667F70-8C5E-B98A-5284-35495DFEB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62471" name="Chart 7">
          <a:extLst>
            <a:ext uri="{FF2B5EF4-FFF2-40B4-BE49-F238E27FC236}">
              <a16:creationId xmlns:a16="http://schemas.microsoft.com/office/drawing/2014/main" id="{A5485E94-E6D9-CD95-6218-0594F80C7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62472" name="Chart 8">
          <a:extLst>
            <a:ext uri="{FF2B5EF4-FFF2-40B4-BE49-F238E27FC236}">
              <a16:creationId xmlns:a16="http://schemas.microsoft.com/office/drawing/2014/main" id="{9F0BA17B-FF69-F844-6E26-AAC17BE9B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63489" name="Text Box 1">
          <a:extLst xmlns:a="http://schemas.openxmlformats.org/drawingml/2006/main">
            <a:ext uri="{FF2B5EF4-FFF2-40B4-BE49-F238E27FC236}">
              <a16:creationId xmlns:a16="http://schemas.microsoft.com/office/drawing/2014/main" id="{A9300A30-618E-BD9F-7750-50BA2E7D853C}"/>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0.19147</cdr:x>
      <cdr:y>0.37491</cdr:y>
    </cdr:from>
    <cdr:to>
      <cdr:x>0.83557</cdr:x>
      <cdr:y>0.37491</cdr:y>
    </cdr:to>
    <cdr:sp macro="" textlink="">
      <cdr:nvSpPr>
        <cdr:cNvPr id="65537" name="Line 1">
          <a:extLst xmlns:a="http://schemas.openxmlformats.org/drawingml/2006/main">
            <a:ext uri="{FF2B5EF4-FFF2-40B4-BE49-F238E27FC236}">
              <a16:creationId xmlns:a16="http://schemas.microsoft.com/office/drawing/2014/main" id="{0EACCBFA-601C-0A98-A9EE-AEE456D3E071}"/>
            </a:ext>
          </a:extLst>
        </cdr:cNvPr>
        <cdr:cNvSpPr>
          <a:spLocks xmlns:a="http://schemas.openxmlformats.org/drawingml/2006/main" noChangeShapeType="1"/>
        </cdr:cNvSpPr>
      </cdr:nvSpPr>
      <cdr:spPr bwMode="auto">
        <a:xfrm xmlns:a="http://schemas.openxmlformats.org/drawingml/2006/main" flipH="1">
          <a:off x="1099252" y="1717270"/>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0.3732</cdr:y>
    </cdr:from>
    <cdr:to>
      <cdr:x>0.83557</cdr:x>
      <cdr:y>0.3732</cdr:y>
    </cdr:to>
    <cdr:sp macro="" textlink="">
      <cdr:nvSpPr>
        <cdr:cNvPr id="65538" name="Line 2">
          <a:extLst xmlns:a="http://schemas.openxmlformats.org/drawingml/2006/main">
            <a:ext uri="{FF2B5EF4-FFF2-40B4-BE49-F238E27FC236}">
              <a16:creationId xmlns:a16="http://schemas.microsoft.com/office/drawing/2014/main" id="{34777E91-812A-A051-24C8-1A7623C5EB95}"/>
            </a:ext>
          </a:extLst>
        </cdr:cNvPr>
        <cdr:cNvSpPr>
          <a:spLocks xmlns:a="http://schemas.openxmlformats.org/drawingml/2006/main" noChangeShapeType="1"/>
        </cdr:cNvSpPr>
      </cdr:nvSpPr>
      <cdr:spPr bwMode="auto">
        <a:xfrm xmlns:a="http://schemas.openxmlformats.org/drawingml/2006/main" flipH="1">
          <a:off x="1099252" y="1709436"/>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0.38128</cdr:y>
    </cdr:from>
    <cdr:to>
      <cdr:x>0.83557</cdr:x>
      <cdr:y>0.38128</cdr:y>
    </cdr:to>
    <cdr:sp macro="" textlink="">
      <cdr:nvSpPr>
        <cdr:cNvPr id="65539" name="Line 3">
          <a:extLst xmlns:a="http://schemas.openxmlformats.org/drawingml/2006/main">
            <a:ext uri="{FF2B5EF4-FFF2-40B4-BE49-F238E27FC236}">
              <a16:creationId xmlns:a16="http://schemas.microsoft.com/office/drawing/2014/main" id="{854C34E9-63C2-8073-390E-E4E4512A7EBF}"/>
            </a:ext>
          </a:extLst>
        </cdr:cNvPr>
        <cdr:cNvSpPr>
          <a:spLocks xmlns:a="http://schemas.openxmlformats.org/drawingml/2006/main" noChangeShapeType="1"/>
        </cdr:cNvSpPr>
      </cdr:nvSpPr>
      <cdr:spPr bwMode="auto">
        <a:xfrm xmlns:a="http://schemas.openxmlformats.org/drawingml/2006/main" flipH="1">
          <a:off x="1099252" y="1746369"/>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a:extLst>
            <a:ext uri="{FF2B5EF4-FFF2-40B4-BE49-F238E27FC236}">
              <a16:creationId xmlns:a16="http://schemas.microsoft.com/office/drawing/2014/main" id="{4649F836-47E0-C294-E16A-959312D2D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a:extLst>
            <a:ext uri="{FF2B5EF4-FFF2-40B4-BE49-F238E27FC236}">
              <a16:creationId xmlns:a16="http://schemas.microsoft.com/office/drawing/2014/main" id="{C0213775-A8C9-E3A0-E98E-554AA4DAF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a:extLst>
            <a:ext uri="{FF2B5EF4-FFF2-40B4-BE49-F238E27FC236}">
              <a16:creationId xmlns:a16="http://schemas.microsoft.com/office/drawing/2014/main" id="{5DCBAD12-793A-1DF2-87DE-69685ED4D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a:extLst>
            <a:ext uri="{FF2B5EF4-FFF2-40B4-BE49-F238E27FC236}">
              <a16:creationId xmlns:a16="http://schemas.microsoft.com/office/drawing/2014/main" id="{C751318F-36A0-5825-F1D5-289C68F61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a:extLst>
            <a:ext uri="{FF2B5EF4-FFF2-40B4-BE49-F238E27FC236}">
              <a16:creationId xmlns:a16="http://schemas.microsoft.com/office/drawing/2014/main" id="{4A1FF57F-9B2F-92F5-23C0-B56091CE12AF}"/>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a:extLst>
            <a:ext uri="{FF2B5EF4-FFF2-40B4-BE49-F238E27FC236}">
              <a16:creationId xmlns:a16="http://schemas.microsoft.com/office/drawing/2014/main" id="{3923ABDF-CD50-D5B0-66B2-E981D7822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a:extLst>
            <a:ext uri="{FF2B5EF4-FFF2-40B4-BE49-F238E27FC236}">
              <a16:creationId xmlns:a16="http://schemas.microsoft.com/office/drawing/2014/main" id="{9487B0F9-953E-7957-4602-2E797F294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a:extLst>
            <a:ext uri="{FF2B5EF4-FFF2-40B4-BE49-F238E27FC236}">
              <a16:creationId xmlns:a16="http://schemas.microsoft.com/office/drawing/2014/main" id="{F4ED024C-3FFB-9457-C4E6-AF0CD156D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a:extLst xmlns:a="http://schemas.openxmlformats.org/drawingml/2006/main">
            <a:ext uri="{FF2B5EF4-FFF2-40B4-BE49-F238E27FC236}">
              <a16:creationId xmlns:a16="http://schemas.microsoft.com/office/drawing/2014/main" id="{6232438C-A22B-3281-BD2E-38ADE51C4B00}"/>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a:extLst xmlns:a="http://schemas.openxmlformats.org/drawingml/2006/main">
            <a:ext uri="{FF2B5EF4-FFF2-40B4-BE49-F238E27FC236}">
              <a16:creationId xmlns:a16="http://schemas.microsoft.com/office/drawing/2014/main" id="{FB8520F9-D0FC-B1F0-C013-A077C17C8CF7}"/>
            </a:ext>
          </a:extLst>
        </cdr:cNvPr>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a:extLst xmlns:a="http://schemas.openxmlformats.org/drawingml/2006/main">
            <a:ext uri="{FF2B5EF4-FFF2-40B4-BE49-F238E27FC236}">
              <a16:creationId xmlns:a16="http://schemas.microsoft.com/office/drawing/2014/main" id="{6E2A4A12-E0EC-387B-FA52-B5021040035B}"/>
            </a:ext>
          </a:extLst>
        </cdr:cNvPr>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cell r="AC116">
            <v>0.72291666666666676</v>
          </cell>
        </row>
        <row r="117">
          <cell r="AA117">
            <v>37172</v>
          </cell>
          <cell r="AB117">
            <v>0.31944444444444448</v>
          </cell>
          <cell r="AC117">
            <v>0.68472222222222223</v>
          </cell>
        </row>
        <row r="118">
          <cell r="AA118">
            <v>37173</v>
          </cell>
          <cell r="AB118">
            <v>0.32222222222222224</v>
          </cell>
          <cell r="AC118">
            <v>0.67013888888888884</v>
          </cell>
        </row>
        <row r="119">
          <cell r="AA119">
            <v>37174</v>
          </cell>
          <cell r="AB119">
            <v>0.32013888888888892</v>
          </cell>
          <cell r="AC119">
            <v>0.65</v>
          </cell>
        </row>
        <row r="120">
          <cell r="AA120">
            <v>37175</v>
          </cell>
          <cell r="AB120">
            <v>0.32013888888888892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 val="Oct 08"/>
      <sheetName val="Oct 09"/>
      <sheetName val="Oct 10"/>
      <sheetName val="Oct 11"/>
      <sheetName val="Oct12"/>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37172</v>
          </cell>
          <cell r="AD7">
            <v>37173</v>
          </cell>
          <cell r="AE7">
            <v>37174</v>
          </cell>
          <cell r="AF7">
            <v>37175</v>
          </cell>
          <cell r="AG7">
            <v>37176</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2072.424</v>
          </cell>
          <cell r="AD13">
            <v>0</v>
          </cell>
          <cell r="AE13">
            <v>1148.0819999999992</v>
          </cell>
          <cell r="AF13">
            <v>-3854.5340000000001</v>
          </cell>
          <cell r="AG13">
            <v>2646.8300000000004</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AE16">
            <v>-454.01399999999995</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cell r="AD23">
            <v>931.93002000000001</v>
          </cell>
          <cell r="AE23">
            <v>111.1180600000007</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cell r="AD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cell r="AE28" t="str">
            <v xml:space="preserve"> </v>
          </cell>
          <cell r="AF28" t="str">
            <v xml:space="preserve"> </v>
          </cell>
          <cell r="AG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cell r="AG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3573.7982999999995</v>
          </cell>
          <cell r="AD30">
            <v>-4693.9400599999935</v>
          </cell>
          <cell r="AE30">
            <v>305.20200999999452</v>
          </cell>
          <cell r="AF30">
            <v>158.88641000000689</v>
          </cell>
          <cell r="AG30">
            <v>616.16316000000506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s-Database"/>
      <sheetName val="Oct"/>
      <sheetName val="Sept."/>
      <sheetName val="Jul"/>
      <sheetName val="Aug"/>
      <sheetName val="Jun"/>
    </sheetNames>
    <sheetDataSet>
      <sheetData sheetId="0" refreshError="1"/>
      <sheetData sheetId="1" refreshError="1"/>
      <sheetData sheetId="2" refreshError="1"/>
      <sheetData sheetId="3" refreshError="1"/>
      <sheetData sheetId="4">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98"/>
  <sheetViews>
    <sheetView tabSelected="1" topLeftCell="A107" zoomScaleNormal="100" workbookViewId="0">
      <selection activeCell="H113" sqref="H11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4"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c r="AF1" s="1" t="s">
        <v>126</v>
      </c>
      <c r="AG1" s="1" t="s">
        <v>73</v>
      </c>
    </row>
    <row r="2" spans="1:34" x14ac:dyDescent="0.2">
      <c r="A2" s="2" t="s">
        <v>199</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4" x14ac:dyDescent="0.2">
      <c r="A3" s="2" t="s">
        <v>200</v>
      </c>
      <c r="B3" s="5"/>
      <c r="K3" s="5"/>
      <c r="L3" s="5"/>
      <c r="M3" s="5"/>
      <c r="N3" s="6">
        <v>1</v>
      </c>
      <c r="P3" s="4">
        <v>1</v>
      </c>
      <c r="R3" s="4">
        <f>'[7]summary 0625'!K11</f>
        <v>2</v>
      </c>
      <c r="T3" s="4">
        <f>'[7]summary 0709'!K10</f>
        <v>1</v>
      </c>
      <c r="AE3" s="4">
        <f>'summary 0924'!K11</f>
        <v>1</v>
      </c>
    </row>
    <row r="4" spans="1:34"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row>
    <row r="5" spans="1:34"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row>
    <row r="6" spans="1:34"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row>
    <row r="7" spans="1:34"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4"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row>
    <row r="9" spans="1:34"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4"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4"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c r="AG11" s="4">
        <f>SUM(AG2:AG10)</f>
        <v>18</v>
      </c>
    </row>
    <row r="12" spans="1:34"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row>
    <row r="15" spans="1:34" x14ac:dyDescent="0.2">
      <c r="A15" s="4" t="s">
        <v>428</v>
      </c>
      <c r="Y15" s="4">
        <f>[8]Aug!$U$24+[8]Aug!$U$9</f>
        <v>3</v>
      </c>
      <c r="Z15" s="4">
        <f>[8]Aug!$AB$27</f>
        <v>1</v>
      </c>
      <c r="AB15" s="4">
        <f>3</f>
        <v>3</v>
      </c>
      <c r="AC15" s="4">
        <f>2</f>
        <v>2</v>
      </c>
      <c r="AD15" s="4">
        <v>3</v>
      </c>
      <c r="AE15" s="4">
        <f>7+1</f>
        <v>8</v>
      </c>
      <c r="AF15" s="4">
        <f>2</f>
        <v>2</v>
      </c>
      <c r="AG15" s="4">
        <f>1</f>
        <v>1</v>
      </c>
      <c r="AH15" s="4" t="s">
        <v>428</v>
      </c>
    </row>
    <row r="16" spans="1:34" x14ac:dyDescent="0.2">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t="s">
        <v>247</v>
      </c>
    </row>
    <row r="17" spans="1:34" x14ac:dyDescent="0.2">
      <c r="A17" s="4" t="s">
        <v>393</v>
      </c>
      <c r="AH17" s="4" t="s">
        <v>393</v>
      </c>
    </row>
    <row r="18" spans="1:34" x14ac:dyDescent="0.2">
      <c r="A18" s="4" t="s">
        <v>228</v>
      </c>
      <c r="AG18" s="4">
        <f>5</f>
        <v>5</v>
      </c>
      <c r="AH18" s="4" t="s">
        <v>228</v>
      </c>
    </row>
    <row r="19" spans="1:34" x14ac:dyDescent="0.2">
      <c r="A19" s="4" t="s">
        <v>291</v>
      </c>
      <c r="AH19" s="4" t="s">
        <v>291</v>
      </c>
    </row>
    <row r="20" spans="1:34" x14ac:dyDescent="0.2">
      <c r="A20" s="4" t="s">
        <v>510</v>
      </c>
      <c r="X20" s="4">
        <f>[8]Aug!$N$21+[8]Aug!$N$15</f>
        <v>6</v>
      </c>
      <c r="Y20" s="4">
        <f>[8]Aug!$U$26+[8]Aug!$U$21</f>
        <v>7</v>
      </c>
      <c r="Z20" s="4">
        <f>[8]Aug!$AB$26+[8]Aug!$AB$21</f>
        <v>3</v>
      </c>
      <c r="AA20" s="4">
        <f>[8]Aug!$AI$26+[8]Aug!$AI$21</f>
        <v>11</v>
      </c>
      <c r="AB20" s="4">
        <f>1</f>
        <v>1</v>
      </c>
      <c r="AC20" s="4">
        <f>14+3</f>
        <v>17</v>
      </c>
      <c r="AD20" s="4">
        <v>6</v>
      </c>
      <c r="AE20" s="4">
        <v>5</v>
      </c>
      <c r="AF20" s="4">
        <f>1+1+7</f>
        <v>9</v>
      </c>
      <c r="AG20" s="4">
        <f>5+2+2</f>
        <v>9</v>
      </c>
      <c r="AH20" s="4" t="s">
        <v>510</v>
      </c>
    </row>
    <row r="22" spans="1:34" x14ac:dyDescent="0.2">
      <c r="A22" s="4" t="s">
        <v>507</v>
      </c>
      <c r="X22" s="4">
        <f t="shared" ref="X22:AG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f t="shared" si="2"/>
        <v>20</v>
      </c>
      <c r="AH22" s="4" t="s">
        <v>511</v>
      </c>
    </row>
    <row r="24" spans="1:34" x14ac:dyDescent="0.2">
      <c r="A24" s="4" t="s">
        <v>508</v>
      </c>
      <c r="AH24" s="4" t="s">
        <v>508</v>
      </c>
    </row>
    <row r="111" spans="1:12" x14ac:dyDescent="0.2">
      <c r="A111" s="10" t="s">
        <v>86</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169.5" customHeight="1" x14ac:dyDescent="0.2">
      <c r="A127" s="15">
        <v>37176</v>
      </c>
      <c r="B127" s="61" t="s">
        <v>76</v>
      </c>
      <c r="C127" s="16" t="s">
        <v>74</v>
      </c>
      <c r="D127" s="16" t="s">
        <v>460</v>
      </c>
      <c r="E127" s="16" t="s">
        <v>77</v>
      </c>
      <c r="F127" s="16" t="s">
        <v>440</v>
      </c>
      <c r="G127" s="62" t="s">
        <v>78</v>
      </c>
      <c r="H127" s="16"/>
      <c r="I127" s="16" t="s">
        <v>234</v>
      </c>
      <c r="J127" s="16" t="s">
        <v>234</v>
      </c>
      <c r="K127" s="16" t="s">
        <v>234</v>
      </c>
      <c r="L127" s="16" t="s">
        <v>456</v>
      </c>
    </row>
    <row r="128" spans="1:12" ht="25.5" x14ac:dyDescent="0.2">
      <c r="A128" s="24">
        <v>37176</v>
      </c>
      <c r="B128" s="31" t="s">
        <v>37</v>
      </c>
      <c r="C128" s="18" t="s">
        <v>393</v>
      </c>
      <c r="D128" s="18" t="s">
        <v>513</v>
      </c>
      <c r="E128" s="18" t="s">
        <v>38</v>
      </c>
      <c r="F128" s="18" t="s">
        <v>375</v>
      </c>
      <c r="G128" s="17" t="s">
        <v>39</v>
      </c>
      <c r="H128" s="18"/>
      <c r="I128" s="18" t="s">
        <v>234</v>
      </c>
      <c r="J128" s="18" t="s">
        <v>234</v>
      </c>
      <c r="K128" s="18" t="s">
        <v>235</v>
      </c>
      <c r="L128" s="18" t="s">
        <v>456</v>
      </c>
    </row>
    <row r="129" spans="1:25" ht="25.5" x14ac:dyDescent="0.2">
      <c r="A129" s="24">
        <v>37176</v>
      </c>
      <c r="B129" s="31" t="s">
        <v>227</v>
      </c>
      <c r="C129" s="18" t="s">
        <v>228</v>
      </c>
      <c r="D129" s="18" t="s">
        <v>492</v>
      </c>
      <c r="E129" s="18" t="s">
        <v>230</v>
      </c>
      <c r="F129" s="18" t="s">
        <v>231</v>
      </c>
      <c r="G129" s="17" t="s">
        <v>40</v>
      </c>
      <c r="H129" s="18"/>
      <c r="I129" s="18" t="s">
        <v>234</v>
      </c>
      <c r="J129" s="18" t="s">
        <v>234</v>
      </c>
      <c r="K129" s="18" t="s">
        <v>235</v>
      </c>
      <c r="L129" s="18" t="s">
        <v>456</v>
      </c>
    </row>
    <row r="130" spans="1:25" ht="23.25" customHeight="1" x14ac:dyDescent="0.2">
      <c r="A130" s="24">
        <v>37176</v>
      </c>
      <c r="B130" s="31" t="s">
        <v>530</v>
      </c>
      <c r="C130" s="18" t="s">
        <v>74</v>
      </c>
      <c r="D130" s="18" t="s">
        <v>41</v>
      </c>
      <c r="E130" s="18" t="s">
        <v>75</v>
      </c>
      <c r="F130" s="18" t="s">
        <v>255</v>
      </c>
      <c r="G130" s="17" t="s">
        <v>42</v>
      </c>
      <c r="H130" s="18"/>
      <c r="I130" s="18" t="s">
        <v>235</v>
      </c>
      <c r="J130" s="18" t="s">
        <v>234</v>
      </c>
      <c r="K130" s="18" t="s">
        <v>234</v>
      </c>
      <c r="L130" s="18" t="s">
        <v>456</v>
      </c>
    </row>
    <row r="131" spans="1:25" ht="24.75" customHeight="1" x14ac:dyDescent="0.2">
      <c r="A131" s="24">
        <v>37176</v>
      </c>
      <c r="B131" s="31" t="s">
        <v>43</v>
      </c>
      <c r="C131" s="18" t="s">
        <v>44</v>
      </c>
      <c r="D131" s="18" t="s">
        <v>45</v>
      </c>
      <c r="E131" s="18"/>
      <c r="F131" s="18" t="s">
        <v>255</v>
      </c>
      <c r="G131" s="17" t="s">
        <v>46</v>
      </c>
      <c r="H131" s="18"/>
      <c r="I131" s="18" t="s">
        <v>235</v>
      </c>
      <c r="J131" s="18" t="s">
        <v>235</v>
      </c>
      <c r="K131" s="18" t="s">
        <v>235</v>
      </c>
      <c r="L131" s="18" t="s">
        <v>456</v>
      </c>
    </row>
    <row r="132" spans="1:25" x14ac:dyDescent="0.2">
      <c r="A132" s="24">
        <v>37175</v>
      </c>
      <c r="B132" s="31" t="s">
        <v>47</v>
      </c>
      <c r="C132" s="18" t="s">
        <v>247</v>
      </c>
      <c r="D132" s="18" t="s">
        <v>48</v>
      </c>
      <c r="E132" s="18" t="s">
        <v>249</v>
      </c>
      <c r="F132" s="18" t="s">
        <v>266</v>
      </c>
      <c r="G132" s="17" t="s">
        <v>49</v>
      </c>
      <c r="H132" s="18"/>
      <c r="I132" s="18" t="s">
        <v>235</v>
      </c>
      <c r="J132" s="18" t="s">
        <v>234</v>
      </c>
      <c r="K132" s="18" t="s">
        <v>235</v>
      </c>
      <c r="L132" s="18" t="s">
        <v>456</v>
      </c>
      <c r="M132" s="22"/>
      <c r="N132" s="22"/>
      <c r="O132" s="22"/>
      <c r="P132" s="22"/>
      <c r="Q132" s="22"/>
      <c r="R132" s="22"/>
      <c r="S132" s="22"/>
      <c r="T132" s="22"/>
      <c r="U132" s="22"/>
      <c r="V132" s="22"/>
      <c r="W132" s="22"/>
      <c r="X132" s="22"/>
      <c r="Y132" s="22"/>
    </row>
    <row r="133" spans="1:25" ht="25.5" x14ac:dyDescent="0.2">
      <c r="A133" s="24">
        <v>37175</v>
      </c>
      <c r="B133" s="31" t="s">
        <v>50</v>
      </c>
      <c r="C133" s="18" t="s">
        <v>228</v>
      </c>
      <c r="D133" s="18" t="s">
        <v>311</v>
      </c>
      <c r="E133" s="18" t="s">
        <v>230</v>
      </c>
      <c r="F133" s="18" t="s">
        <v>375</v>
      </c>
      <c r="G133" s="17" t="s">
        <v>51</v>
      </c>
      <c r="H133" s="18"/>
      <c r="I133" s="18" t="s">
        <v>234</v>
      </c>
      <c r="J133" s="18" t="s">
        <v>234</v>
      </c>
      <c r="K133" s="18" t="s">
        <v>234</v>
      </c>
      <c r="L133" s="18" t="s">
        <v>456</v>
      </c>
      <c r="M133" s="22"/>
      <c r="N133" s="22"/>
      <c r="O133" s="22"/>
      <c r="P133" s="22"/>
      <c r="Q133" s="22"/>
      <c r="R133" s="22"/>
      <c r="S133" s="22"/>
      <c r="T133" s="22"/>
      <c r="U133" s="22"/>
      <c r="V133" s="22"/>
      <c r="W133" s="22"/>
      <c r="X133" s="22"/>
      <c r="Y133" s="22"/>
    </row>
    <row r="134" spans="1:25" ht="25.5" x14ac:dyDescent="0.2">
      <c r="A134" s="24">
        <v>37174</v>
      </c>
      <c r="B134" s="31" t="s">
        <v>52</v>
      </c>
      <c r="C134" s="18" t="s">
        <v>228</v>
      </c>
      <c r="D134" s="18" t="s">
        <v>313</v>
      </c>
      <c r="E134" s="18" t="s">
        <v>479</v>
      </c>
      <c r="F134" s="18" t="s">
        <v>255</v>
      </c>
      <c r="G134" s="17" t="s">
        <v>53</v>
      </c>
      <c r="H134" s="18"/>
      <c r="I134" s="18" t="s">
        <v>235</v>
      </c>
      <c r="J134" s="18" t="s">
        <v>234</v>
      </c>
      <c r="K134" s="18" t="s">
        <v>235</v>
      </c>
      <c r="L134" s="18" t="s">
        <v>456</v>
      </c>
      <c r="M134" s="22"/>
      <c r="N134" s="22"/>
      <c r="O134" s="22"/>
      <c r="P134" s="22"/>
      <c r="Q134" s="22"/>
      <c r="R134" s="22"/>
      <c r="S134" s="22"/>
      <c r="T134" s="22"/>
      <c r="U134" s="22"/>
      <c r="V134" s="22"/>
      <c r="W134" s="22"/>
      <c r="X134" s="22"/>
      <c r="Y134" s="22"/>
    </row>
    <row r="135" spans="1:25" ht="55.5" customHeight="1" x14ac:dyDescent="0.2">
      <c r="A135" s="24">
        <v>37174</v>
      </c>
      <c r="B135" s="31" t="s">
        <v>492</v>
      </c>
      <c r="C135" s="18" t="s">
        <v>228</v>
      </c>
      <c r="D135" s="18" t="s">
        <v>492</v>
      </c>
      <c r="E135" s="18" t="s">
        <v>230</v>
      </c>
      <c r="F135" s="18" t="s">
        <v>231</v>
      </c>
      <c r="G135" s="17" t="s">
        <v>54</v>
      </c>
      <c r="H135" s="18"/>
      <c r="I135" s="18" t="s">
        <v>234</v>
      </c>
      <c r="J135" s="18" t="s">
        <v>234</v>
      </c>
      <c r="K135" s="18" t="s">
        <v>235</v>
      </c>
      <c r="L135" s="18" t="s">
        <v>456</v>
      </c>
      <c r="M135" s="22"/>
      <c r="N135" s="22"/>
      <c r="O135" s="22"/>
      <c r="P135" s="22"/>
      <c r="Q135" s="22"/>
      <c r="R135" s="22"/>
      <c r="S135" s="22"/>
      <c r="T135" s="22"/>
      <c r="U135" s="22"/>
      <c r="V135" s="22"/>
      <c r="W135" s="22"/>
      <c r="X135" s="22"/>
      <c r="Y135" s="22"/>
    </row>
    <row r="136" spans="1:25" ht="38.25" x14ac:dyDescent="0.2">
      <c r="A136" s="24">
        <v>37173</v>
      </c>
      <c r="B136" s="31" t="s">
        <v>55</v>
      </c>
      <c r="C136" s="18" t="s">
        <v>228</v>
      </c>
      <c r="D136" s="18" t="s">
        <v>492</v>
      </c>
      <c r="E136" s="18" t="s">
        <v>230</v>
      </c>
      <c r="F136" s="18" t="s">
        <v>231</v>
      </c>
      <c r="G136" s="17" t="s">
        <v>56</v>
      </c>
      <c r="H136" s="18"/>
      <c r="I136" s="18" t="s">
        <v>234</v>
      </c>
      <c r="J136" s="18" t="s">
        <v>234</v>
      </c>
      <c r="K136" s="18" t="s">
        <v>235</v>
      </c>
      <c r="L136" s="18" t="s">
        <v>456</v>
      </c>
      <c r="M136" s="22"/>
      <c r="N136" s="22"/>
      <c r="O136" s="22"/>
      <c r="P136" s="22"/>
      <c r="Q136" s="22"/>
      <c r="R136" s="22"/>
      <c r="S136" s="22"/>
      <c r="T136" s="22"/>
      <c r="U136" s="22"/>
      <c r="V136" s="22"/>
      <c r="W136" s="22"/>
      <c r="X136" s="22"/>
      <c r="Y136" s="22"/>
    </row>
    <row r="137" spans="1:25" ht="25.5" x14ac:dyDescent="0.2">
      <c r="A137" s="24">
        <v>37172</v>
      </c>
      <c r="B137" s="31" t="s">
        <v>57</v>
      </c>
      <c r="C137" s="18" t="s">
        <v>238</v>
      </c>
      <c r="D137" s="18" t="s">
        <v>526</v>
      </c>
      <c r="E137" s="18" t="s">
        <v>299</v>
      </c>
      <c r="F137" s="18" t="s">
        <v>255</v>
      </c>
      <c r="G137" s="17" t="s">
        <v>58</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ht="38.25" x14ac:dyDescent="0.2">
      <c r="A138" s="24">
        <v>37172</v>
      </c>
      <c r="B138" s="31" t="s">
        <v>59</v>
      </c>
      <c r="C138" s="18" t="s">
        <v>74</v>
      </c>
      <c r="D138" s="18" t="s">
        <v>60</v>
      </c>
      <c r="E138" s="18" t="s">
        <v>75</v>
      </c>
      <c r="F138" s="18" t="s">
        <v>361</v>
      </c>
      <c r="G138" s="17" t="s">
        <v>61</v>
      </c>
      <c r="H138" s="18"/>
      <c r="I138" s="18" t="s">
        <v>234</v>
      </c>
      <c r="J138" s="18" t="s">
        <v>234</v>
      </c>
      <c r="K138" s="18" t="s">
        <v>235</v>
      </c>
      <c r="L138" s="18" t="s">
        <v>456</v>
      </c>
      <c r="M138" s="22"/>
      <c r="N138" s="22"/>
      <c r="O138" s="22"/>
      <c r="P138" s="22"/>
      <c r="Q138" s="22"/>
      <c r="R138" s="22"/>
      <c r="S138" s="22"/>
      <c r="T138" s="22"/>
      <c r="U138" s="22"/>
      <c r="V138" s="22"/>
      <c r="W138" s="22"/>
      <c r="X138" s="22"/>
      <c r="Y138" s="22"/>
    </row>
    <row r="139" spans="1:25" ht="25.5" x14ac:dyDescent="0.2">
      <c r="A139" s="24">
        <v>37172</v>
      </c>
      <c r="B139" s="31" t="s">
        <v>62</v>
      </c>
      <c r="C139" s="18" t="s">
        <v>291</v>
      </c>
      <c r="D139" s="18" t="s">
        <v>498</v>
      </c>
      <c r="E139" s="18" t="s">
        <v>293</v>
      </c>
      <c r="F139" s="18" t="s">
        <v>255</v>
      </c>
      <c r="G139" s="17" t="s">
        <v>63</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51" x14ac:dyDescent="0.2">
      <c r="A140" s="24">
        <v>37172</v>
      </c>
      <c r="B140" s="31" t="s">
        <v>129</v>
      </c>
      <c r="C140" s="18" t="s">
        <v>247</v>
      </c>
      <c r="D140" s="18" t="s">
        <v>280</v>
      </c>
      <c r="E140" s="18" t="s">
        <v>281</v>
      </c>
      <c r="F140" s="18" t="s">
        <v>255</v>
      </c>
      <c r="G140" s="17" t="s">
        <v>64</v>
      </c>
      <c r="H140" s="18"/>
      <c r="I140" s="18" t="s">
        <v>235</v>
      </c>
      <c r="J140" s="18" t="s">
        <v>234</v>
      </c>
      <c r="K140" s="18" t="s">
        <v>235</v>
      </c>
      <c r="L140" s="18" t="s">
        <v>456</v>
      </c>
      <c r="M140" s="22"/>
      <c r="N140" s="22"/>
      <c r="O140" s="22"/>
      <c r="P140" s="22"/>
      <c r="Q140" s="22"/>
      <c r="R140" s="22"/>
      <c r="S140" s="22"/>
      <c r="T140" s="22"/>
      <c r="U140" s="22"/>
      <c r="V140" s="22"/>
      <c r="W140" s="22"/>
      <c r="X140" s="22"/>
      <c r="Y140" s="22"/>
    </row>
    <row r="141" spans="1:25" ht="51" x14ac:dyDescent="0.2">
      <c r="A141" s="24">
        <v>37172</v>
      </c>
      <c r="B141" s="31" t="s">
        <v>65</v>
      </c>
      <c r="C141" s="18" t="s">
        <v>228</v>
      </c>
      <c r="D141" s="18" t="s">
        <v>492</v>
      </c>
      <c r="E141" s="18" t="s">
        <v>230</v>
      </c>
      <c r="F141" s="18" t="s">
        <v>231</v>
      </c>
      <c r="G141" s="17" t="s">
        <v>66</v>
      </c>
      <c r="H141" s="18"/>
      <c r="I141" s="18" t="s">
        <v>234</v>
      </c>
      <c r="J141" s="18" t="s">
        <v>234</v>
      </c>
      <c r="K141" s="18" t="s">
        <v>235</v>
      </c>
      <c r="L141" s="18" t="s">
        <v>456</v>
      </c>
      <c r="M141" s="22"/>
      <c r="N141" s="22"/>
      <c r="O141" s="22"/>
      <c r="P141" s="22"/>
      <c r="Q141" s="22"/>
      <c r="R141" s="22"/>
      <c r="S141" s="22"/>
      <c r="T141" s="22"/>
      <c r="U141" s="22"/>
      <c r="V141" s="22"/>
      <c r="W141" s="22"/>
      <c r="X141" s="22"/>
      <c r="Y141" s="22"/>
    </row>
    <row r="142" spans="1:25" ht="38.25" x14ac:dyDescent="0.2">
      <c r="A142" s="24">
        <v>37169</v>
      </c>
      <c r="B142" s="31" t="s">
        <v>67</v>
      </c>
      <c r="C142" s="18"/>
      <c r="D142" s="18" t="s">
        <v>60</v>
      </c>
      <c r="E142" s="17" t="s">
        <v>68</v>
      </c>
      <c r="F142" s="18" t="s">
        <v>266</v>
      </c>
      <c r="G142" s="17" t="s">
        <v>69</v>
      </c>
      <c r="H142" s="18"/>
      <c r="I142" s="18"/>
      <c r="J142" s="18"/>
      <c r="K142" s="18"/>
      <c r="L142" s="18"/>
      <c r="M142" s="22"/>
      <c r="N142" s="22"/>
      <c r="O142" s="22"/>
      <c r="P142" s="22"/>
      <c r="Q142" s="22"/>
      <c r="R142" s="22"/>
      <c r="S142" s="22"/>
      <c r="T142" s="22"/>
      <c r="U142" s="22"/>
      <c r="V142" s="22"/>
      <c r="W142" s="22"/>
      <c r="X142" s="22"/>
      <c r="Y142" s="22"/>
    </row>
    <row r="143" spans="1:25" ht="14.1" customHeight="1" x14ac:dyDescent="0.2">
      <c r="A143" s="24">
        <v>37169</v>
      </c>
      <c r="B143" s="31" t="s">
        <v>70</v>
      </c>
      <c r="C143" s="18"/>
      <c r="D143" s="18" t="s">
        <v>248</v>
      </c>
      <c r="E143" s="18" t="s">
        <v>71</v>
      </c>
      <c r="F143" s="18" t="s">
        <v>266</v>
      </c>
      <c r="G143" s="17" t="s">
        <v>72</v>
      </c>
      <c r="H143" s="18"/>
      <c r="I143" s="18"/>
      <c r="J143" s="18"/>
      <c r="K143" s="18"/>
      <c r="L143" s="18"/>
      <c r="M143" s="22"/>
      <c r="N143" s="22"/>
      <c r="O143" s="22"/>
      <c r="P143" s="22"/>
      <c r="Q143" s="22"/>
      <c r="R143" s="22"/>
      <c r="S143" s="22"/>
      <c r="T143" s="22"/>
      <c r="U143" s="22"/>
      <c r="V143" s="22"/>
      <c r="W143" s="22"/>
      <c r="X143" s="22"/>
      <c r="Y143" s="22"/>
    </row>
    <row r="144" spans="1:25" ht="14.1" customHeight="1" x14ac:dyDescent="0.2">
      <c r="A144" s="24"/>
      <c r="B144" s="31"/>
      <c r="C144" s="18"/>
      <c r="D144" s="18"/>
      <c r="E144" s="18"/>
      <c r="F144" s="18"/>
      <c r="G144" s="17"/>
      <c r="H144" s="18"/>
      <c r="I144" s="18"/>
      <c r="J144" s="18"/>
      <c r="K144" s="18"/>
      <c r="L144" s="18"/>
      <c r="M144" s="22"/>
      <c r="N144" s="22"/>
      <c r="O144" s="22"/>
      <c r="P144" s="22"/>
      <c r="Q144" s="22"/>
      <c r="R144" s="22"/>
      <c r="S144" s="22"/>
      <c r="T144" s="22"/>
      <c r="U144" s="22"/>
      <c r="V144" s="22"/>
      <c r="W144" s="22"/>
      <c r="X144" s="22"/>
      <c r="Y144" s="22"/>
    </row>
    <row r="145" spans="1:25" ht="14.1" customHeight="1" x14ac:dyDescent="0.2">
      <c r="A145" s="24"/>
      <c r="B145" s="31"/>
      <c r="C145" s="18"/>
      <c r="D145" s="18"/>
      <c r="E145" s="18"/>
      <c r="F145" s="18"/>
      <c r="G145" s="17"/>
      <c r="H145" s="18"/>
      <c r="I145" s="18"/>
      <c r="J145" s="18"/>
      <c r="K145" s="18"/>
      <c r="L145" s="18"/>
      <c r="M145" s="22"/>
      <c r="N145" s="22"/>
      <c r="O145" s="22"/>
      <c r="P145" s="22"/>
      <c r="Q145" s="22"/>
      <c r="R145" s="22"/>
      <c r="S145" s="22"/>
      <c r="T145" s="22"/>
      <c r="U145" s="22"/>
      <c r="V145" s="22"/>
      <c r="W145" s="22"/>
      <c r="X145" s="22"/>
      <c r="Y145" s="22"/>
    </row>
    <row r="146" spans="1:25" ht="14.1" customHeight="1" x14ac:dyDescent="0.2">
      <c r="A146" s="24"/>
      <c r="B146" s="17"/>
      <c r="C146" s="18"/>
      <c r="D146" s="18"/>
      <c r="E146" s="18"/>
      <c r="F146" s="18"/>
      <c r="G146" s="17"/>
      <c r="H146" s="18"/>
      <c r="I146" s="18"/>
      <c r="J146" s="18"/>
      <c r="K146" s="18"/>
      <c r="L146" s="18"/>
      <c r="M146" s="22"/>
      <c r="N146" s="22"/>
      <c r="O146" s="22"/>
      <c r="P146" s="22"/>
      <c r="Q146" s="22"/>
      <c r="R146" s="22"/>
      <c r="S146" s="22"/>
      <c r="T146" s="22"/>
      <c r="U146" s="22"/>
      <c r="V146" s="22"/>
      <c r="W146" s="22"/>
      <c r="X146" s="22"/>
      <c r="Y146" s="22"/>
    </row>
    <row r="147" spans="1:25" ht="14.1" customHeight="1" x14ac:dyDescent="0.2">
      <c r="A147" s="24"/>
      <c r="B147" s="18"/>
      <c r="C147" s="18"/>
      <c r="D147" s="18"/>
      <c r="E147" s="18"/>
      <c r="F147" s="18"/>
      <c r="G147" s="17"/>
      <c r="H147" s="18"/>
      <c r="I147" s="18"/>
      <c r="J147" s="18"/>
      <c r="K147" s="18"/>
      <c r="L147" s="18"/>
      <c r="M147" s="22"/>
      <c r="N147" s="22"/>
      <c r="O147" s="22"/>
      <c r="P147" s="22"/>
      <c r="Q147" s="22"/>
      <c r="R147" s="22"/>
      <c r="S147" s="22"/>
      <c r="T147" s="22"/>
      <c r="U147" s="22"/>
      <c r="V147" s="22"/>
      <c r="W147" s="22"/>
      <c r="X147" s="22"/>
      <c r="Y147" s="22"/>
    </row>
    <row r="148" spans="1:25" ht="14.1" customHeight="1" x14ac:dyDescent="0.2">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
      <c r="A149" s="24"/>
      <c r="B149" s="18"/>
      <c r="C149" s="18"/>
      <c r="D149" s="18"/>
      <c r="E149" s="18"/>
      <c r="F149" s="18"/>
      <c r="G149" s="17"/>
      <c r="H149" s="18"/>
      <c r="I149" s="18"/>
      <c r="J149" s="18"/>
      <c r="K149" s="18"/>
      <c r="L149" s="18"/>
    </row>
    <row r="150" spans="1:25" ht="14.1" customHeight="1" x14ac:dyDescent="0.2">
      <c r="A150" s="24"/>
      <c r="B150" s="18"/>
      <c r="C150" s="18"/>
      <c r="D150" s="18"/>
      <c r="E150" s="18"/>
      <c r="F150" s="18"/>
      <c r="G150" s="17"/>
      <c r="H150" s="18"/>
      <c r="I150" s="18"/>
      <c r="J150" s="18"/>
      <c r="K150" s="18"/>
      <c r="L150" s="18"/>
    </row>
    <row r="151" spans="1:25" ht="14.1" customHeight="1" x14ac:dyDescent="0.2">
      <c r="A151" s="24"/>
      <c r="B151" s="18"/>
      <c r="C151" s="18"/>
      <c r="D151" s="18"/>
      <c r="E151" s="18"/>
      <c r="F151" s="18"/>
      <c r="G151" s="17"/>
      <c r="H151" s="17"/>
      <c r="I151" s="18"/>
      <c r="J151" s="18"/>
      <c r="K151" s="18"/>
      <c r="L151" s="18"/>
    </row>
    <row r="152" spans="1:25" ht="14.1" customHeight="1" x14ac:dyDescent="0.2">
      <c r="A152" s="24"/>
      <c r="B152" s="18"/>
      <c r="C152" s="18"/>
      <c r="D152" s="18"/>
      <c r="E152" s="18"/>
      <c r="F152" s="18"/>
      <c r="G152" s="17"/>
      <c r="H152" s="17"/>
      <c r="I152" s="18"/>
      <c r="J152" s="18"/>
      <c r="K152" s="18"/>
      <c r="L152" s="18"/>
    </row>
    <row r="153" spans="1:25" ht="14.1" customHeight="1" x14ac:dyDescent="0.2">
      <c r="A153" s="24"/>
      <c r="B153" s="18"/>
      <c r="C153" s="18"/>
      <c r="D153" s="18"/>
      <c r="E153" s="18"/>
      <c r="F153" s="18"/>
      <c r="G153" s="17"/>
      <c r="H153" s="17"/>
      <c r="I153" s="18"/>
      <c r="J153" s="18"/>
      <c r="K153" s="18"/>
      <c r="L153" s="18"/>
    </row>
    <row r="154" spans="1:25" ht="14.1" customHeight="1" x14ac:dyDescent="0.2">
      <c r="A154" s="24"/>
      <c r="B154" s="18"/>
      <c r="C154" s="18"/>
      <c r="D154" s="18"/>
      <c r="E154" s="18"/>
      <c r="F154" s="18"/>
      <c r="G154" s="25"/>
      <c r="H154" s="18"/>
      <c r="I154" s="18"/>
      <c r="J154" s="18"/>
      <c r="K154" s="18"/>
      <c r="L154" s="18"/>
    </row>
    <row r="155" spans="1:25" ht="14.1" customHeight="1" x14ac:dyDescent="0.2">
      <c r="A155" s="24"/>
      <c r="B155" s="18"/>
      <c r="C155" s="18"/>
      <c r="D155" s="18"/>
      <c r="E155" s="18"/>
      <c r="F155" s="18"/>
      <c r="G155" s="25"/>
      <c r="H155" s="25"/>
      <c r="I155" s="18"/>
      <c r="J155" s="18"/>
      <c r="K155" s="18"/>
      <c r="L155" s="18"/>
    </row>
    <row r="156" spans="1:25" ht="14.1" customHeight="1" x14ac:dyDescent="0.2">
      <c r="A156" s="24"/>
      <c r="B156" s="25"/>
      <c r="C156" s="18"/>
      <c r="D156" s="18"/>
      <c r="E156" s="18"/>
      <c r="F156" s="18"/>
      <c r="G156" s="25"/>
      <c r="H156" s="18"/>
      <c r="I156" s="18"/>
      <c r="J156" s="18"/>
      <c r="K156" s="18"/>
      <c r="L156" s="18"/>
    </row>
    <row r="157" spans="1:25" ht="14.1" customHeight="1" x14ac:dyDescent="0.2">
      <c r="A157" s="24"/>
      <c r="B157" s="18"/>
      <c r="C157" s="18"/>
      <c r="D157" s="18"/>
      <c r="E157" s="18"/>
      <c r="F157" s="18"/>
      <c r="G157" s="25"/>
      <c r="H157" s="25"/>
      <c r="I157" s="18"/>
      <c r="J157" s="18"/>
      <c r="K157" s="18"/>
      <c r="L157" s="18"/>
    </row>
    <row r="158" spans="1:25" ht="14.1" customHeight="1" x14ac:dyDescent="0.2">
      <c r="A158" s="24"/>
      <c r="B158" s="18"/>
      <c r="C158" s="18"/>
      <c r="D158" s="18"/>
      <c r="E158" s="18"/>
      <c r="F158" s="18"/>
      <c r="G158" s="25"/>
      <c r="H158" s="25"/>
      <c r="I158" s="18"/>
      <c r="J158" s="18"/>
      <c r="K158" s="18"/>
      <c r="L158" s="18"/>
    </row>
    <row r="159" spans="1:25" ht="14.1" customHeight="1" x14ac:dyDescent="0.2">
      <c r="A159" s="24"/>
      <c r="B159" s="18"/>
      <c r="C159" s="18"/>
      <c r="D159" s="18"/>
      <c r="E159" s="18"/>
      <c r="F159" s="18"/>
      <c r="G159" s="25"/>
      <c r="H159" s="25"/>
      <c r="I159" s="18"/>
      <c r="J159" s="18"/>
      <c r="K159" s="18"/>
      <c r="L159" s="18"/>
    </row>
    <row r="160" spans="1:25" ht="14.1" customHeight="1" x14ac:dyDescent="0.2">
      <c r="A160" s="24"/>
      <c r="B160" s="18"/>
      <c r="C160" s="18"/>
      <c r="D160" s="18"/>
      <c r="E160" s="18"/>
      <c r="F160" s="18"/>
      <c r="G160" s="25"/>
      <c r="H160" s="25"/>
      <c r="I160" s="18"/>
      <c r="J160" s="18"/>
      <c r="K160" s="18"/>
      <c r="L160" s="18"/>
    </row>
    <row r="161" spans="1:12" ht="14.1" customHeight="1" x14ac:dyDescent="0.2">
      <c r="A161" s="24"/>
      <c r="B161" s="18"/>
      <c r="C161" s="18"/>
      <c r="D161" s="18"/>
      <c r="E161" s="18"/>
      <c r="F161" s="18"/>
      <c r="G161" s="25"/>
      <c r="H161" s="25"/>
      <c r="I161" s="18"/>
      <c r="J161" s="18"/>
      <c r="K161" s="18"/>
      <c r="L161" s="18"/>
    </row>
    <row r="162" spans="1:12" ht="14.1" customHeight="1" x14ac:dyDescent="0.2">
      <c r="A162" s="24"/>
      <c r="B162" s="18"/>
      <c r="C162" s="18"/>
      <c r="D162" s="18"/>
      <c r="E162" s="18"/>
      <c r="F162" s="18"/>
      <c r="G162" s="25"/>
      <c r="H162" s="25"/>
      <c r="I162" s="18"/>
      <c r="J162" s="18"/>
      <c r="K162" s="18"/>
      <c r="L162" s="18"/>
    </row>
    <row r="163" spans="1:12" ht="14.1" customHeight="1" x14ac:dyDescent="0.2">
      <c r="A163" s="24"/>
      <c r="B163" s="18"/>
      <c r="C163" s="18"/>
      <c r="D163" s="18"/>
      <c r="E163" s="18"/>
      <c r="F163" s="18"/>
      <c r="G163" s="25"/>
      <c r="H163" s="25"/>
      <c r="I163" s="18"/>
      <c r="J163" s="18"/>
      <c r="K163" s="18"/>
      <c r="L163" s="18"/>
    </row>
    <row r="164" spans="1:12" ht="14.1" customHeight="1" x14ac:dyDescent="0.2">
      <c r="A164" s="24"/>
      <c r="B164" s="18"/>
      <c r="C164" s="18"/>
      <c r="D164" s="18"/>
      <c r="E164" s="18"/>
      <c r="F164" s="18"/>
      <c r="G164" s="25"/>
      <c r="H164" s="25"/>
      <c r="I164" s="18"/>
      <c r="J164" s="18"/>
      <c r="K164" s="18"/>
      <c r="L164" s="18"/>
    </row>
    <row r="165" spans="1:12" ht="14.1" customHeight="1" x14ac:dyDescent="0.2">
      <c r="A165" s="24"/>
      <c r="B165" s="18"/>
      <c r="C165" s="18"/>
      <c r="D165" s="18"/>
      <c r="E165" s="18"/>
      <c r="F165" s="18"/>
      <c r="G165" s="25"/>
      <c r="H165" s="25"/>
      <c r="I165" s="18"/>
      <c r="J165" s="18"/>
      <c r="K165" s="18"/>
      <c r="L165" s="18"/>
    </row>
    <row r="166" spans="1:12" ht="14.1" customHeight="1" x14ac:dyDescent="0.2">
      <c r="A166" s="24"/>
      <c r="B166" s="18"/>
      <c r="C166" s="18"/>
      <c r="D166" s="18"/>
      <c r="E166" s="18"/>
      <c r="F166" s="18"/>
      <c r="G166" s="25"/>
      <c r="H166" s="25"/>
      <c r="I166" s="18"/>
      <c r="J166" s="18"/>
      <c r="K166" s="18"/>
      <c r="L166" s="18"/>
    </row>
    <row r="167" spans="1:12" ht="14.1" customHeight="1" x14ac:dyDescent="0.2">
      <c r="A167" s="24"/>
      <c r="B167" s="18"/>
      <c r="C167" s="18"/>
      <c r="D167" s="18"/>
      <c r="E167" s="18"/>
      <c r="F167" s="18"/>
      <c r="G167" s="25"/>
      <c r="H167" s="25"/>
      <c r="I167" s="18"/>
      <c r="J167" s="18"/>
      <c r="K167" s="18"/>
      <c r="L167" s="18"/>
    </row>
    <row r="168" spans="1:12" ht="14.1" customHeight="1" x14ac:dyDescent="0.2">
      <c r="A168" s="26"/>
      <c r="B168" s="18"/>
      <c r="C168" s="18"/>
      <c r="D168" s="18"/>
      <c r="E168" s="18"/>
      <c r="F168" s="18"/>
      <c r="G168" s="25"/>
      <c r="H168" s="25"/>
      <c r="I168" s="18"/>
      <c r="J168" s="18"/>
      <c r="K168" s="18"/>
      <c r="L168" s="18"/>
    </row>
    <row r="169" spans="1:12" ht="14.1" customHeight="1" x14ac:dyDescent="0.2">
      <c r="A169" s="26"/>
      <c r="B169" s="18"/>
      <c r="C169" s="18"/>
      <c r="D169" s="18"/>
      <c r="E169" s="18"/>
      <c r="F169" s="18"/>
      <c r="G169" s="25"/>
      <c r="H169" s="25"/>
      <c r="I169" s="18"/>
      <c r="J169" s="18"/>
      <c r="K169" s="18"/>
      <c r="L169" s="18"/>
    </row>
    <row r="170" spans="1:12" ht="14.1" customHeight="1" x14ac:dyDescent="0.2">
      <c r="A170" s="26"/>
      <c r="B170" s="18"/>
      <c r="C170" s="18"/>
      <c r="D170" s="18"/>
      <c r="E170" s="18"/>
      <c r="F170" s="18"/>
      <c r="G170" s="25"/>
      <c r="H170" s="25"/>
      <c r="I170" s="18"/>
      <c r="J170" s="18"/>
      <c r="K170" s="18"/>
      <c r="L170" s="18"/>
    </row>
    <row r="171" spans="1:12" ht="14.1" customHeight="1" x14ac:dyDescent="0.2">
      <c r="A171" s="26"/>
      <c r="B171" s="18"/>
      <c r="C171" s="18"/>
      <c r="D171" s="18"/>
      <c r="E171" s="18"/>
      <c r="F171" s="18"/>
      <c r="G171" s="25"/>
      <c r="H171" s="25"/>
      <c r="I171" s="18"/>
      <c r="J171" s="18"/>
      <c r="K171" s="18"/>
      <c r="L171" s="18"/>
    </row>
    <row r="172" spans="1:12" ht="14.1" customHeight="1" x14ac:dyDescent="0.2">
      <c r="A172" s="26"/>
      <c r="B172" s="18"/>
      <c r="C172" s="18"/>
      <c r="D172" s="18"/>
      <c r="E172" s="18"/>
      <c r="F172" s="18"/>
      <c r="G172" s="25"/>
      <c r="H172" s="25"/>
      <c r="I172" s="18"/>
      <c r="J172" s="18"/>
      <c r="K172" s="18"/>
      <c r="L172" s="18"/>
    </row>
    <row r="173" spans="1:12" ht="14.1" customHeight="1" x14ac:dyDescent="0.2">
      <c r="A173" s="26"/>
      <c r="B173" s="25"/>
      <c r="C173" s="27"/>
      <c r="D173" s="25"/>
      <c r="E173" s="28"/>
      <c r="F173" s="27"/>
      <c r="G173" s="25"/>
      <c r="H173" s="25"/>
      <c r="I173" s="18"/>
      <c r="J173" s="18"/>
      <c r="K173" s="18"/>
      <c r="L173" s="18"/>
    </row>
    <row r="174" spans="1:12" ht="14.1" customHeight="1" x14ac:dyDescent="0.2">
      <c r="A174" s="26"/>
      <c r="B174" s="25"/>
      <c r="C174" s="27"/>
      <c r="D174" s="25"/>
      <c r="E174" s="28"/>
      <c r="F174" s="27"/>
      <c r="G174" s="18"/>
      <c r="H174" s="18"/>
      <c r="I174" s="18"/>
      <c r="J174" s="18"/>
      <c r="K174" s="18"/>
      <c r="L174" s="18"/>
    </row>
    <row r="175" spans="1:12" ht="14.1" customHeight="1" x14ac:dyDescent="0.2">
      <c r="A175" s="29"/>
      <c r="B175" s="25"/>
      <c r="C175" s="27"/>
      <c r="D175" s="25"/>
      <c r="E175" s="28"/>
      <c r="F175" s="27"/>
      <c r="G175" s="25"/>
      <c r="H175" s="28"/>
      <c r="I175" s="18"/>
      <c r="J175" s="18"/>
      <c r="K175" s="18"/>
      <c r="L175" s="18"/>
    </row>
    <row r="176" spans="1:12" ht="14.1" customHeight="1" x14ac:dyDescent="0.2">
      <c r="A176" s="29"/>
      <c r="B176" s="25"/>
      <c r="C176" s="27"/>
      <c r="D176" s="25"/>
      <c r="E176" s="28"/>
      <c r="F176" s="27"/>
      <c r="G176" s="25"/>
      <c r="H176" s="28"/>
      <c r="I176" s="18"/>
      <c r="J176" s="18"/>
      <c r="K176" s="18"/>
      <c r="L176" s="18"/>
    </row>
    <row r="177" spans="1:12" ht="14.1" customHeight="1" x14ac:dyDescent="0.2">
      <c r="A177" s="30"/>
      <c r="B177" s="25"/>
      <c r="C177" s="27"/>
      <c r="D177" s="25"/>
      <c r="E177" s="28"/>
      <c r="F177" s="27"/>
      <c r="G177" s="28"/>
      <c r="H177" s="28"/>
      <c r="I177" s="27"/>
      <c r="J177" s="27"/>
      <c r="K177" s="27"/>
      <c r="L177" s="27"/>
    </row>
    <row r="178" spans="1:12" ht="14.1" customHeight="1" x14ac:dyDescent="0.2">
      <c r="A178" s="30"/>
      <c r="B178" s="25"/>
      <c r="C178" s="27"/>
      <c r="D178" s="28"/>
      <c r="E178" s="28"/>
      <c r="F178" s="27"/>
      <c r="G178" s="28"/>
      <c r="H178" s="28"/>
      <c r="I178" s="27"/>
      <c r="J178" s="27"/>
      <c r="K178" s="27"/>
      <c r="L178" s="27"/>
    </row>
    <row r="179" spans="1:12" ht="14.1" customHeight="1" x14ac:dyDescent="0.2">
      <c r="A179" s="30"/>
      <c r="B179" s="25"/>
      <c r="C179" s="27"/>
      <c r="D179" s="25"/>
      <c r="E179" s="28"/>
      <c r="F179" s="27"/>
      <c r="G179" s="28"/>
      <c r="H179" s="28"/>
      <c r="I179" s="27"/>
      <c r="J179" s="27"/>
      <c r="K179" s="27"/>
      <c r="L179" s="27"/>
    </row>
    <row r="180" spans="1:12" ht="14.1" customHeight="1" x14ac:dyDescent="0.2">
      <c r="A180" s="30"/>
      <c r="B180" s="25"/>
      <c r="C180" s="27"/>
      <c r="D180" s="25"/>
      <c r="E180" s="28"/>
      <c r="F180" s="27"/>
      <c r="G180" s="28"/>
      <c r="H180" s="28"/>
      <c r="I180" s="27"/>
      <c r="J180" s="27"/>
      <c r="K180" s="27"/>
      <c r="L180" s="27"/>
    </row>
    <row r="181" spans="1:12" ht="14.1" customHeight="1" x14ac:dyDescent="0.2">
      <c r="A181" s="30"/>
      <c r="B181" s="25"/>
      <c r="C181" s="27"/>
      <c r="D181" s="25"/>
      <c r="E181" s="28"/>
      <c r="F181" s="27"/>
      <c r="G181" s="28"/>
      <c r="H181" s="28"/>
      <c r="I181" s="27"/>
      <c r="J181" s="27"/>
      <c r="K181" s="27"/>
      <c r="L181" s="27"/>
    </row>
    <row r="182" spans="1:12" ht="14.1" customHeight="1" x14ac:dyDescent="0.2">
      <c r="A182" s="30"/>
      <c r="B182" s="25"/>
      <c r="C182" s="18"/>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30"/>
      <c r="B184" s="25"/>
      <c r="C184" s="27"/>
      <c r="D184" s="25"/>
      <c r="E184" s="28"/>
      <c r="F184" s="27"/>
      <c r="G184" s="28"/>
      <c r="H184" s="28"/>
      <c r="I184" s="27"/>
      <c r="J184" s="27"/>
      <c r="K184" s="27"/>
      <c r="L184" s="27"/>
    </row>
    <row r="185" spans="1:12" x14ac:dyDescent="0.2">
      <c r="A185" s="29"/>
      <c r="B185" s="17"/>
      <c r="C185" s="31"/>
      <c r="D185" s="17"/>
      <c r="E185" s="32"/>
      <c r="F185" s="31"/>
      <c r="G185" s="17"/>
      <c r="H185" s="17"/>
      <c r="I185" s="31"/>
      <c r="J185" s="31"/>
      <c r="K185" s="31"/>
      <c r="L185" s="31"/>
    </row>
    <row r="186" spans="1:12" x14ac:dyDescent="0.2">
      <c r="A186" s="29"/>
      <c r="B186" s="17"/>
      <c r="C186" s="31"/>
      <c r="D186" s="17"/>
      <c r="E186" s="32"/>
      <c r="F186" s="31"/>
      <c r="G186" s="17"/>
      <c r="H186" s="17"/>
      <c r="I186" s="31"/>
      <c r="J186" s="31"/>
      <c r="K186" s="31"/>
      <c r="L186" s="31"/>
    </row>
    <row r="188" spans="1:12" x14ac:dyDescent="0.2">
      <c r="A188" s="1" t="s">
        <v>423</v>
      </c>
      <c r="B188" s="1" t="s">
        <v>424</v>
      </c>
      <c r="C188" s="4" t="s">
        <v>425</v>
      </c>
      <c r="D188" s="33" t="s">
        <v>426</v>
      </c>
      <c r="E188" s="33" t="s">
        <v>427</v>
      </c>
    </row>
    <row r="189" spans="1:12" x14ac:dyDescent="0.2">
      <c r="A189" s="34" t="s">
        <v>428</v>
      </c>
      <c r="B189" s="35">
        <f t="shared" ref="B189:B197" si="3">C189/$C$198</f>
        <v>0</v>
      </c>
      <c r="C189" s="5"/>
      <c r="D189" s="4">
        <f>33+1+1+1+1+1+8+1+1+1+2+1+2+1+1+1+2+3+8+2+1</f>
        <v>73</v>
      </c>
      <c r="E189" s="36"/>
    </row>
    <row r="190" spans="1:12" x14ac:dyDescent="0.2">
      <c r="A190" s="34" t="s">
        <v>247</v>
      </c>
      <c r="B190" s="35">
        <f t="shared" si="3"/>
        <v>0.1111111111111111</v>
      </c>
      <c r="C190" s="5">
        <f>'summary 1008'!I25</f>
        <v>2</v>
      </c>
      <c r="D190" s="4">
        <f>540+17+1+1+6+10+1+2+12+2+1+1+1+3+4+3+1+1+1+8+2+1+1+6+1+1+2+1+2+1+4+1+1+1+12+4+57+16+1+1+5</f>
        <v>737</v>
      </c>
      <c r="E190" s="36"/>
    </row>
    <row r="191" spans="1:12" x14ac:dyDescent="0.2">
      <c r="A191" s="34" t="s">
        <v>228</v>
      </c>
      <c r="B191" s="35">
        <f t="shared" si="3"/>
        <v>0.33333333333333331</v>
      </c>
      <c r="C191" s="5">
        <f>'summary 1008'!I26</f>
        <v>6</v>
      </c>
      <c r="D191" s="4">
        <f>13+1+1+1+16+10+5</f>
        <v>47</v>
      </c>
      <c r="E191" s="36">
        <f>(C191/D191)*100</f>
        <v>12.76595744680851</v>
      </c>
    </row>
    <row r="192" spans="1:12" x14ac:dyDescent="0.2">
      <c r="A192" s="34" t="s">
        <v>429</v>
      </c>
      <c r="B192" s="35">
        <f t="shared" si="3"/>
        <v>5.5555555555555552E-2</v>
      </c>
      <c r="C192" s="5">
        <f>'summary 1008'!I27</f>
        <v>1</v>
      </c>
      <c r="D192" s="4">
        <f>36+1+1+2+1+2</f>
        <v>43</v>
      </c>
      <c r="E192" s="36">
        <f>(C192/D192)*100</f>
        <v>2.3255813953488373</v>
      </c>
    </row>
    <row r="193" spans="1:5" x14ac:dyDescent="0.2">
      <c r="A193" s="34" t="s">
        <v>430</v>
      </c>
      <c r="B193" s="35">
        <f t="shared" si="3"/>
        <v>5.5555555555555552E-2</v>
      </c>
      <c r="C193" s="5">
        <f>'summary 1008'!I28</f>
        <v>1</v>
      </c>
      <c r="D193" s="4">
        <f>288+2+13+2+5+56+59+14+2+3+3+1+4+14+1+2</f>
        <v>469</v>
      </c>
      <c r="E193" s="36">
        <f>(C193/D193)*100</f>
        <v>0.21321961620469082</v>
      </c>
    </row>
    <row r="194" spans="1:5" x14ac:dyDescent="0.2">
      <c r="A194" s="34" t="s">
        <v>431</v>
      </c>
      <c r="B194" s="35">
        <f t="shared" si="3"/>
        <v>0</v>
      </c>
      <c r="C194" s="5"/>
      <c r="D194" s="4">
        <f>132+2+1+2+7+3+4+2+7+1+3+4+5+7+5</f>
        <v>185</v>
      </c>
      <c r="E194" s="36"/>
    </row>
    <row r="195" spans="1:5" x14ac:dyDescent="0.2">
      <c r="A195" s="34" t="s">
        <v>291</v>
      </c>
      <c r="B195" s="35">
        <f t="shared" si="3"/>
        <v>5.5555555555555552E-2</v>
      </c>
      <c r="C195" s="5">
        <f>'summary 1008'!I30</f>
        <v>1</v>
      </c>
      <c r="D195" s="4">
        <v>9</v>
      </c>
      <c r="E195" s="36">
        <f>(C195/D195)*100</f>
        <v>11.111111111111111</v>
      </c>
    </row>
    <row r="196" spans="1:5" x14ac:dyDescent="0.2">
      <c r="A196" s="34" t="s">
        <v>393</v>
      </c>
      <c r="B196" s="35">
        <f t="shared" si="3"/>
        <v>5.5555555555555552E-2</v>
      </c>
      <c r="C196" s="5">
        <f>'summary 1008'!I31</f>
        <v>1</v>
      </c>
      <c r="D196" s="4">
        <f>10+5+2</f>
        <v>17</v>
      </c>
      <c r="E196" s="36">
        <f>(C196/D196)*100</f>
        <v>5.8823529411764701</v>
      </c>
    </row>
    <row r="197" spans="1:5" x14ac:dyDescent="0.2">
      <c r="A197" s="37" t="s">
        <v>432</v>
      </c>
      <c r="B197" s="35">
        <f t="shared" si="3"/>
        <v>0.33333333333333331</v>
      </c>
      <c r="C197" s="5">
        <f>'summary 1008'!I32</f>
        <v>6</v>
      </c>
    </row>
    <row r="198" spans="1:5" x14ac:dyDescent="0.2">
      <c r="A198" s="37" t="s">
        <v>433</v>
      </c>
      <c r="B198" s="38">
        <f>SUM(B189:B197)</f>
        <v>1</v>
      </c>
      <c r="C198" s="4">
        <f>SUM(C189:C197)</f>
        <v>18</v>
      </c>
      <c r="D198" s="4">
        <f>SUM(D189:D197)</f>
        <v>1580</v>
      </c>
    </row>
  </sheetData>
  <phoneticPr fontId="0" type="noConversion"/>
  <printOptions horizontalCentered="1"/>
  <pageMargins left="0.25" right="0.25" top="1" bottom="0.5" header="0.5" footer="0.25"/>
  <pageSetup paperSize="5" scale="59" orientation="landscape" r:id="rId1"/>
  <headerFooter alignWithMargins="0">
    <oddHeader>&amp;C&amp;"Arial,Bold"EWS-Global Risk Operations
Weekly Summary of Market Risk Aggregation Issues
Week Beginning October 08</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1</f>
        <v>1</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f>
        <v>4</v>
      </c>
    </row>
    <row r="13" spans="1:11" x14ac:dyDescent="0.2">
      <c r="A13" s="6" t="s">
        <v>231</v>
      </c>
      <c r="B13" s="7"/>
      <c r="C13" s="7" t="s">
        <v>439</v>
      </c>
      <c r="D13" s="7"/>
      <c r="E13" s="7"/>
      <c r="F13" s="7"/>
      <c r="G13" s="7"/>
      <c r="H13" s="7"/>
      <c r="I13" s="7"/>
      <c r="J13" s="7"/>
      <c r="K13" s="7">
        <f>1+1+1</f>
        <v>3</v>
      </c>
    </row>
    <row r="14" spans="1:11" x14ac:dyDescent="0.2">
      <c r="A14" s="6" t="s">
        <v>361</v>
      </c>
      <c r="B14" s="7"/>
      <c r="C14" s="7" t="s">
        <v>203</v>
      </c>
      <c r="D14" s="7"/>
      <c r="E14" s="7"/>
      <c r="F14" s="7"/>
      <c r="G14" s="7"/>
      <c r="H14" s="7"/>
      <c r="I14" s="7"/>
      <c r="J14" s="7"/>
      <c r="K14" s="7">
        <f>2</f>
        <v>2</v>
      </c>
    </row>
    <row r="15" spans="1:11" x14ac:dyDescent="0.2">
      <c r="A15" s="6" t="s">
        <v>241</v>
      </c>
      <c r="B15" s="7"/>
      <c r="C15" s="7" t="s">
        <v>204</v>
      </c>
      <c r="D15" s="7"/>
      <c r="E15" s="7"/>
      <c r="F15" s="7"/>
      <c r="G15" s="7"/>
      <c r="H15" s="7"/>
      <c r="I15" s="7"/>
      <c r="J15" s="7"/>
      <c r="K15" s="7">
        <f>1</f>
        <v>1</v>
      </c>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row>
    <row r="18" spans="1:11" x14ac:dyDescent="0.2">
      <c r="A18" s="6" t="s">
        <v>266</v>
      </c>
      <c r="B18" s="7"/>
      <c r="C18" s="7" t="s">
        <v>207</v>
      </c>
      <c r="D18" s="7"/>
      <c r="E18" s="7"/>
      <c r="F18" s="7"/>
      <c r="G18" s="7"/>
      <c r="H18" s="7"/>
      <c r="I18" s="7"/>
      <c r="J18" s="7"/>
      <c r="K18" s="47"/>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f>1+1</f>
        <v>2</v>
      </c>
      <c r="J24" s="31"/>
      <c r="K24" s="31"/>
    </row>
    <row r="25" spans="1:11" x14ac:dyDescent="0.2">
      <c r="A25" s="29" t="s">
        <v>247</v>
      </c>
      <c r="B25" s="17"/>
      <c r="C25" s="17"/>
      <c r="D25" s="32"/>
      <c r="E25" s="31"/>
      <c r="F25" s="32"/>
      <c r="G25" s="32"/>
      <c r="H25" s="31"/>
      <c r="I25" s="6">
        <f>1+1</f>
        <v>2</v>
      </c>
      <c r="J25" s="31"/>
      <c r="K25" s="49"/>
    </row>
    <row r="26" spans="1:11" x14ac:dyDescent="0.2">
      <c r="A26" s="29" t="s">
        <v>228</v>
      </c>
      <c r="B26" s="17"/>
      <c r="C26" s="17"/>
      <c r="D26" s="32"/>
      <c r="E26" s="31"/>
      <c r="F26" s="32"/>
      <c r="G26" s="32"/>
      <c r="H26" s="31"/>
      <c r="I26" s="6">
        <f>4</f>
        <v>4</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f>
        <v>1</v>
      </c>
      <c r="J28" s="31"/>
      <c r="K28" s="31"/>
    </row>
    <row r="29" spans="1:11" x14ac:dyDescent="0.2">
      <c r="A29" s="29" t="s">
        <v>431</v>
      </c>
      <c r="B29" s="17"/>
      <c r="C29" s="17"/>
      <c r="D29" s="32"/>
      <c r="E29" s="31"/>
      <c r="F29" s="32"/>
      <c r="G29" s="32"/>
      <c r="H29" s="31"/>
      <c r="I29" s="6"/>
      <c r="J29" s="31"/>
      <c r="K29" s="32"/>
    </row>
    <row r="30" spans="1:11" x14ac:dyDescent="0.2">
      <c r="A30" s="29" t="s">
        <v>291</v>
      </c>
      <c r="B30" s="17"/>
      <c r="C30" s="17"/>
      <c r="D30" s="32"/>
      <c r="E30" s="31"/>
      <c r="F30" s="32"/>
      <c r="G30" s="32"/>
      <c r="H30" s="31"/>
      <c r="I30" s="6">
        <f>1</f>
        <v>1</v>
      </c>
      <c r="J30" s="31"/>
      <c r="K30" s="31"/>
    </row>
    <row r="31" spans="1:11" x14ac:dyDescent="0.2">
      <c r="A31" s="29" t="s">
        <v>393</v>
      </c>
      <c r="B31" s="17"/>
      <c r="C31" s="17"/>
      <c r="D31" s="32"/>
      <c r="E31" s="31"/>
      <c r="F31" s="32"/>
      <c r="G31" s="32"/>
      <c r="H31" s="31"/>
      <c r="I31" s="6"/>
      <c r="J31" s="31"/>
      <c r="K31" s="31"/>
    </row>
    <row r="32" spans="1:11" ht="13.5" thickBot="1" x14ac:dyDescent="0.25">
      <c r="A32" s="50" t="s">
        <v>444</v>
      </c>
      <c r="I32" s="5">
        <f>1</f>
        <v>1</v>
      </c>
      <c r="K32" s="51"/>
    </row>
    <row r="33" spans="1:11" ht="13.5" thickTop="1" x14ac:dyDescent="0.2">
      <c r="A33" s="52" t="s">
        <v>435</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row>
    <row r="2" spans="1:29" x14ac:dyDescent="0.2">
      <c r="A2" s="2" t="s">
        <v>199</v>
      </c>
      <c r="B2" s="3"/>
      <c r="H2" s="4">
        <f>1+1</f>
        <v>2</v>
      </c>
      <c r="J2" s="4">
        <f>1</f>
        <v>1</v>
      </c>
      <c r="K2" s="3"/>
      <c r="L2" s="5"/>
      <c r="M2" s="3"/>
      <c r="N2" s="3"/>
      <c r="P2" s="4">
        <v>1</v>
      </c>
    </row>
    <row r="3" spans="1:29" x14ac:dyDescent="0.2">
      <c r="A3" s="2" t="s">
        <v>200</v>
      </c>
      <c r="B3" s="5"/>
      <c r="K3" s="5"/>
      <c r="L3" s="5"/>
      <c r="M3" s="5"/>
      <c r="N3" s="6">
        <v>1</v>
      </c>
      <c r="P3" s="4">
        <v>1</v>
      </c>
      <c r="R3" s="4">
        <f>'[7]summary 0625'!K11</f>
        <v>2</v>
      </c>
      <c r="T3" s="4">
        <f>'[7]summary 0709'!K10</f>
        <v>1</v>
      </c>
    </row>
    <row r="4" spans="1:29"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row>
    <row r="5" spans="1:29"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row>
    <row r="6" spans="1:29"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9"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row>
    <row r="8" spans="1:29"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9"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29"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29"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428</v>
      </c>
      <c r="Y15" s="4">
        <f>[8]Aug!$U$24+[8]Aug!$U$9</f>
        <v>3</v>
      </c>
      <c r="Z15" s="4">
        <f>[8]Aug!$AB$27</f>
        <v>1</v>
      </c>
      <c r="AB15" s="4">
        <f>3</f>
        <v>3</v>
      </c>
      <c r="AC15" s="4" t="s">
        <v>428</v>
      </c>
    </row>
    <row r="16" spans="1:29" x14ac:dyDescent="0.2">
      <c r="A16" s="4" t="s">
        <v>247</v>
      </c>
      <c r="X16" s="4">
        <f>[8]Aug!$N$22+[8]Aug!$N$20+[8]Aug!$N$7+[8]Aug!$N$8</f>
        <v>14</v>
      </c>
      <c r="Y16" s="4">
        <f>[8]Aug!$U$20+[8]Aug!$U$22+[8]Aug!$U$16</f>
        <v>3</v>
      </c>
      <c r="Z16" s="4">
        <f>[8]Aug!$AB$22+[8]Aug!$AB$7+[8]Aug!$AB$8</f>
        <v>8</v>
      </c>
      <c r="AA16" s="4">
        <f>[8]Aug!$AI$16+1</f>
        <v>2</v>
      </c>
      <c r="AB16" s="4">
        <f>1+1+5+2</f>
        <v>9</v>
      </c>
      <c r="AC16" s="4" t="s">
        <v>247</v>
      </c>
    </row>
    <row r="17" spans="1:29" x14ac:dyDescent="0.2">
      <c r="A17" s="4" t="s">
        <v>393</v>
      </c>
      <c r="AC17" s="4" t="s">
        <v>393</v>
      </c>
    </row>
    <row r="18" spans="1:29" x14ac:dyDescent="0.2">
      <c r="A18" s="4" t="s">
        <v>228</v>
      </c>
      <c r="AC18" s="4" t="s">
        <v>228</v>
      </c>
    </row>
    <row r="19" spans="1:29" x14ac:dyDescent="0.2">
      <c r="A19" s="4" t="s">
        <v>291</v>
      </c>
      <c r="AC19" s="4" t="s">
        <v>291</v>
      </c>
    </row>
    <row r="20" spans="1:29" x14ac:dyDescent="0.2">
      <c r="A20" s="4" t="s">
        <v>510</v>
      </c>
      <c r="X20" s="4">
        <f>[8]Aug!$N$21+[8]Aug!$N$15</f>
        <v>6</v>
      </c>
      <c r="Y20" s="4">
        <f>[8]Aug!$U$26+[8]Aug!$U$21</f>
        <v>7</v>
      </c>
      <c r="Z20" s="4">
        <f>[8]Aug!$AB$26+[8]Aug!$AB$21</f>
        <v>3</v>
      </c>
      <c r="AA20" s="4">
        <f>[8]Aug!$AI$26+[8]Aug!$AI$21</f>
        <v>11</v>
      </c>
      <c r="AB20" s="4">
        <f>1</f>
        <v>1</v>
      </c>
      <c r="AC20" s="4" t="s">
        <v>510</v>
      </c>
    </row>
    <row r="22" spans="1:29" x14ac:dyDescent="0.2">
      <c r="A22" s="4" t="s">
        <v>507</v>
      </c>
      <c r="X22" s="4">
        <f>SUM(X15:X20)</f>
        <v>20</v>
      </c>
      <c r="Y22" s="4">
        <f>SUM(Y15:Y20)</f>
        <v>13</v>
      </c>
      <c r="Z22" s="4">
        <f>SUM(Z15:Z20)</f>
        <v>12</v>
      </c>
      <c r="AA22" s="4">
        <f>SUM(AA15:AA20)</f>
        <v>13</v>
      </c>
      <c r="AB22" s="4">
        <f>SUM(AB15:AB20)</f>
        <v>13</v>
      </c>
      <c r="AC22" s="4" t="s">
        <v>511</v>
      </c>
    </row>
    <row r="24" spans="1:29" x14ac:dyDescent="0.2">
      <c r="A24" s="4" t="s">
        <v>508</v>
      </c>
      <c r="AC24" s="4" t="s">
        <v>508</v>
      </c>
    </row>
    <row r="98" spans="1:12" x14ac:dyDescent="0.2">
      <c r="A98" s="10" t="s">
        <v>505</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210</v>
      </c>
      <c r="B100" s="11"/>
      <c r="C100" s="11"/>
      <c r="D100" s="11"/>
      <c r="E100" s="11"/>
      <c r="F100" s="12"/>
      <c r="G100" s="11"/>
      <c r="H100" s="11"/>
      <c r="I100" s="12"/>
      <c r="J100" s="12"/>
      <c r="K100" s="12"/>
      <c r="L100" s="11"/>
    </row>
    <row r="101" spans="1:12" x14ac:dyDescent="0.2">
      <c r="A101" s="11" t="s">
        <v>445</v>
      </c>
      <c r="B101" s="11"/>
      <c r="C101" s="11"/>
      <c r="D101" s="11"/>
      <c r="E101" s="11"/>
      <c r="F101" s="12"/>
      <c r="G101" s="11"/>
      <c r="H101" s="11"/>
      <c r="I101" s="12"/>
      <c r="J101" s="12"/>
      <c r="K101" s="12"/>
      <c r="L101" s="11"/>
    </row>
    <row r="102" spans="1:12" x14ac:dyDescent="0.2">
      <c r="A102" s="11" t="s">
        <v>446</v>
      </c>
      <c r="B102" s="11"/>
      <c r="C102" s="11"/>
      <c r="D102" s="11"/>
      <c r="E102" s="11"/>
      <c r="F102" s="12"/>
      <c r="G102" s="11"/>
      <c r="H102" s="11"/>
      <c r="I102" s="12"/>
      <c r="J102" s="12"/>
      <c r="K102" s="12"/>
      <c r="L102" s="11"/>
    </row>
    <row r="103" spans="1:12" x14ac:dyDescent="0.2">
      <c r="A103" s="11" t="s">
        <v>447</v>
      </c>
      <c r="B103" s="11"/>
      <c r="C103" s="11"/>
      <c r="D103" s="11"/>
      <c r="E103" s="11"/>
      <c r="F103" s="12"/>
      <c r="G103" s="11"/>
      <c r="H103" s="11"/>
      <c r="I103" s="12"/>
      <c r="J103" s="12"/>
      <c r="K103" s="12"/>
      <c r="L103" s="11"/>
    </row>
    <row r="104" spans="1:12" x14ac:dyDescent="0.2">
      <c r="A104" s="11" t="s">
        <v>448</v>
      </c>
      <c r="B104" s="11"/>
      <c r="C104" s="11"/>
      <c r="D104" s="11"/>
      <c r="E104" s="11"/>
      <c r="F104" s="12"/>
      <c r="G104" s="11"/>
      <c r="H104" s="11"/>
      <c r="I104" s="12"/>
      <c r="J104" s="12"/>
      <c r="K104" s="12"/>
      <c r="L104" s="11"/>
    </row>
    <row r="105" spans="1:12" x14ac:dyDescent="0.2">
      <c r="A105" s="11" t="s">
        <v>449</v>
      </c>
      <c r="B105" s="11"/>
      <c r="C105" s="11"/>
      <c r="D105" s="11"/>
      <c r="E105" s="11"/>
      <c r="F105" s="12"/>
      <c r="G105" s="11"/>
      <c r="H105" s="11"/>
      <c r="I105" s="12"/>
      <c r="J105" s="12"/>
      <c r="K105" s="12"/>
      <c r="L105" s="11"/>
    </row>
    <row r="106" spans="1:12" x14ac:dyDescent="0.2">
      <c r="A106" s="11" t="s">
        <v>450</v>
      </c>
      <c r="B106" s="11"/>
      <c r="C106" s="11"/>
      <c r="D106" s="11"/>
      <c r="E106" s="11"/>
      <c r="F106" s="12"/>
      <c r="G106" s="11"/>
      <c r="H106" s="11"/>
      <c r="I106" s="12"/>
      <c r="J106" s="12"/>
      <c r="K106" s="12"/>
      <c r="L106" s="11"/>
    </row>
    <row r="107" spans="1:12" x14ac:dyDescent="0.2">
      <c r="A107" s="11" t="s">
        <v>451</v>
      </c>
      <c r="B107" s="11"/>
      <c r="C107" s="11"/>
      <c r="D107" s="11"/>
      <c r="E107" s="11"/>
      <c r="F107" s="12"/>
      <c r="G107" s="11"/>
      <c r="H107" s="11"/>
      <c r="I107" s="12"/>
      <c r="J107" s="12"/>
      <c r="K107" s="12"/>
      <c r="L107" s="11"/>
    </row>
    <row r="108" spans="1:12" x14ac:dyDescent="0.2">
      <c r="A108" s="11" t="s">
        <v>452</v>
      </c>
      <c r="B108" s="11"/>
      <c r="C108" s="11"/>
      <c r="D108" s="11"/>
      <c r="E108" s="11"/>
      <c r="F108" s="12"/>
      <c r="G108" s="11"/>
      <c r="H108" s="11"/>
      <c r="I108" s="12"/>
      <c r="J108" s="12"/>
      <c r="K108" s="12"/>
      <c r="L108" s="11"/>
    </row>
    <row r="109" spans="1:12" x14ac:dyDescent="0.2">
      <c r="A109" s="11" t="s">
        <v>453</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211</v>
      </c>
      <c r="F111" s="14"/>
      <c r="G111" s="14"/>
      <c r="H111" s="14"/>
      <c r="I111" s="14" t="s">
        <v>212</v>
      </c>
      <c r="J111" s="14" t="s">
        <v>213</v>
      </c>
      <c r="K111" s="14" t="s">
        <v>214</v>
      </c>
      <c r="L111" s="14" t="s">
        <v>215</v>
      </c>
    </row>
    <row r="112" spans="1:12" x14ac:dyDescent="0.2">
      <c r="A112" s="14" t="s">
        <v>216</v>
      </c>
      <c r="B112" s="14" t="s">
        <v>217</v>
      </c>
      <c r="C112" s="14" t="s">
        <v>218</v>
      </c>
      <c r="D112" s="14" t="s">
        <v>219</v>
      </c>
      <c r="E112" s="14" t="s">
        <v>220</v>
      </c>
      <c r="F112" s="14" t="s">
        <v>210</v>
      </c>
      <c r="G112" s="14" t="s">
        <v>221</v>
      </c>
      <c r="H112" s="14" t="s">
        <v>222</v>
      </c>
      <c r="I112" s="14" t="s">
        <v>223</v>
      </c>
      <c r="J112" s="14" t="s">
        <v>224</v>
      </c>
      <c r="K112" s="14" t="s">
        <v>225</v>
      </c>
      <c r="L112" s="14" t="s">
        <v>226</v>
      </c>
    </row>
    <row r="113" spans="1:25" x14ac:dyDescent="0.2">
      <c r="A113" s="14"/>
      <c r="B113" s="14"/>
      <c r="C113" s="14"/>
      <c r="D113" s="14"/>
      <c r="E113" s="14"/>
      <c r="F113" s="14"/>
      <c r="G113" s="14"/>
      <c r="H113" s="14"/>
      <c r="I113" s="14"/>
      <c r="J113" s="14"/>
      <c r="K113" s="14"/>
      <c r="L113" s="14"/>
    </row>
    <row r="114" spans="1:25" ht="25.5" x14ac:dyDescent="0.2">
      <c r="A114" s="24">
        <v>37141</v>
      </c>
      <c r="B114" s="18" t="s">
        <v>512</v>
      </c>
      <c r="C114" s="18" t="s">
        <v>393</v>
      </c>
      <c r="D114" s="18" t="s">
        <v>513</v>
      </c>
      <c r="E114" s="18" t="s">
        <v>514</v>
      </c>
      <c r="F114" s="18" t="s">
        <v>255</v>
      </c>
      <c r="G114" s="17" t="s">
        <v>515</v>
      </c>
      <c r="H114" s="17"/>
      <c r="I114" s="18" t="s">
        <v>234</v>
      </c>
      <c r="J114" s="18" t="s">
        <v>234</v>
      </c>
      <c r="K114" s="18" t="s">
        <v>235</v>
      </c>
      <c r="L114" s="18" t="s">
        <v>456</v>
      </c>
    </row>
    <row r="115" spans="1:25" ht="25.5" x14ac:dyDescent="0.2">
      <c r="A115" s="24">
        <v>37141</v>
      </c>
      <c r="B115" s="18" t="s">
        <v>516</v>
      </c>
      <c r="C115" s="18" t="s">
        <v>247</v>
      </c>
      <c r="D115" s="18" t="s">
        <v>460</v>
      </c>
      <c r="E115" s="18" t="s">
        <v>249</v>
      </c>
      <c r="F115" s="18" t="s">
        <v>255</v>
      </c>
      <c r="G115" s="17" t="s">
        <v>517</v>
      </c>
      <c r="H115" s="17"/>
      <c r="I115" s="18" t="s">
        <v>234</v>
      </c>
      <c r="J115" s="18" t="s">
        <v>234</v>
      </c>
      <c r="K115" s="18" t="s">
        <v>234</v>
      </c>
      <c r="L115" s="18" t="s">
        <v>456</v>
      </c>
    </row>
    <row r="116" spans="1:25" ht="25.5" x14ac:dyDescent="0.2">
      <c r="A116" s="24">
        <v>37141</v>
      </c>
      <c r="B116" s="18" t="s">
        <v>518</v>
      </c>
      <c r="C116" s="18" t="s">
        <v>247</v>
      </c>
      <c r="D116" s="18" t="s">
        <v>248</v>
      </c>
      <c r="E116" s="18" t="s">
        <v>249</v>
      </c>
      <c r="F116" s="18" t="s">
        <v>255</v>
      </c>
      <c r="G116" s="17" t="s">
        <v>519</v>
      </c>
      <c r="H116" s="17"/>
      <c r="I116" s="18" t="s">
        <v>234</v>
      </c>
      <c r="J116" s="18" t="s">
        <v>234</v>
      </c>
      <c r="K116" s="18" t="s">
        <v>234</v>
      </c>
      <c r="L116" s="18" t="s">
        <v>456</v>
      </c>
    </row>
    <row r="117" spans="1:25" ht="63.75" x14ac:dyDescent="0.2">
      <c r="A117" s="24">
        <v>37141</v>
      </c>
      <c r="B117" s="18" t="s">
        <v>418</v>
      </c>
      <c r="C117" s="18" t="s">
        <v>228</v>
      </c>
      <c r="D117" s="18" t="s">
        <v>418</v>
      </c>
      <c r="E117" s="18" t="s">
        <v>230</v>
      </c>
      <c r="F117" s="18" t="s">
        <v>231</v>
      </c>
      <c r="G117" s="17" t="s">
        <v>520</v>
      </c>
      <c r="H117" s="17"/>
      <c r="I117" s="18" t="s">
        <v>234</v>
      </c>
      <c r="J117" s="18" t="s">
        <v>234</v>
      </c>
      <c r="K117" s="18" t="s">
        <v>235</v>
      </c>
      <c r="L117" s="18" t="s">
        <v>456</v>
      </c>
    </row>
    <row r="118" spans="1:25" ht="24.75" customHeight="1" x14ac:dyDescent="0.2">
      <c r="A118" s="24">
        <v>37141</v>
      </c>
      <c r="B118" s="18" t="s">
        <v>466</v>
      </c>
      <c r="C118" s="18" t="s">
        <v>228</v>
      </c>
      <c r="D118" s="18" t="s">
        <v>308</v>
      </c>
      <c r="E118" s="18" t="s">
        <v>521</v>
      </c>
      <c r="F118" s="18" t="s">
        <v>231</v>
      </c>
      <c r="G118" s="17" t="s">
        <v>522</v>
      </c>
      <c r="H118" s="17"/>
      <c r="I118" s="18" t="s">
        <v>235</v>
      </c>
      <c r="J118" s="18" t="s">
        <v>235</v>
      </c>
      <c r="K118" s="18" t="s">
        <v>235</v>
      </c>
      <c r="L118" s="18" t="s">
        <v>456</v>
      </c>
    </row>
    <row r="119" spans="1:25" ht="38.25" x14ac:dyDescent="0.2">
      <c r="A119" s="56">
        <v>37140</v>
      </c>
      <c r="B119" s="57" t="s">
        <v>523</v>
      </c>
      <c r="C119" s="57" t="s">
        <v>228</v>
      </c>
      <c r="D119" s="57" t="s">
        <v>311</v>
      </c>
      <c r="E119" s="57" t="s">
        <v>230</v>
      </c>
      <c r="F119" s="57" t="s">
        <v>231</v>
      </c>
      <c r="G119" s="58" t="s">
        <v>524</v>
      </c>
      <c r="H119" s="58"/>
      <c r="I119" s="57" t="s">
        <v>234</v>
      </c>
      <c r="J119" s="57" t="s">
        <v>234</v>
      </c>
      <c r="K119" s="57" t="s">
        <v>235</v>
      </c>
      <c r="L119" s="16" t="s">
        <v>456</v>
      </c>
      <c r="M119" s="22"/>
      <c r="N119" s="22"/>
      <c r="O119" s="22"/>
      <c r="P119" s="22"/>
      <c r="Q119" s="22"/>
      <c r="R119" s="22"/>
      <c r="S119" s="22"/>
      <c r="T119" s="22"/>
      <c r="U119" s="22"/>
      <c r="V119" s="22"/>
      <c r="W119" s="22"/>
      <c r="X119" s="22"/>
      <c r="Y119" s="22"/>
    </row>
    <row r="120" spans="1:25" ht="38.25" x14ac:dyDescent="0.2">
      <c r="A120" s="24">
        <v>37140</v>
      </c>
      <c r="B120" s="18" t="s">
        <v>525</v>
      </c>
      <c r="C120" s="18" t="s">
        <v>238</v>
      </c>
      <c r="D120" s="18" t="s">
        <v>526</v>
      </c>
      <c r="E120" s="18" t="s">
        <v>299</v>
      </c>
      <c r="F120" s="18" t="s">
        <v>255</v>
      </c>
      <c r="G120" s="17" t="s">
        <v>527</v>
      </c>
      <c r="H120" s="17"/>
      <c r="I120" s="18" t="s">
        <v>234</v>
      </c>
      <c r="J120" s="18" t="s">
        <v>235</v>
      </c>
      <c r="K120" s="18" t="s">
        <v>234</v>
      </c>
      <c r="L120" s="16" t="s">
        <v>456</v>
      </c>
      <c r="M120" s="22"/>
      <c r="N120" s="22"/>
      <c r="O120" s="22"/>
      <c r="P120" s="22"/>
      <c r="Q120" s="22"/>
      <c r="R120" s="22"/>
      <c r="S120" s="22"/>
      <c r="T120" s="22"/>
      <c r="U120" s="22"/>
      <c r="V120" s="22"/>
      <c r="W120" s="22"/>
      <c r="X120" s="22"/>
      <c r="Y120" s="22"/>
    </row>
    <row r="121" spans="1:25" x14ac:dyDescent="0.2">
      <c r="A121" s="24">
        <v>37140</v>
      </c>
      <c r="B121" s="18" t="s">
        <v>528</v>
      </c>
      <c r="C121" s="18" t="s">
        <v>238</v>
      </c>
      <c r="D121" s="18" t="s">
        <v>285</v>
      </c>
      <c r="E121" s="18"/>
      <c r="F121" s="18" t="s">
        <v>255</v>
      </c>
      <c r="G121" s="17" t="s">
        <v>529</v>
      </c>
      <c r="H121" s="17"/>
      <c r="I121" s="18" t="s">
        <v>234</v>
      </c>
      <c r="J121" s="18" t="s">
        <v>234</v>
      </c>
      <c r="K121" s="18" t="s">
        <v>234</v>
      </c>
      <c r="L121" s="16" t="s">
        <v>456</v>
      </c>
      <c r="M121" s="22"/>
      <c r="N121" s="22"/>
      <c r="O121" s="22"/>
      <c r="P121" s="22"/>
      <c r="Q121" s="22"/>
      <c r="R121" s="22"/>
      <c r="S121" s="22"/>
      <c r="T121" s="22"/>
      <c r="U121" s="22"/>
      <c r="V121" s="22"/>
      <c r="W121" s="22"/>
      <c r="X121" s="22"/>
      <c r="Y121" s="22"/>
    </row>
    <row r="122" spans="1:25" ht="55.5" customHeight="1" x14ac:dyDescent="0.2">
      <c r="A122" s="24">
        <v>37140</v>
      </c>
      <c r="B122" s="18" t="s">
        <v>530</v>
      </c>
      <c r="C122" s="18" t="s">
        <v>428</v>
      </c>
      <c r="D122" s="18" t="s">
        <v>531</v>
      </c>
      <c r="E122" s="18" t="s">
        <v>470</v>
      </c>
      <c r="F122" s="18" t="s">
        <v>255</v>
      </c>
      <c r="G122" s="17" t="s">
        <v>532</v>
      </c>
      <c r="H122" s="17"/>
      <c r="I122" s="18" t="s">
        <v>234</v>
      </c>
      <c r="J122" s="18" t="s">
        <v>234</v>
      </c>
      <c r="K122" s="18" t="s">
        <v>234</v>
      </c>
      <c r="L122" s="16" t="s">
        <v>456</v>
      </c>
      <c r="M122" s="22"/>
      <c r="N122" s="22"/>
      <c r="O122" s="22"/>
      <c r="P122" s="22"/>
      <c r="Q122" s="22"/>
      <c r="R122" s="22"/>
      <c r="S122" s="22"/>
      <c r="T122" s="22"/>
      <c r="U122" s="22"/>
      <c r="V122" s="22"/>
      <c r="W122" s="22"/>
      <c r="X122" s="22"/>
      <c r="Y122" s="22"/>
    </row>
    <row r="123" spans="1:25" ht="63.75" x14ac:dyDescent="0.2">
      <c r="A123" s="24">
        <v>37140</v>
      </c>
      <c r="B123" s="18" t="s">
        <v>466</v>
      </c>
      <c r="C123" s="18" t="s">
        <v>228</v>
      </c>
      <c r="D123" s="18" t="s">
        <v>308</v>
      </c>
      <c r="E123" s="18" t="s">
        <v>230</v>
      </c>
      <c r="F123" s="18" t="s">
        <v>266</v>
      </c>
      <c r="G123" s="17" t="s">
        <v>533</v>
      </c>
      <c r="H123" s="17"/>
      <c r="I123" s="18" t="s">
        <v>235</v>
      </c>
      <c r="J123" s="18" t="s">
        <v>235</v>
      </c>
      <c r="K123" s="18" t="s">
        <v>235</v>
      </c>
      <c r="L123" s="16" t="s">
        <v>456</v>
      </c>
      <c r="M123" s="22"/>
      <c r="N123" s="22"/>
      <c r="O123" s="22"/>
      <c r="P123" s="22"/>
      <c r="Q123" s="22"/>
      <c r="R123" s="22"/>
      <c r="S123" s="22"/>
      <c r="T123" s="22"/>
      <c r="U123" s="22"/>
      <c r="V123" s="22"/>
      <c r="W123" s="22"/>
      <c r="X123" s="22"/>
      <c r="Y123" s="22"/>
    </row>
    <row r="124" spans="1:25" x14ac:dyDescent="0.2">
      <c r="A124" s="24">
        <v>37139</v>
      </c>
      <c r="B124" s="18" t="s">
        <v>534</v>
      </c>
      <c r="C124" s="18" t="s">
        <v>291</v>
      </c>
      <c r="D124" s="18" t="s">
        <v>292</v>
      </c>
      <c r="E124" s="18" t="s">
        <v>293</v>
      </c>
      <c r="F124" s="18" t="s">
        <v>255</v>
      </c>
      <c r="G124" s="17" t="s">
        <v>535</v>
      </c>
      <c r="H124" s="17"/>
      <c r="I124" s="18" t="s">
        <v>235</v>
      </c>
      <c r="J124" s="18" t="s">
        <v>234</v>
      </c>
      <c r="K124" s="18" t="s">
        <v>235</v>
      </c>
      <c r="L124" s="16" t="s">
        <v>456</v>
      </c>
      <c r="M124" s="22"/>
      <c r="N124" s="22"/>
      <c r="O124" s="22"/>
      <c r="P124" s="22"/>
      <c r="Q124" s="22"/>
      <c r="R124" s="22"/>
      <c r="S124" s="22"/>
      <c r="T124" s="22"/>
      <c r="U124" s="22"/>
      <c r="V124" s="22"/>
      <c r="W124" s="22"/>
      <c r="X124" s="22"/>
      <c r="Y124" s="22"/>
    </row>
    <row r="125" spans="1:25" ht="25.5" x14ac:dyDescent="0.2">
      <c r="A125" s="24">
        <v>37139</v>
      </c>
      <c r="B125" s="18" t="s">
        <v>536</v>
      </c>
      <c r="C125" s="18" t="s">
        <v>228</v>
      </c>
      <c r="D125" s="18" t="s">
        <v>229</v>
      </c>
      <c r="E125" s="18" t="s">
        <v>230</v>
      </c>
      <c r="F125" s="18" t="s">
        <v>231</v>
      </c>
      <c r="G125" s="17" t="s">
        <v>537</v>
      </c>
      <c r="H125" s="17"/>
      <c r="I125" s="18" t="s">
        <v>234</v>
      </c>
      <c r="J125" s="18" t="s">
        <v>234</v>
      </c>
      <c r="K125" s="18" t="s">
        <v>235</v>
      </c>
      <c r="L125" s="16" t="s">
        <v>456</v>
      </c>
      <c r="M125" s="22"/>
      <c r="N125" s="22"/>
      <c r="O125" s="22"/>
      <c r="P125" s="22"/>
      <c r="Q125" s="22"/>
      <c r="R125" s="22"/>
      <c r="S125" s="22"/>
      <c r="T125" s="22"/>
      <c r="U125" s="22"/>
      <c r="V125" s="22"/>
      <c r="W125" s="22"/>
      <c r="X125" s="22"/>
      <c r="Y125" s="22"/>
    </row>
    <row r="126" spans="1:25" ht="38.25" x14ac:dyDescent="0.2">
      <c r="A126" s="24">
        <v>37138</v>
      </c>
      <c r="B126" s="17" t="s">
        <v>538</v>
      </c>
      <c r="C126" s="18" t="s">
        <v>428</v>
      </c>
      <c r="D126" s="18" t="s">
        <v>539</v>
      </c>
      <c r="E126" s="18" t="s">
        <v>540</v>
      </c>
      <c r="F126" s="18" t="s">
        <v>255</v>
      </c>
      <c r="G126" s="17" t="s">
        <v>477</v>
      </c>
      <c r="H126" s="17"/>
      <c r="I126" s="18" t="s">
        <v>234</v>
      </c>
      <c r="J126" s="18" t="s">
        <v>234</v>
      </c>
      <c r="K126" s="18" t="s">
        <v>234</v>
      </c>
      <c r="L126" s="16" t="s">
        <v>456</v>
      </c>
      <c r="M126" s="22"/>
      <c r="N126" s="22"/>
      <c r="O126" s="22"/>
      <c r="P126" s="22"/>
      <c r="Q126" s="22"/>
      <c r="R126" s="22"/>
      <c r="S126" s="22"/>
      <c r="T126" s="22"/>
      <c r="U126" s="22"/>
      <c r="V126" s="22"/>
      <c r="W126" s="22"/>
      <c r="X126" s="22"/>
      <c r="Y126" s="22"/>
    </row>
    <row r="127" spans="1:25" ht="25.5" x14ac:dyDescent="0.2">
      <c r="A127" s="24">
        <v>37138</v>
      </c>
      <c r="B127" s="59" t="s">
        <v>541</v>
      </c>
      <c r="C127" s="18" t="s">
        <v>428</v>
      </c>
      <c r="D127" s="18" t="s">
        <v>539</v>
      </c>
      <c r="E127" s="18" t="s">
        <v>540</v>
      </c>
      <c r="F127" s="18" t="s">
        <v>255</v>
      </c>
      <c r="G127" s="17" t="s">
        <v>477</v>
      </c>
      <c r="H127" s="17"/>
      <c r="I127" s="18" t="s">
        <v>234</v>
      </c>
      <c r="J127" s="18" t="s">
        <v>234</v>
      </c>
      <c r="K127" s="18" t="s">
        <v>234</v>
      </c>
      <c r="L127" s="16" t="s">
        <v>456</v>
      </c>
      <c r="M127" s="22"/>
      <c r="N127" s="22"/>
      <c r="O127" s="22"/>
      <c r="P127" s="22"/>
      <c r="Q127" s="22"/>
      <c r="R127" s="22"/>
      <c r="S127" s="22"/>
      <c r="T127" s="22"/>
      <c r="U127" s="22"/>
      <c r="V127" s="22"/>
      <c r="W127" s="22"/>
      <c r="X127" s="22"/>
      <c r="Y127" s="22"/>
    </row>
    <row r="128" spans="1:25" ht="38.25" x14ac:dyDescent="0.2">
      <c r="A128" s="24">
        <v>37138</v>
      </c>
      <c r="B128" s="17" t="s">
        <v>542</v>
      </c>
      <c r="C128" s="18" t="s">
        <v>291</v>
      </c>
      <c r="D128" s="18" t="s">
        <v>498</v>
      </c>
      <c r="E128" s="18" t="s">
        <v>293</v>
      </c>
      <c r="F128" s="18" t="s">
        <v>255</v>
      </c>
      <c r="G128" s="17" t="s">
        <v>477</v>
      </c>
      <c r="H128" s="17"/>
      <c r="I128" s="18" t="s">
        <v>234</v>
      </c>
      <c r="J128" s="18" t="s">
        <v>234</v>
      </c>
      <c r="K128" s="18" t="s">
        <v>235</v>
      </c>
      <c r="L128" s="16" t="s">
        <v>456</v>
      </c>
      <c r="M128" s="22"/>
      <c r="N128" s="22"/>
      <c r="O128" s="22"/>
      <c r="P128" s="22"/>
      <c r="Q128" s="22"/>
      <c r="R128" s="22"/>
      <c r="S128" s="22"/>
      <c r="T128" s="22"/>
      <c r="U128" s="22"/>
      <c r="V128" s="22"/>
      <c r="W128" s="22"/>
      <c r="X128" s="22"/>
      <c r="Y128" s="22"/>
    </row>
    <row r="129" spans="1:25" ht="25.5" x14ac:dyDescent="0.2">
      <c r="A129" s="24">
        <v>37138</v>
      </c>
      <c r="B129" s="18" t="s">
        <v>518</v>
      </c>
      <c r="C129" s="18" t="s">
        <v>247</v>
      </c>
      <c r="D129" s="18" t="s">
        <v>248</v>
      </c>
      <c r="E129" s="18" t="s">
        <v>543</v>
      </c>
      <c r="F129" s="18" t="s">
        <v>255</v>
      </c>
      <c r="G129" s="17" t="s">
        <v>544</v>
      </c>
      <c r="H129" s="17"/>
      <c r="I129" s="18" t="s">
        <v>234</v>
      </c>
      <c r="J129" s="18" t="s">
        <v>234</v>
      </c>
      <c r="K129" s="18" t="s">
        <v>235</v>
      </c>
      <c r="L129" s="16" t="s">
        <v>456</v>
      </c>
      <c r="M129" s="22"/>
      <c r="N129" s="22"/>
      <c r="O129" s="22"/>
      <c r="P129" s="22"/>
      <c r="Q129" s="22"/>
      <c r="R129" s="22"/>
      <c r="S129" s="22"/>
      <c r="T129" s="22"/>
      <c r="U129" s="22"/>
      <c r="V129" s="22"/>
      <c r="W129" s="22"/>
      <c r="X129" s="22"/>
      <c r="Y129" s="22"/>
    </row>
    <row r="130" spans="1:25" ht="89.25" x14ac:dyDescent="0.2">
      <c r="A130" s="24">
        <v>37138</v>
      </c>
      <c r="B130" s="18" t="s">
        <v>545</v>
      </c>
      <c r="C130" s="18" t="s">
        <v>228</v>
      </c>
      <c r="D130" s="18" t="s">
        <v>229</v>
      </c>
      <c r="E130" s="18" t="s">
        <v>230</v>
      </c>
      <c r="F130" s="18" t="s">
        <v>241</v>
      </c>
      <c r="G130" s="17" t="s">
        <v>546</v>
      </c>
      <c r="H130" s="17"/>
      <c r="I130" s="18" t="s">
        <v>234</v>
      </c>
      <c r="J130" s="18" t="s">
        <v>234</v>
      </c>
      <c r="K130" s="18" t="s">
        <v>235</v>
      </c>
      <c r="L130" s="16" t="s">
        <v>456</v>
      </c>
      <c r="M130" s="22"/>
      <c r="N130" s="22"/>
      <c r="O130" s="22"/>
      <c r="P130" s="22"/>
      <c r="Q130" s="22"/>
      <c r="R130" s="22"/>
      <c r="S130" s="22"/>
      <c r="T130" s="22"/>
      <c r="U130" s="22"/>
      <c r="V130" s="22"/>
      <c r="W130" s="22"/>
      <c r="X130" s="22"/>
      <c r="Y130" s="22"/>
    </row>
    <row r="131" spans="1:25" ht="51" x14ac:dyDescent="0.2">
      <c r="A131" s="24">
        <v>37138</v>
      </c>
      <c r="B131" s="18" t="s">
        <v>547</v>
      </c>
      <c r="C131" s="18"/>
      <c r="D131" s="18"/>
      <c r="E131" s="18"/>
      <c r="F131" s="18" t="s">
        <v>260</v>
      </c>
      <c r="G131" s="17" t="s">
        <v>0</v>
      </c>
      <c r="H131" s="17"/>
      <c r="I131" s="18" t="s">
        <v>234</v>
      </c>
      <c r="J131" s="18" t="s">
        <v>235</v>
      </c>
      <c r="K131" s="18" t="s">
        <v>235</v>
      </c>
      <c r="L131" s="16" t="s">
        <v>456</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423</v>
      </c>
      <c r="B174" s="1" t="s">
        <v>424</v>
      </c>
      <c r="C174" s="4" t="s">
        <v>425</v>
      </c>
      <c r="D174" s="33" t="s">
        <v>426</v>
      </c>
      <c r="E174" s="33" t="s">
        <v>427</v>
      </c>
    </row>
    <row r="175" spans="1:12" x14ac:dyDescent="0.2">
      <c r="A175" s="34" t="s">
        <v>428</v>
      </c>
      <c r="B175" s="35">
        <f t="shared" ref="B175:B183" si="2">C175/$C$184</f>
        <v>0.16666666666666666</v>
      </c>
      <c r="C175" s="5">
        <f>'summary 0904'!I24</f>
        <v>3</v>
      </c>
      <c r="D175" s="4">
        <f>33+1+1+1+1+1+8+1+1+1+2+1+2+1+1+1</f>
        <v>57</v>
      </c>
      <c r="E175" s="36">
        <f t="shared" ref="E175:E182" si="3">(C175/D175)*100</f>
        <v>5.2631578947368416</v>
      </c>
    </row>
    <row r="176" spans="1:12" x14ac:dyDescent="0.2">
      <c r="A176" s="34" t="s">
        <v>247</v>
      </c>
      <c r="B176" s="35">
        <f t="shared" si="2"/>
        <v>0.16666666666666666</v>
      </c>
      <c r="C176" s="5">
        <f>'summary 0904'!I25</f>
        <v>3</v>
      </c>
      <c r="D176" s="4">
        <f>540+17+1+1+6+10+1+2+12+2+1+1+1+3+4+3+1+1+1+8+2+1+1+6+1+1+2+1+2+1+4+1+1</f>
        <v>640</v>
      </c>
      <c r="E176" s="36">
        <f t="shared" si="3"/>
        <v>0.46875</v>
      </c>
    </row>
    <row r="177" spans="1:5" x14ac:dyDescent="0.2">
      <c r="A177" s="34" t="s">
        <v>228</v>
      </c>
      <c r="B177" s="35">
        <f t="shared" si="2"/>
        <v>0.33333333333333331</v>
      </c>
      <c r="C177" s="5">
        <f>'summary 0904'!I26</f>
        <v>6</v>
      </c>
      <c r="D177" s="4">
        <f>13+1+1+1+16+10</f>
        <v>42</v>
      </c>
      <c r="E177" s="36">
        <f t="shared" si="3"/>
        <v>14.285714285714285</v>
      </c>
    </row>
    <row r="178" spans="1:5" x14ac:dyDescent="0.2">
      <c r="A178" s="34" t="s">
        <v>429</v>
      </c>
      <c r="B178" s="35">
        <f t="shared" si="2"/>
        <v>0</v>
      </c>
      <c r="C178" s="5">
        <f>'summary 0904'!I27</f>
        <v>0</v>
      </c>
      <c r="D178" s="4">
        <f>36+1+1</f>
        <v>38</v>
      </c>
      <c r="E178" s="36">
        <f t="shared" si="3"/>
        <v>0</v>
      </c>
    </row>
    <row r="179" spans="1:5" x14ac:dyDescent="0.2">
      <c r="A179" s="34" t="s">
        <v>430</v>
      </c>
      <c r="B179" s="35">
        <f t="shared" si="2"/>
        <v>0.1111111111111111</v>
      </c>
      <c r="C179" s="5">
        <f>'summary 0904'!I28</f>
        <v>2</v>
      </c>
      <c r="D179" s="4">
        <f>288+2+13+2+5+56+59+14+2+3+3+1+4</f>
        <v>452</v>
      </c>
      <c r="E179" s="36">
        <f t="shared" si="3"/>
        <v>0.44247787610619471</v>
      </c>
    </row>
    <row r="180" spans="1:5" x14ac:dyDescent="0.2">
      <c r="A180" s="34" t="s">
        <v>431</v>
      </c>
      <c r="B180" s="35">
        <f t="shared" si="2"/>
        <v>0</v>
      </c>
      <c r="C180" s="5">
        <f>'summary 0904'!I29</f>
        <v>0</v>
      </c>
      <c r="D180" s="4">
        <f>132+2+1+2+7+3+4+2+7+1</f>
        <v>161</v>
      </c>
      <c r="E180" s="36">
        <f t="shared" si="3"/>
        <v>0</v>
      </c>
    </row>
    <row r="181" spans="1:5" x14ac:dyDescent="0.2">
      <c r="A181" s="34" t="s">
        <v>291</v>
      </c>
      <c r="B181" s="35">
        <f t="shared" si="2"/>
        <v>0.1111111111111111</v>
      </c>
      <c r="C181" s="5">
        <f>'summary 0904'!I30</f>
        <v>2</v>
      </c>
      <c r="D181" s="4">
        <v>9</v>
      </c>
      <c r="E181" s="36">
        <f t="shared" si="3"/>
        <v>22.222222222222221</v>
      </c>
    </row>
    <row r="182" spans="1:5" x14ac:dyDescent="0.2">
      <c r="A182" s="34" t="s">
        <v>393</v>
      </c>
      <c r="B182" s="35">
        <f t="shared" si="2"/>
        <v>5.5555555555555552E-2</v>
      </c>
      <c r="C182" s="5">
        <f>'summary 0904'!I31</f>
        <v>1</v>
      </c>
      <c r="D182" s="4">
        <f>10+5+2</f>
        <v>17</v>
      </c>
      <c r="E182" s="36">
        <f t="shared" si="3"/>
        <v>5.8823529411764701</v>
      </c>
    </row>
    <row r="183" spans="1:5" x14ac:dyDescent="0.2">
      <c r="A183" s="37" t="s">
        <v>432</v>
      </c>
      <c r="B183" s="35">
        <f t="shared" si="2"/>
        <v>5.5555555555555552E-2</v>
      </c>
      <c r="C183" s="5">
        <f>'summary 0904'!I32</f>
        <v>1</v>
      </c>
    </row>
    <row r="184" spans="1:5" x14ac:dyDescent="0.2">
      <c r="A184" s="37" t="s">
        <v>433</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1+1+1+1+1+1+1+1+1+1+1</f>
        <v>11</v>
      </c>
    </row>
    <row r="13" spans="1:11" x14ac:dyDescent="0.2">
      <c r="A13" s="6" t="s">
        <v>231</v>
      </c>
      <c r="B13" s="7"/>
      <c r="C13" s="7" t="s">
        <v>439</v>
      </c>
      <c r="D13" s="7"/>
      <c r="E13" s="7"/>
      <c r="F13" s="7"/>
      <c r="G13" s="7"/>
      <c r="H13" s="7"/>
      <c r="I13" s="7"/>
      <c r="J13" s="7"/>
      <c r="K13" s="7">
        <f>1+1+1+1</f>
        <v>4</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f>1</f>
        <v>1</v>
      </c>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f>1</f>
        <v>1</v>
      </c>
    </row>
    <row r="18" spans="1:11" x14ac:dyDescent="0.2">
      <c r="A18" s="6" t="s">
        <v>266</v>
      </c>
      <c r="B18" s="7"/>
      <c r="C18" s="7" t="s">
        <v>207</v>
      </c>
      <c r="D18" s="7"/>
      <c r="E18" s="7"/>
      <c r="F18" s="7"/>
      <c r="G18" s="7"/>
      <c r="H18" s="7"/>
      <c r="I18" s="7"/>
      <c r="J18" s="7"/>
      <c r="K18" s="47">
        <f>1</f>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f>1+1+1</f>
        <v>3</v>
      </c>
      <c r="J24" s="31"/>
      <c r="K24" s="31"/>
    </row>
    <row r="25" spans="1:11" x14ac:dyDescent="0.2">
      <c r="A25" s="29" t="s">
        <v>247</v>
      </c>
      <c r="B25" s="17"/>
      <c r="C25" s="17"/>
      <c r="D25" s="32"/>
      <c r="E25" s="31"/>
      <c r="F25" s="32"/>
      <c r="G25" s="32"/>
      <c r="H25" s="31"/>
      <c r="I25" s="6">
        <f>1+1+1</f>
        <v>3</v>
      </c>
      <c r="J25" s="31"/>
      <c r="K25" s="49"/>
    </row>
    <row r="26" spans="1:11" x14ac:dyDescent="0.2">
      <c r="A26" s="29" t="s">
        <v>228</v>
      </c>
      <c r="B26" s="17"/>
      <c r="C26" s="17"/>
      <c r="D26" s="32"/>
      <c r="E26" s="31"/>
      <c r="F26" s="32"/>
      <c r="G26" s="32"/>
      <c r="H26" s="31"/>
      <c r="I26" s="6">
        <f>1+1+1+1+1+1</f>
        <v>6</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1+1</f>
        <v>2</v>
      </c>
      <c r="J28" s="31"/>
      <c r="K28" s="31"/>
    </row>
    <row r="29" spans="1:11" x14ac:dyDescent="0.2">
      <c r="A29" s="29" t="s">
        <v>431</v>
      </c>
      <c r="B29" s="17"/>
      <c r="C29" s="17"/>
      <c r="D29" s="32"/>
      <c r="E29" s="31"/>
      <c r="F29" s="32"/>
      <c r="G29" s="32"/>
      <c r="H29" s="31"/>
      <c r="I29" s="6"/>
      <c r="J29" s="31"/>
      <c r="K29" s="32"/>
    </row>
    <row r="30" spans="1:11" x14ac:dyDescent="0.2">
      <c r="A30" s="29" t="s">
        <v>291</v>
      </c>
      <c r="B30" s="17"/>
      <c r="C30" s="17"/>
      <c r="D30" s="32"/>
      <c r="E30" s="31"/>
      <c r="F30" s="32"/>
      <c r="G30" s="32"/>
      <c r="H30" s="31"/>
      <c r="I30" s="6">
        <f>1+1</f>
        <v>2</v>
      </c>
      <c r="J30" s="31"/>
      <c r="K30" s="31"/>
    </row>
    <row r="31" spans="1:11" x14ac:dyDescent="0.2">
      <c r="A31" s="29" t="s">
        <v>393</v>
      </c>
      <c r="B31" s="17"/>
      <c r="C31" s="17"/>
      <c r="D31" s="32"/>
      <c r="E31" s="31"/>
      <c r="F31" s="32"/>
      <c r="G31" s="32"/>
      <c r="H31" s="31"/>
      <c r="I31" s="6">
        <f>1</f>
        <v>1</v>
      </c>
      <c r="J31" s="31"/>
      <c r="K31" s="31"/>
    </row>
    <row r="32" spans="1:11" ht="13.5" thickBot="1" x14ac:dyDescent="0.25">
      <c r="A32" s="50" t="s">
        <v>444</v>
      </c>
      <c r="I32" s="5">
        <f>1</f>
        <v>1</v>
      </c>
      <c r="K32" s="51"/>
    </row>
    <row r="33" spans="1:11" ht="13.5" thickTop="1" x14ac:dyDescent="0.2">
      <c r="A33" s="52" t="s">
        <v>435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row>
    <row r="2" spans="1:27" x14ac:dyDescent="0.2">
      <c r="A2" s="2" t="s">
        <v>199</v>
      </c>
      <c r="B2" s="3"/>
      <c r="H2" s="4">
        <f>1+1</f>
        <v>2</v>
      </c>
      <c r="J2" s="4">
        <f>1</f>
        <v>1</v>
      </c>
      <c r="K2" s="3"/>
      <c r="L2" s="5"/>
      <c r="M2" s="3"/>
      <c r="N2" s="3"/>
      <c r="P2" s="4">
        <v>1</v>
      </c>
    </row>
    <row r="3" spans="1:27" x14ac:dyDescent="0.2">
      <c r="A3" s="2" t="s">
        <v>200</v>
      </c>
      <c r="B3" s="5"/>
      <c r="K3" s="5"/>
      <c r="L3" s="5"/>
      <c r="M3" s="5"/>
      <c r="N3" s="6">
        <v>1</v>
      </c>
      <c r="P3" s="4">
        <v>1</v>
      </c>
      <c r="R3" s="4">
        <f>'[7]summary 0625'!K11</f>
        <v>2</v>
      </c>
      <c r="T3" s="4">
        <f>'[7]summary 0709'!K10</f>
        <v>1</v>
      </c>
    </row>
    <row r="4" spans="1:27"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row>
    <row r="5" spans="1:27"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row>
    <row r="6" spans="1:27"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7"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row>
    <row r="8" spans="1:27"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7"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row>
    <row r="10" spans="1:27"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row>
    <row r="11" spans="1:27"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505</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210</v>
      </c>
      <c r="B91" s="11"/>
      <c r="C91" s="11"/>
      <c r="D91" s="11"/>
      <c r="E91" s="11"/>
      <c r="F91" s="12"/>
      <c r="G91" s="11"/>
      <c r="H91" s="11"/>
      <c r="I91" s="12"/>
      <c r="J91" s="12"/>
      <c r="K91" s="12"/>
      <c r="L91" s="11"/>
    </row>
    <row r="92" spans="1:12" x14ac:dyDescent="0.2">
      <c r="A92" s="11" t="s">
        <v>445</v>
      </c>
      <c r="B92" s="11"/>
      <c r="C92" s="11"/>
      <c r="D92" s="11"/>
      <c r="E92" s="11"/>
      <c r="F92" s="12"/>
      <c r="G92" s="11"/>
      <c r="H92" s="11"/>
      <c r="I92" s="12"/>
      <c r="J92" s="12"/>
      <c r="K92" s="12"/>
      <c r="L92" s="11"/>
    </row>
    <row r="93" spans="1:12" x14ac:dyDescent="0.2">
      <c r="A93" s="11" t="s">
        <v>446</v>
      </c>
      <c r="B93" s="11"/>
      <c r="C93" s="11"/>
      <c r="D93" s="11"/>
      <c r="E93" s="11"/>
      <c r="F93" s="12"/>
      <c r="G93" s="11"/>
      <c r="H93" s="11"/>
      <c r="I93" s="12"/>
      <c r="J93" s="12"/>
      <c r="K93" s="12"/>
      <c r="L93" s="11"/>
    </row>
    <row r="94" spans="1:12" x14ac:dyDescent="0.2">
      <c r="A94" s="11" t="s">
        <v>447</v>
      </c>
      <c r="B94" s="11"/>
      <c r="C94" s="11"/>
      <c r="D94" s="11"/>
      <c r="E94" s="11"/>
      <c r="F94" s="12"/>
      <c r="G94" s="11"/>
      <c r="H94" s="11"/>
      <c r="I94" s="12"/>
      <c r="J94" s="12"/>
      <c r="K94" s="12"/>
      <c r="L94" s="11"/>
    </row>
    <row r="95" spans="1:12" x14ac:dyDescent="0.2">
      <c r="A95" s="11" t="s">
        <v>448</v>
      </c>
      <c r="B95" s="11"/>
      <c r="C95" s="11"/>
      <c r="D95" s="11"/>
      <c r="E95" s="11"/>
      <c r="F95" s="12"/>
      <c r="G95" s="11"/>
      <c r="H95" s="11"/>
      <c r="I95" s="12"/>
      <c r="J95" s="12"/>
      <c r="K95" s="12"/>
      <c r="L95" s="11"/>
    </row>
    <row r="96" spans="1:12" x14ac:dyDescent="0.2">
      <c r="A96" s="11" t="s">
        <v>449</v>
      </c>
      <c r="B96" s="11"/>
      <c r="C96" s="11"/>
      <c r="D96" s="11"/>
      <c r="E96" s="11"/>
      <c r="F96" s="12"/>
      <c r="G96" s="11"/>
      <c r="H96" s="11"/>
      <c r="I96" s="12"/>
      <c r="J96" s="12"/>
      <c r="K96" s="12"/>
      <c r="L96" s="11"/>
    </row>
    <row r="97" spans="1:25" x14ac:dyDescent="0.2">
      <c r="A97" s="11" t="s">
        <v>450</v>
      </c>
      <c r="B97" s="11"/>
      <c r="C97" s="11"/>
      <c r="D97" s="11"/>
      <c r="E97" s="11"/>
      <c r="F97" s="12"/>
      <c r="G97" s="11"/>
      <c r="H97" s="11"/>
      <c r="I97" s="12"/>
      <c r="J97" s="12"/>
      <c r="K97" s="12"/>
      <c r="L97" s="11"/>
    </row>
    <row r="98" spans="1:25" x14ac:dyDescent="0.2">
      <c r="A98" s="11" t="s">
        <v>451</v>
      </c>
      <c r="B98" s="11"/>
      <c r="C98" s="11"/>
      <c r="D98" s="11"/>
      <c r="E98" s="11"/>
      <c r="F98" s="12"/>
      <c r="G98" s="11"/>
      <c r="H98" s="11"/>
      <c r="I98" s="12"/>
      <c r="J98" s="12"/>
      <c r="K98" s="12"/>
      <c r="L98" s="11"/>
    </row>
    <row r="99" spans="1:25" x14ac:dyDescent="0.2">
      <c r="A99" s="11" t="s">
        <v>452</v>
      </c>
      <c r="B99" s="11"/>
      <c r="C99" s="11"/>
      <c r="D99" s="11"/>
      <c r="E99" s="11"/>
      <c r="F99" s="12"/>
      <c r="G99" s="11"/>
      <c r="H99" s="11"/>
      <c r="I99" s="12"/>
      <c r="J99" s="12"/>
      <c r="K99" s="12"/>
      <c r="L99" s="11"/>
    </row>
    <row r="100" spans="1:25" x14ac:dyDescent="0.2">
      <c r="A100" s="11" t="s">
        <v>453</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211</v>
      </c>
      <c r="F102" s="14"/>
      <c r="G102" s="14"/>
      <c r="H102" s="14"/>
      <c r="I102" s="14" t="s">
        <v>212</v>
      </c>
      <c r="J102" s="14" t="s">
        <v>213</v>
      </c>
      <c r="K102" s="14" t="s">
        <v>214</v>
      </c>
      <c r="L102" s="14" t="s">
        <v>215</v>
      </c>
    </row>
    <row r="103" spans="1:25" x14ac:dyDescent="0.2">
      <c r="A103" s="14" t="s">
        <v>216</v>
      </c>
      <c r="B103" s="14" t="s">
        <v>217</v>
      </c>
      <c r="C103" s="14" t="s">
        <v>218</v>
      </c>
      <c r="D103" s="14" t="s">
        <v>219</v>
      </c>
      <c r="E103" s="14" t="s">
        <v>220</v>
      </c>
      <c r="F103" s="14" t="s">
        <v>210</v>
      </c>
      <c r="G103" s="14" t="s">
        <v>221</v>
      </c>
      <c r="H103" s="14" t="s">
        <v>222</v>
      </c>
      <c r="I103" s="14" t="s">
        <v>223</v>
      </c>
      <c r="J103" s="14" t="s">
        <v>224</v>
      </c>
      <c r="K103" s="14" t="s">
        <v>225</v>
      </c>
      <c r="L103" s="14" t="s">
        <v>226</v>
      </c>
    </row>
    <row r="104" spans="1:25" x14ac:dyDescent="0.2">
      <c r="A104" s="14"/>
      <c r="B104" s="14"/>
      <c r="C104" s="14"/>
      <c r="D104" s="14"/>
      <c r="E104" s="14"/>
      <c r="F104" s="14"/>
      <c r="G104" s="14"/>
      <c r="H104" s="14"/>
      <c r="I104" s="14"/>
      <c r="J104" s="14"/>
      <c r="K104" s="14"/>
      <c r="L104" s="14"/>
    </row>
    <row r="105" spans="1:25" ht="38.25" x14ac:dyDescent="0.2">
      <c r="A105" s="15">
        <v>37134</v>
      </c>
      <c r="B105" s="16" t="s">
        <v>295</v>
      </c>
      <c r="C105" s="16" t="s">
        <v>228</v>
      </c>
      <c r="D105" s="16" t="s">
        <v>295</v>
      </c>
      <c r="E105" s="16" t="s">
        <v>230</v>
      </c>
      <c r="F105" s="16" t="s">
        <v>231</v>
      </c>
      <c r="G105" s="17" t="s">
        <v>455</v>
      </c>
      <c r="H105" s="17"/>
      <c r="I105" s="16" t="s">
        <v>235</v>
      </c>
      <c r="J105" s="16" t="s">
        <v>234</v>
      </c>
      <c r="K105" s="16" t="s">
        <v>235</v>
      </c>
      <c r="L105" s="16" t="s">
        <v>456</v>
      </c>
    </row>
    <row r="106" spans="1:25" ht="76.5" x14ac:dyDescent="0.2">
      <c r="A106" s="15">
        <v>37134</v>
      </c>
      <c r="B106" s="16" t="s">
        <v>457</v>
      </c>
      <c r="C106" s="16" t="s">
        <v>228</v>
      </c>
      <c r="D106" s="16" t="s">
        <v>229</v>
      </c>
      <c r="E106" s="16" t="s">
        <v>230</v>
      </c>
      <c r="F106" s="16" t="s">
        <v>241</v>
      </c>
      <c r="G106" s="17" t="s">
        <v>458</v>
      </c>
      <c r="H106" s="17"/>
      <c r="I106" s="16" t="s">
        <v>235</v>
      </c>
      <c r="J106" s="16" t="s">
        <v>234</v>
      </c>
      <c r="K106" s="16" t="s">
        <v>235</v>
      </c>
      <c r="L106" s="16" t="s">
        <v>456</v>
      </c>
    </row>
    <row r="107" spans="1:25" ht="25.5" x14ac:dyDescent="0.2">
      <c r="A107" s="15">
        <v>37134</v>
      </c>
      <c r="B107" s="16" t="s">
        <v>459</v>
      </c>
      <c r="C107" s="16" t="s">
        <v>247</v>
      </c>
      <c r="D107" s="16" t="s">
        <v>460</v>
      </c>
      <c r="E107" s="16" t="s">
        <v>249</v>
      </c>
      <c r="F107" s="16" t="s">
        <v>255</v>
      </c>
      <c r="G107" s="17" t="s">
        <v>461</v>
      </c>
      <c r="H107" s="17"/>
      <c r="I107" s="16" t="s">
        <v>234</v>
      </c>
      <c r="J107" s="16" t="s">
        <v>234</v>
      </c>
      <c r="K107" s="16" t="s">
        <v>235</v>
      </c>
      <c r="L107" s="16" t="s">
        <v>456</v>
      </c>
    </row>
    <row r="108" spans="1:25" ht="25.5" x14ac:dyDescent="0.2">
      <c r="A108" s="15">
        <v>37134</v>
      </c>
      <c r="B108" s="16" t="s">
        <v>462</v>
      </c>
      <c r="C108" s="16" t="s">
        <v>247</v>
      </c>
      <c r="D108" s="16" t="s">
        <v>460</v>
      </c>
      <c r="E108" s="16" t="s">
        <v>249</v>
      </c>
      <c r="F108" s="16" t="s">
        <v>255</v>
      </c>
      <c r="G108" s="17" t="s">
        <v>463</v>
      </c>
      <c r="H108" s="17"/>
      <c r="I108" s="16" t="s">
        <v>234</v>
      </c>
      <c r="J108" s="16" t="s">
        <v>234</v>
      </c>
      <c r="K108" s="16" t="s">
        <v>235</v>
      </c>
      <c r="L108" s="16" t="s">
        <v>456</v>
      </c>
    </row>
    <row r="109" spans="1:25" ht="24.75" customHeight="1" x14ac:dyDescent="0.2">
      <c r="A109" s="15">
        <v>37133</v>
      </c>
      <c r="B109" s="17" t="s">
        <v>464</v>
      </c>
      <c r="C109" s="16" t="s">
        <v>291</v>
      </c>
      <c r="D109" s="16" t="s">
        <v>291</v>
      </c>
      <c r="E109" s="16" t="s">
        <v>293</v>
      </c>
      <c r="F109" s="16" t="s">
        <v>255</v>
      </c>
      <c r="G109" s="17" t="s">
        <v>465</v>
      </c>
      <c r="H109" s="17"/>
      <c r="I109" s="16" t="s">
        <v>235</v>
      </c>
      <c r="J109" s="16" t="s">
        <v>234</v>
      </c>
      <c r="K109" s="16" t="s">
        <v>235</v>
      </c>
      <c r="L109" s="16" t="s">
        <v>456</v>
      </c>
    </row>
    <row r="110" spans="1:25" ht="51" x14ac:dyDescent="0.2">
      <c r="A110" s="15">
        <v>37133</v>
      </c>
      <c r="B110" s="16" t="s">
        <v>466</v>
      </c>
      <c r="C110" s="16" t="s">
        <v>228</v>
      </c>
      <c r="D110" s="16" t="s">
        <v>308</v>
      </c>
      <c r="E110" s="16" t="s">
        <v>230</v>
      </c>
      <c r="F110" s="16" t="s">
        <v>231</v>
      </c>
      <c r="G110" s="17" t="s">
        <v>467</v>
      </c>
      <c r="H110" s="17"/>
      <c r="I110" s="16" t="s">
        <v>235</v>
      </c>
      <c r="J110" s="16" t="s">
        <v>235</v>
      </c>
      <c r="K110" s="16" t="s">
        <v>235</v>
      </c>
      <c r="L110" s="16" t="s">
        <v>456</v>
      </c>
      <c r="M110" s="22"/>
      <c r="N110" s="22"/>
      <c r="O110" s="22"/>
      <c r="P110" s="22"/>
      <c r="Q110" s="22"/>
      <c r="R110" s="22"/>
      <c r="S110" s="22"/>
      <c r="T110" s="22"/>
      <c r="U110" s="22"/>
      <c r="V110" s="22"/>
      <c r="W110" s="22"/>
      <c r="X110" s="22"/>
      <c r="Y110" s="22"/>
    </row>
    <row r="111" spans="1:25" ht="51" x14ac:dyDescent="0.2">
      <c r="A111" s="15">
        <v>37133</v>
      </c>
      <c r="B111" s="16" t="s">
        <v>468</v>
      </c>
      <c r="C111" s="16" t="s">
        <v>428</v>
      </c>
      <c r="D111" s="16" t="s">
        <v>469</v>
      </c>
      <c r="E111" s="16" t="s">
        <v>470</v>
      </c>
      <c r="F111" s="16" t="s">
        <v>241</v>
      </c>
      <c r="G111" s="17" t="s">
        <v>471</v>
      </c>
      <c r="H111" s="17"/>
      <c r="I111" s="16" t="s">
        <v>234</v>
      </c>
      <c r="J111" s="16" t="s">
        <v>235</v>
      </c>
      <c r="K111" s="16" t="s">
        <v>235</v>
      </c>
      <c r="L111" s="16" t="s">
        <v>456</v>
      </c>
      <c r="M111" s="22"/>
      <c r="N111" s="22"/>
      <c r="O111" s="22"/>
      <c r="P111" s="22"/>
      <c r="Q111" s="22"/>
      <c r="R111" s="22"/>
      <c r="S111" s="22"/>
      <c r="T111" s="22"/>
      <c r="U111" s="22"/>
      <c r="V111" s="22"/>
      <c r="W111" s="22"/>
      <c r="X111" s="22"/>
      <c r="Y111" s="22"/>
    </row>
    <row r="112" spans="1:25" ht="76.5" x14ac:dyDescent="0.2">
      <c r="A112" s="15">
        <v>37133</v>
      </c>
      <c r="B112" s="17" t="s">
        <v>472</v>
      </c>
      <c r="C112" s="16" t="s">
        <v>238</v>
      </c>
      <c r="D112" s="16" t="s">
        <v>317</v>
      </c>
      <c r="E112" s="16" t="s">
        <v>318</v>
      </c>
      <c r="F112" s="16" t="s">
        <v>440</v>
      </c>
      <c r="G112" s="17" t="s">
        <v>473</v>
      </c>
      <c r="H112" s="17"/>
      <c r="I112" s="16" t="s">
        <v>235</v>
      </c>
      <c r="J112" s="16" t="s">
        <v>234</v>
      </c>
      <c r="K112" s="16" t="s">
        <v>234</v>
      </c>
      <c r="L112" s="16" t="s">
        <v>456</v>
      </c>
      <c r="M112" s="22"/>
      <c r="N112" s="22"/>
      <c r="O112" s="22"/>
      <c r="P112" s="22"/>
      <c r="Q112" s="22"/>
      <c r="R112" s="22"/>
      <c r="S112" s="22"/>
      <c r="T112" s="22"/>
      <c r="U112" s="22"/>
      <c r="V112" s="22"/>
      <c r="W112" s="22"/>
      <c r="X112" s="22"/>
      <c r="Y112" s="22"/>
    </row>
    <row r="113" spans="1:25" ht="55.5" customHeight="1" x14ac:dyDescent="0.2">
      <c r="A113" s="15">
        <v>37133</v>
      </c>
      <c r="B113" s="16" t="s">
        <v>229</v>
      </c>
      <c r="C113" s="16" t="s">
        <v>228</v>
      </c>
      <c r="D113" s="16" t="s">
        <v>229</v>
      </c>
      <c r="E113" s="16" t="s">
        <v>230</v>
      </c>
      <c r="F113" s="16" t="s">
        <v>231</v>
      </c>
      <c r="G113" s="17" t="s">
        <v>474</v>
      </c>
      <c r="H113" s="17"/>
      <c r="I113" s="16" t="s">
        <v>234</v>
      </c>
      <c r="J113" s="16" t="s">
        <v>234</v>
      </c>
      <c r="K113" s="16" t="s">
        <v>235</v>
      </c>
      <c r="L113" s="16" t="s">
        <v>456</v>
      </c>
      <c r="M113" s="22"/>
      <c r="N113" s="22"/>
      <c r="O113" s="22"/>
      <c r="P113" s="22"/>
      <c r="Q113" s="22"/>
      <c r="R113" s="22"/>
      <c r="S113" s="22"/>
      <c r="T113" s="22"/>
      <c r="U113" s="22"/>
      <c r="V113" s="22"/>
      <c r="W113" s="22"/>
      <c r="X113" s="22"/>
      <c r="Y113" s="22"/>
    </row>
    <row r="114" spans="1:25" ht="25.5" x14ac:dyDescent="0.2">
      <c r="A114" s="15">
        <v>37133</v>
      </c>
      <c r="B114" s="16" t="s">
        <v>475</v>
      </c>
      <c r="C114" s="16" t="s">
        <v>238</v>
      </c>
      <c r="D114" s="16" t="s">
        <v>476</v>
      </c>
      <c r="E114" s="16" t="s">
        <v>299</v>
      </c>
      <c r="F114" s="16" t="s">
        <v>255</v>
      </c>
      <c r="G114" s="17" t="s">
        <v>477</v>
      </c>
      <c r="H114" s="17"/>
      <c r="I114" s="16" t="s">
        <v>234</v>
      </c>
      <c r="J114" s="16" t="s">
        <v>234</v>
      </c>
      <c r="K114" s="16" t="s">
        <v>234</v>
      </c>
      <c r="L114" s="16" t="s">
        <v>456</v>
      </c>
      <c r="M114" s="22"/>
      <c r="N114" s="22"/>
      <c r="O114" s="22"/>
      <c r="P114" s="22"/>
      <c r="Q114" s="22"/>
      <c r="R114" s="22"/>
      <c r="S114" s="22"/>
      <c r="T114" s="22"/>
      <c r="U114" s="22"/>
      <c r="V114" s="22"/>
      <c r="W114" s="22"/>
      <c r="X114" s="22"/>
      <c r="Y114" s="22"/>
    </row>
    <row r="115" spans="1:25" ht="25.5" x14ac:dyDescent="0.2">
      <c r="A115" s="15">
        <v>37133</v>
      </c>
      <c r="B115" s="16" t="s">
        <v>478</v>
      </c>
      <c r="C115" s="16" t="s">
        <v>228</v>
      </c>
      <c r="D115" s="16" t="s">
        <v>313</v>
      </c>
      <c r="E115" s="16" t="s">
        <v>479</v>
      </c>
      <c r="F115" s="16" t="s">
        <v>260</v>
      </c>
      <c r="G115" s="17" t="s">
        <v>480</v>
      </c>
      <c r="H115" s="17"/>
      <c r="I115" s="16" t="s">
        <v>235</v>
      </c>
      <c r="J115" s="16" t="s">
        <v>234</v>
      </c>
      <c r="K115" s="16" t="s">
        <v>235</v>
      </c>
      <c r="L115" s="16"/>
      <c r="M115" s="22"/>
      <c r="N115" s="22"/>
      <c r="O115" s="22"/>
      <c r="P115" s="22"/>
      <c r="Q115" s="22"/>
      <c r="R115" s="22"/>
      <c r="S115" s="22"/>
      <c r="T115" s="22"/>
      <c r="U115" s="22"/>
      <c r="V115" s="22"/>
      <c r="W115" s="22"/>
      <c r="X115" s="22"/>
      <c r="Y115" s="22"/>
    </row>
    <row r="116" spans="1:25" ht="51" x14ac:dyDescent="0.2">
      <c r="A116" s="15">
        <v>37132</v>
      </c>
      <c r="B116" s="16" t="s">
        <v>466</v>
      </c>
      <c r="C116" s="16" t="s">
        <v>228</v>
      </c>
      <c r="D116" s="16" t="s">
        <v>308</v>
      </c>
      <c r="E116" s="16" t="s">
        <v>230</v>
      </c>
      <c r="F116" s="16" t="s">
        <v>231</v>
      </c>
      <c r="G116" s="17" t="s">
        <v>467</v>
      </c>
      <c r="H116" s="17"/>
      <c r="I116" s="16" t="s">
        <v>235</v>
      </c>
      <c r="J116" s="16" t="s">
        <v>235</v>
      </c>
      <c r="K116" s="16" t="s">
        <v>235</v>
      </c>
      <c r="L116" s="16" t="s">
        <v>456</v>
      </c>
      <c r="M116" s="22"/>
      <c r="N116" s="22"/>
      <c r="O116" s="22"/>
      <c r="P116" s="22"/>
      <c r="Q116" s="22"/>
      <c r="R116" s="22"/>
      <c r="S116" s="22"/>
      <c r="T116" s="22"/>
      <c r="U116" s="22"/>
      <c r="V116" s="22"/>
      <c r="W116" s="22"/>
      <c r="X116" s="22"/>
      <c r="Y116" s="22"/>
    </row>
    <row r="117" spans="1:25" ht="25.5" x14ac:dyDescent="0.2">
      <c r="A117" s="15">
        <v>37132</v>
      </c>
      <c r="B117" s="16" t="s">
        <v>481</v>
      </c>
      <c r="C117" s="16" t="s">
        <v>238</v>
      </c>
      <c r="D117" s="16" t="s">
        <v>482</v>
      </c>
      <c r="E117" s="16" t="s">
        <v>299</v>
      </c>
      <c r="F117" s="16" t="s">
        <v>361</v>
      </c>
      <c r="G117" s="17" t="s">
        <v>483</v>
      </c>
      <c r="H117" s="17"/>
      <c r="I117" s="16" t="s">
        <v>234</v>
      </c>
      <c r="J117" s="16" t="s">
        <v>235</v>
      </c>
      <c r="K117" s="16" t="s">
        <v>235</v>
      </c>
      <c r="L117" s="16" t="s">
        <v>456</v>
      </c>
      <c r="M117" s="22"/>
      <c r="N117" s="22"/>
      <c r="O117" s="22"/>
      <c r="P117" s="22"/>
      <c r="Q117" s="22"/>
      <c r="R117" s="22"/>
      <c r="S117" s="22"/>
      <c r="T117" s="22"/>
      <c r="U117" s="22"/>
      <c r="V117" s="22"/>
      <c r="W117" s="22"/>
      <c r="X117" s="22"/>
      <c r="Y117" s="22"/>
    </row>
    <row r="118" spans="1:25" x14ac:dyDescent="0.2">
      <c r="A118" s="15">
        <v>37132</v>
      </c>
      <c r="B118" s="16" t="s">
        <v>484</v>
      </c>
      <c r="C118" s="16" t="s">
        <v>238</v>
      </c>
      <c r="D118" s="16" t="s">
        <v>476</v>
      </c>
      <c r="E118" s="16" t="s">
        <v>299</v>
      </c>
      <c r="F118" s="16" t="s">
        <v>255</v>
      </c>
      <c r="G118" s="17" t="s">
        <v>485</v>
      </c>
      <c r="H118" s="17"/>
      <c r="I118" s="16" t="s">
        <v>234</v>
      </c>
      <c r="J118" s="16" t="s">
        <v>234</v>
      </c>
      <c r="K118" s="16" t="s">
        <v>234</v>
      </c>
      <c r="L118" s="16" t="s">
        <v>456</v>
      </c>
      <c r="M118" s="22"/>
      <c r="N118" s="22"/>
      <c r="O118" s="22"/>
      <c r="P118" s="22"/>
      <c r="Q118" s="22"/>
      <c r="R118" s="22"/>
      <c r="S118" s="22"/>
      <c r="T118" s="22"/>
      <c r="U118" s="22"/>
      <c r="V118" s="22"/>
      <c r="W118" s="22"/>
      <c r="X118" s="22"/>
      <c r="Y118" s="22"/>
    </row>
    <row r="119" spans="1:25" ht="25.5" x14ac:dyDescent="0.2">
      <c r="A119" s="15">
        <v>37132</v>
      </c>
      <c r="B119" s="16" t="s">
        <v>486</v>
      </c>
      <c r="C119" s="16" t="s">
        <v>228</v>
      </c>
      <c r="D119" s="16"/>
      <c r="E119" s="16" t="s">
        <v>230</v>
      </c>
      <c r="F119" s="16" t="s">
        <v>260</v>
      </c>
      <c r="G119" s="17" t="s">
        <v>487</v>
      </c>
      <c r="H119" s="17"/>
      <c r="I119" s="16" t="s">
        <v>235</v>
      </c>
      <c r="J119" s="16" t="s">
        <v>234</v>
      </c>
      <c r="K119" s="16" t="s">
        <v>235</v>
      </c>
      <c r="L119" s="16" t="s">
        <v>456</v>
      </c>
      <c r="M119" s="22"/>
      <c r="N119" s="22"/>
      <c r="O119" s="22"/>
      <c r="P119" s="22"/>
      <c r="Q119" s="22"/>
      <c r="R119" s="22"/>
      <c r="S119" s="22"/>
      <c r="T119" s="22"/>
      <c r="U119" s="22"/>
      <c r="V119" s="22"/>
      <c r="W119" s="22"/>
      <c r="X119" s="22"/>
      <c r="Y119" s="22"/>
    </row>
    <row r="120" spans="1:25" ht="38.25" x14ac:dyDescent="0.2">
      <c r="A120" s="15">
        <v>37132</v>
      </c>
      <c r="B120" s="17" t="s">
        <v>295</v>
      </c>
      <c r="C120" s="16" t="s">
        <v>228</v>
      </c>
      <c r="D120" s="16" t="s">
        <v>295</v>
      </c>
      <c r="E120" s="16" t="s">
        <v>230</v>
      </c>
      <c r="F120" s="16" t="s">
        <v>440</v>
      </c>
      <c r="G120" s="17" t="s">
        <v>488</v>
      </c>
      <c r="H120" s="17"/>
      <c r="I120" s="16" t="s">
        <v>234</v>
      </c>
      <c r="J120" s="16" t="s">
        <v>234</v>
      </c>
      <c r="K120" s="16" t="s">
        <v>235</v>
      </c>
      <c r="L120" s="16" t="s">
        <v>456</v>
      </c>
      <c r="M120" s="22"/>
      <c r="N120" s="22"/>
      <c r="O120" s="22"/>
      <c r="P120" s="22"/>
      <c r="Q120" s="22"/>
      <c r="R120" s="22"/>
      <c r="S120" s="22"/>
      <c r="T120" s="22"/>
      <c r="U120" s="22"/>
      <c r="V120" s="22"/>
      <c r="W120" s="22"/>
      <c r="X120" s="22"/>
      <c r="Y120" s="22"/>
    </row>
    <row r="121" spans="1:25" ht="204" x14ac:dyDescent="0.2">
      <c r="A121" s="15">
        <v>37131</v>
      </c>
      <c r="B121" s="17" t="s">
        <v>489</v>
      </c>
      <c r="C121" s="16" t="s">
        <v>247</v>
      </c>
      <c r="D121" s="16" t="s">
        <v>248</v>
      </c>
      <c r="E121" s="16" t="s">
        <v>249</v>
      </c>
      <c r="F121" s="16" t="s">
        <v>255</v>
      </c>
      <c r="G121" s="17" t="s">
        <v>490</v>
      </c>
      <c r="H121" s="17"/>
      <c r="I121" s="16" t="s">
        <v>234</v>
      </c>
      <c r="J121" s="16" t="s">
        <v>234</v>
      </c>
      <c r="K121" s="16" t="s">
        <v>234</v>
      </c>
      <c r="L121" s="16" t="s">
        <v>456</v>
      </c>
      <c r="M121" s="22"/>
      <c r="N121" s="22"/>
      <c r="O121" s="22"/>
      <c r="P121" s="22"/>
      <c r="Q121" s="22"/>
      <c r="R121" s="22"/>
      <c r="S121" s="22"/>
      <c r="T121" s="22"/>
      <c r="U121" s="22"/>
      <c r="V121" s="22"/>
      <c r="W121" s="22"/>
      <c r="X121" s="22"/>
      <c r="Y121" s="22"/>
    </row>
    <row r="122" spans="1:25" ht="51" x14ac:dyDescent="0.2">
      <c r="A122" s="15">
        <v>37131</v>
      </c>
      <c r="B122" s="17" t="s">
        <v>491</v>
      </c>
      <c r="C122" s="16" t="s">
        <v>228</v>
      </c>
      <c r="D122" s="16" t="s">
        <v>492</v>
      </c>
      <c r="E122" s="16" t="s">
        <v>230</v>
      </c>
      <c r="F122" s="16" t="s">
        <v>231</v>
      </c>
      <c r="G122" s="55" t="s">
        <v>493</v>
      </c>
      <c r="H122" s="17"/>
      <c r="I122" s="16" t="s">
        <v>234</v>
      </c>
      <c r="J122" s="16" t="s">
        <v>234</v>
      </c>
      <c r="K122" s="16" t="s">
        <v>235</v>
      </c>
      <c r="L122" s="16" t="s">
        <v>456</v>
      </c>
      <c r="M122" s="22"/>
      <c r="N122" s="22"/>
      <c r="O122" s="22"/>
      <c r="P122" s="22"/>
      <c r="Q122" s="22"/>
      <c r="R122" s="22"/>
      <c r="S122" s="22"/>
      <c r="T122" s="22"/>
      <c r="U122" s="22"/>
      <c r="V122" s="22"/>
      <c r="W122" s="22"/>
      <c r="X122" s="22"/>
      <c r="Y122" s="22"/>
    </row>
    <row r="123" spans="1:25" ht="38.25" x14ac:dyDescent="0.2">
      <c r="A123" s="15">
        <v>37131</v>
      </c>
      <c r="B123" s="17" t="s">
        <v>295</v>
      </c>
      <c r="C123" s="16" t="s">
        <v>228</v>
      </c>
      <c r="D123" s="16" t="s">
        <v>295</v>
      </c>
      <c r="E123" s="16" t="s">
        <v>230</v>
      </c>
      <c r="F123" s="16" t="s">
        <v>241</v>
      </c>
      <c r="G123" s="17" t="s">
        <v>494</v>
      </c>
      <c r="H123" s="17"/>
      <c r="I123" s="16" t="s">
        <v>234</v>
      </c>
      <c r="J123" s="16" t="s">
        <v>234</v>
      </c>
      <c r="K123" s="16" t="s">
        <v>235</v>
      </c>
      <c r="L123" s="16" t="s">
        <v>456</v>
      </c>
      <c r="M123" s="22"/>
      <c r="N123" s="22"/>
      <c r="O123" s="22"/>
      <c r="P123" s="22"/>
      <c r="Q123" s="22"/>
      <c r="R123" s="22"/>
      <c r="S123" s="22"/>
      <c r="T123" s="22"/>
      <c r="U123" s="22"/>
      <c r="V123" s="22"/>
      <c r="W123" s="22"/>
      <c r="X123" s="22"/>
      <c r="Y123" s="22"/>
    </row>
    <row r="124" spans="1:25" ht="38.25" x14ac:dyDescent="0.2">
      <c r="A124" s="15">
        <v>37130</v>
      </c>
      <c r="B124" s="17" t="s">
        <v>495</v>
      </c>
      <c r="C124" s="16" t="s">
        <v>291</v>
      </c>
      <c r="D124" s="16"/>
      <c r="E124" s="16"/>
      <c r="F124" s="16" t="s">
        <v>266</v>
      </c>
      <c r="G124" s="17" t="s">
        <v>496</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497</v>
      </c>
      <c r="C125" s="16" t="s">
        <v>291</v>
      </c>
      <c r="D125" s="16" t="s">
        <v>498</v>
      </c>
      <c r="E125" s="16" t="s">
        <v>293</v>
      </c>
      <c r="F125" s="16" t="s">
        <v>255</v>
      </c>
      <c r="G125" s="17" t="s">
        <v>499</v>
      </c>
      <c r="H125" s="17"/>
      <c r="I125" s="16" t="s">
        <v>235</v>
      </c>
      <c r="J125" s="16" t="s">
        <v>234</v>
      </c>
      <c r="K125" s="16" t="s">
        <v>235</v>
      </c>
      <c r="L125" s="16" t="s">
        <v>456</v>
      </c>
      <c r="M125" s="22"/>
      <c r="N125" s="22"/>
      <c r="O125" s="22"/>
      <c r="P125" s="22"/>
      <c r="Q125" s="22"/>
      <c r="R125" s="22"/>
      <c r="S125" s="22"/>
      <c r="T125" s="22"/>
      <c r="U125" s="22"/>
      <c r="V125" s="22"/>
      <c r="W125" s="22"/>
      <c r="X125" s="22"/>
      <c r="Y125" s="22"/>
    </row>
    <row r="126" spans="1:25" x14ac:dyDescent="0.2">
      <c r="A126" s="15">
        <v>37130</v>
      </c>
      <c r="B126" s="17" t="s">
        <v>500</v>
      </c>
      <c r="C126" s="16" t="s">
        <v>247</v>
      </c>
      <c r="D126" s="16" t="s">
        <v>501</v>
      </c>
      <c r="E126" s="16" t="s">
        <v>502</v>
      </c>
      <c r="F126" s="16" t="s">
        <v>255</v>
      </c>
      <c r="G126" s="17" t="s">
        <v>485</v>
      </c>
      <c r="H126" s="17"/>
      <c r="I126" s="16" t="s">
        <v>234</v>
      </c>
      <c r="J126" s="16" t="s">
        <v>234</v>
      </c>
      <c r="K126" s="16" t="s">
        <v>235</v>
      </c>
      <c r="L126" s="16" t="s">
        <v>456</v>
      </c>
      <c r="M126" s="22"/>
      <c r="N126" s="22"/>
      <c r="O126" s="22"/>
      <c r="P126" s="22"/>
      <c r="Q126" s="22"/>
      <c r="R126" s="22"/>
      <c r="S126" s="22"/>
      <c r="T126" s="22"/>
      <c r="U126" s="22"/>
      <c r="V126" s="22"/>
      <c r="W126" s="22"/>
      <c r="X126" s="22"/>
      <c r="Y126" s="22"/>
    </row>
    <row r="127" spans="1:25" ht="105.75" customHeight="1" x14ac:dyDescent="0.2">
      <c r="A127" s="15">
        <v>37130</v>
      </c>
      <c r="B127" s="17" t="s">
        <v>503</v>
      </c>
      <c r="C127" s="16" t="s">
        <v>228</v>
      </c>
      <c r="D127" s="16" t="s">
        <v>229</v>
      </c>
      <c r="E127" s="16" t="s">
        <v>230</v>
      </c>
      <c r="F127" s="16" t="s">
        <v>231</v>
      </c>
      <c r="G127" s="17" t="s">
        <v>504</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423</v>
      </c>
      <c r="B165" s="1" t="s">
        <v>424</v>
      </c>
      <c r="C165" s="4" t="s">
        <v>425</v>
      </c>
      <c r="D165" s="33" t="s">
        <v>426</v>
      </c>
      <c r="E165" s="33" t="s">
        <v>427</v>
      </c>
    </row>
    <row r="166" spans="1:12" x14ac:dyDescent="0.2">
      <c r="A166" s="34" t="s">
        <v>428</v>
      </c>
      <c r="B166" s="35">
        <f t="shared" ref="B166:B174" si="2">C166/$C$175</f>
        <v>4.3478260869565216E-2</v>
      </c>
      <c r="C166" s="5">
        <f>'summary 0827'!I24</f>
        <v>1</v>
      </c>
      <c r="D166" s="4">
        <f>33+1+1+1+1+1+8+1+1+1+2+1+2+1+1+1</f>
        <v>57</v>
      </c>
      <c r="E166" s="36">
        <f t="shared" ref="E166:E173" si="3">(C166/D166)*100</f>
        <v>1.7543859649122806</v>
      </c>
    </row>
    <row r="167" spans="1:12" x14ac:dyDescent="0.2">
      <c r="A167" s="34" t="s">
        <v>247</v>
      </c>
      <c r="B167" s="35">
        <f t="shared" si="2"/>
        <v>0.17391304347826086</v>
      </c>
      <c r="C167" s="5">
        <f>'summary 0827'!I25</f>
        <v>4</v>
      </c>
      <c r="D167" s="4">
        <f>540+17+1+1+6+10+1+2+12+2+1+1+1+3+4+3+1+1+1+8+2+1+1+6+1+1+2+1+2+1+4</f>
        <v>638</v>
      </c>
      <c r="E167" s="36">
        <f t="shared" si="3"/>
        <v>0.62695924764890276</v>
      </c>
    </row>
    <row r="168" spans="1:12" x14ac:dyDescent="0.2">
      <c r="A168" s="34" t="s">
        <v>228</v>
      </c>
      <c r="B168" s="35">
        <f t="shared" si="2"/>
        <v>0.47826086956521741</v>
      </c>
      <c r="C168" s="5">
        <f>'summary 0827'!I26</f>
        <v>11</v>
      </c>
      <c r="D168" s="4">
        <f>13+1+1+1+16</f>
        <v>32</v>
      </c>
      <c r="E168" s="36">
        <f t="shared" si="3"/>
        <v>34.375</v>
      </c>
    </row>
    <row r="169" spans="1:12" x14ac:dyDescent="0.2">
      <c r="A169" s="34" t="s">
        <v>429</v>
      </c>
      <c r="B169" s="35">
        <f t="shared" si="2"/>
        <v>4.3478260869565216E-2</v>
      </c>
      <c r="C169" s="5">
        <f>'summary 0827'!I27</f>
        <v>1</v>
      </c>
      <c r="D169" s="4">
        <f>36+1+1</f>
        <v>38</v>
      </c>
      <c r="E169" s="36">
        <f t="shared" si="3"/>
        <v>2.6315789473684208</v>
      </c>
    </row>
    <row r="170" spans="1:12" x14ac:dyDescent="0.2">
      <c r="A170" s="34" t="s">
        <v>430</v>
      </c>
      <c r="B170" s="35">
        <f t="shared" si="2"/>
        <v>0.13043478260869565</v>
      </c>
      <c r="C170" s="5">
        <f>'summary 0827'!I28</f>
        <v>3</v>
      </c>
      <c r="D170" s="4">
        <f>288+2+13+2+5+56+59+14+2+3+3+1+4</f>
        <v>452</v>
      </c>
      <c r="E170" s="36">
        <f t="shared" si="3"/>
        <v>0.66371681415929207</v>
      </c>
    </row>
    <row r="171" spans="1:12" x14ac:dyDescent="0.2">
      <c r="A171" s="34" t="s">
        <v>431</v>
      </c>
      <c r="B171" s="35">
        <f t="shared" si="2"/>
        <v>0</v>
      </c>
      <c r="C171" s="5"/>
      <c r="D171" s="4">
        <f>132+2+1+2+7+3+4+2+7</f>
        <v>160</v>
      </c>
      <c r="E171" s="36">
        <f t="shared" si="3"/>
        <v>0</v>
      </c>
    </row>
    <row r="172" spans="1:12" x14ac:dyDescent="0.2">
      <c r="A172" s="34" t="s">
        <v>291</v>
      </c>
      <c r="B172" s="35">
        <f t="shared" si="2"/>
        <v>0.13043478260869565</v>
      </c>
      <c r="C172" s="5">
        <f>'summary 0827'!I30</f>
        <v>3</v>
      </c>
      <c r="D172" s="4">
        <v>9</v>
      </c>
      <c r="E172" s="36">
        <f t="shared" si="3"/>
        <v>33.333333333333329</v>
      </c>
    </row>
    <row r="173" spans="1:12" x14ac:dyDescent="0.2">
      <c r="A173" s="34" t="s">
        <v>393</v>
      </c>
      <c r="B173" s="35">
        <f t="shared" si="2"/>
        <v>0</v>
      </c>
      <c r="C173" s="5"/>
      <c r="D173" s="4">
        <f>10+5+2</f>
        <v>17</v>
      </c>
      <c r="E173" s="36">
        <f t="shared" si="3"/>
        <v>0</v>
      </c>
    </row>
    <row r="174" spans="1:12" x14ac:dyDescent="0.2">
      <c r="A174" s="37" t="s">
        <v>432</v>
      </c>
      <c r="B174" s="35">
        <f t="shared" si="2"/>
        <v>0</v>
      </c>
      <c r="C174" s="5"/>
    </row>
    <row r="175" spans="1:12" x14ac:dyDescent="0.2">
      <c r="A175" s="37" t="s">
        <v>433</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434</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1+1+1+1+1+1+1+1</f>
        <v>8</v>
      </c>
    </row>
    <row r="13" spans="1:11" x14ac:dyDescent="0.2">
      <c r="A13" s="6" t="s">
        <v>231</v>
      </c>
      <c r="B13" s="7"/>
      <c r="C13" s="7" t="s">
        <v>439</v>
      </c>
      <c r="D13" s="7"/>
      <c r="E13" s="7"/>
      <c r="F13" s="7"/>
      <c r="G13" s="7"/>
      <c r="H13" s="7"/>
      <c r="I13" s="7"/>
      <c r="J13" s="7"/>
      <c r="K13" s="7">
        <f>1+1+1+1+1+1</f>
        <v>6</v>
      </c>
    </row>
    <row r="14" spans="1:11" x14ac:dyDescent="0.2">
      <c r="A14" s="6" t="s">
        <v>361</v>
      </c>
      <c r="B14" s="7"/>
      <c r="C14" s="7" t="s">
        <v>203</v>
      </c>
      <c r="D14" s="7"/>
      <c r="E14" s="7"/>
      <c r="F14" s="7"/>
      <c r="G14" s="7"/>
      <c r="H14" s="7"/>
      <c r="I14" s="7"/>
      <c r="J14" s="7"/>
      <c r="K14" s="7">
        <f>1</f>
        <v>1</v>
      </c>
    </row>
    <row r="15" spans="1:11" x14ac:dyDescent="0.2">
      <c r="A15" s="6" t="s">
        <v>241</v>
      </c>
      <c r="B15" s="7"/>
      <c r="C15" s="7" t="s">
        <v>204</v>
      </c>
      <c r="D15" s="7"/>
      <c r="E15" s="7"/>
      <c r="F15" s="7"/>
      <c r="G15" s="7"/>
      <c r="H15" s="7"/>
      <c r="I15" s="7"/>
      <c r="J15" s="7"/>
      <c r="K15" s="7">
        <f>1+1+1</f>
        <v>3</v>
      </c>
    </row>
    <row r="16" spans="1:11" x14ac:dyDescent="0.2">
      <c r="A16" s="6" t="s">
        <v>440</v>
      </c>
      <c r="B16" s="7"/>
      <c r="C16" s="7" t="s">
        <v>205</v>
      </c>
      <c r="D16" s="7"/>
      <c r="E16" s="7"/>
      <c r="F16" s="7"/>
      <c r="G16" s="7"/>
      <c r="H16" s="7"/>
      <c r="I16" s="7"/>
      <c r="J16" s="7"/>
      <c r="K16" s="7">
        <f>1+1</f>
        <v>2</v>
      </c>
    </row>
    <row r="17" spans="1:11" x14ac:dyDescent="0.2">
      <c r="A17" s="6" t="s">
        <v>260</v>
      </c>
      <c r="B17" s="7"/>
      <c r="C17" s="7" t="s">
        <v>206</v>
      </c>
      <c r="D17" s="7"/>
      <c r="E17" s="7"/>
      <c r="F17" s="7"/>
      <c r="G17" s="7"/>
      <c r="H17" s="7"/>
      <c r="I17" s="7"/>
      <c r="J17" s="7"/>
      <c r="K17" s="7">
        <f>1+1</f>
        <v>2</v>
      </c>
    </row>
    <row r="18" spans="1:11" x14ac:dyDescent="0.2">
      <c r="A18" s="6" t="s">
        <v>266</v>
      </c>
      <c r="B18" s="7"/>
      <c r="C18" s="7" t="s">
        <v>207</v>
      </c>
      <c r="D18" s="7"/>
      <c r="E18" s="7"/>
      <c r="F18" s="7"/>
      <c r="G18" s="7"/>
      <c r="H18" s="7"/>
      <c r="I18" s="7"/>
      <c r="J18" s="7"/>
      <c r="K18" s="47">
        <f>1</f>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5">
        <f>1</f>
        <v>1</v>
      </c>
      <c r="J24" s="31"/>
      <c r="K24" s="31"/>
    </row>
    <row r="25" spans="1:11" x14ac:dyDescent="0.2">
      <c r="A25" s="29" t="s">
        <v>247</v>
      </c>
      <c r="B25" s="17"/>
      <c r="C25" s="17"/>
      <c r="D25" s="32"/>
      <c r="E25" s="31"/>
      <c r="F25" s="32"/>
      <c r="G25" s="32"/>
      <c r="H25" s="31"/>
      <c r="I25" s="5">
        <f>1+1+1+1</f>
        <v>4</v>
      </c>
      <c r="J25" s="31"/>
      <c r="K25" s="49"/>
    </row>
    <row r="26" spans="1:11" x14ac:dyDescent="0.2">
      <c r="A26" s="29" t="s">
        <v>228</v>
      </c>
      <c r="B26" s="17"/>
      <c r="C26" s="17"/>
      <c r="D26" s="32"/>
      <c r="E26" s="31"/>
      <c r="F26" s="32"/>
      <c r="G26" s="32"/>
      <c r="H26" s="31"/>
      <c r="I26" s="5">
        <f>1+1+1+1+1+1+1+1+1+1+1</f>
        <v>11</v>
      </c>
      <c r="J26" s="31"/>
      <c r="K26" s="32"/>
    </row>
    <row r="27" spans="1:11" x14ac:dyDescent="0.2">
      <c r="A27" s="29" t="s">
        <v>429</v>
      </c>
      <c r="B27" s="17"/>
      <c r="C27" s="17"/>
      <c r="D27" s="32"/>
      <c r="E27" s="31"/>
      <c r="F27" s="32"/>
      <c r="G27" s="32"/>
      <c r="H27" s="31"/>
      <c r="I27" s="5">
        <f>1</f>
        <v>1</v>
      </c>
      <c r="J27" s="31"/>
      <c r="K27" s="31"/>
    </row>
    <row r="28" spans="1:11" x14ac:dyDescent="0.2">
      <c r="A28" s="29" t="s">
        <v>430</v>
      </c>
      <c r="B28" s="17"/>
      <c r="C28" s="17"/>
      <c r="D28" s="32"/>
      <c r="E28" s="31"/>
      <c r="F28" s="32"/>
      <c r="G28" s="32"/>
      <c r="H28" s="31"/>
      <c r="I28" s="5">
        <f>3</f>
        <v>3</v>
      </c>
      <c r="J28" s="31"/>
      <c r="K28" s="31"/>
    </row>
    <row r="29" spans="1:11" x14ac:dyDescent="0.2">
      <c r="A29" s="29" t="s">
        <v>431</v>
      </c>
      <c r="B29" s="17"/>
      <c r="C29" s="17"/>
      <c r="D29" s="32"/>
      <c r="E29" s="31"/>
      <c r="F29" s="32"/>
      <c r="G29" s="32"/>
      <c r="H29" s="31"/>
      <c r="I29" s="5"/>
      <c r="J29" s="31"/>
      <c r="K29" s="32"/>
    </row>
    <row r="30" spans="1:11" x14ac:dyDescent="0.2">
      <c r="A30" s="29" t="s">
        <v>291</v>
      </c>
      <c r="B30" s="17"/>
      <c r="C30" s="17"/>
      <c r="D30" s="32"/>
      <c r="E30" s="31"/>
      <c r="F30" s="32"/>
      <c r="G30" s="32"/>
      <c r="H30" s="31"/>
      <c r="I30" s="5">
        <f>1+1+1</f>
        <v>3</v>
      </c>
      <c r="J30" s="31"/>
      <c r="K30" s="31"/>
    </row>
    <row r="31" spans="1:11" x14ac:dyDescent="0.2">
      <c r="A31" s="29" t="s">
        <v>393</v>
      </c>
      <c r="B31" s="17"/>
      <c r="C31" s="17"/>
      <c r="D31" s="32"/>
      <c r="E31" s="31"/>
      <c r="F31" s="32"/>
      <c r="G31" s="32"/>
      <c r="H31" s="31"/>
      <c r="I31" s="5"/>
      <c r="J31" s="31"/>
      <c r="K31" s="31"/>
    </row>
    <row r="32" spans="1:11" ht="13.5" thickBot="1" x14ac:dyDescent="0.25">
      <c r="A32" s="50" t="s">
        <v>444</v>
      </c>
      <c r="I32" s="5"/>
      <c r="K32" s="51"/>
    </row>
    <row r="33" spans="1:11" ht="13.5" thickTop="1" x14ac:dyDescent="0.2">
      <c r="A33" s="52" t="s">
        <v>435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row>
    <row r="2" spans="1:26" x14ac:dyDescent="0.2">
      <c r="A2" s="2" t="s">
        <v>199</v>
      </c>
      <c r="B2" s="3"/>
      <c r="H2" s="4">
        <f>1+1</f>
        <v>2</v>
      </c>
      <c r="J2" s="4">
        <f>1</f>
        <v>1</v>
      </c>
      <c r="K2" s="3"/>
      <c r="L2" s="5"/>
      <c r="M2" s="3"/>
      <c r="N2" s="3"/>
      <c r="P2" s="4">
        <v>1</v>
      </c>
    </row>
    <row r="3" spans="1:26" x14ac:dyDescent="0.2">
      <c r="A3" s="2" t="s">
        <v>200</v>
      </c>
      <c r="B3" s="5"/>
      <c r="K3" s="5"/>
      <c r="L3" s="5"/>
      <c r="M3" s="5"/>
      <c r="N3" s="6">
        <v>1</v>
      </c>
      <c r="P3" s="4">
        <v>1</v>
      </c>
      <c r="R3" s="4">
        <f>'[7]summary 0625'!K11</f>
        <v>2</v>
      </c>
      <c r="T3" s="4">
        <f>'[7]summary 0709'!K10</f>
        <v>1</v>
      </c>
    </row>
    <row r="4" spans="1:26"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row>
    <row r="5" spans="1:26"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row>
    <row r="6" spans="1:26"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row>
    <row r="7" spans="1:26"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row>
    <row r="8" spans="1:26"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row>
    <row r="9" spans="1:26"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row>
    <row r="10" spans="1:26"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row>
    <row r="11" spans="1:26"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209</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210</v>
      </c>
      <c r="B91" s="11"/>
      <c r="C91" s="11"/>
      <c r="D91" s="11"/>
      <c r="E91" s="11"/>
      <c r="F91" s="12"/>
      <c r="G91" s="11"/>
      <c r="H91" s="11"/>
      <c r="I91" s="12"/>
      <c r="J91" s="12"/>
      <c r="K91" s="12"/>
      <c r="L91" s="11"/>
    </row>
    <row r="92" spans="1:12" x14ac:dyDescent="0.2">
      <c r="A92" s="11" t="s">
        <v>445</v>
      </c>
      <c r="B92" s="11"/>
      <c r="C92" s="11"/>
      <c r="D92" s="11"/>
      <c r="E92" s="11"/>
      <c r="F92" s="12"/>
      <c r="G92" s="11"/>
      <c r="H92" s="11"/>
      <c r="I92" s="12"/>
      <c r="J92" s="12"/>
      <c r="K92" s="12"/>
      <c r="L92" s="11"/>
    </row>
    <row r="93" spans="1:12" x14ac:dyDescent="0.2">
      <c r="A93" s="11" t="s">
        <v>446</v>
      </c>
      <c r="B93" s="11"/>
      <c r="C93" s="11"/>
      <c r="D93" s="11"/>
      <c r="E93" s="11"/>
      <c r="F93" s="12"/>
      <c r="G93" s="11"/>
      <c r="H93" s="11"/>
      <c r="I93" s="12"/>
      <c r="J93" s="12"/>
      <c r="K93" s="12"/>
      <c r="L93" s="11"/>
    </row>
    <row r="94" spans="1:12" x14ac:dyDescent="0.2">
      <c r="A94" s="11" t="s">
        <v>447</v>
      </c>
      <c r="B94" s="11"/>
      <c r="C94" s="11"/>
      <c r="D94" s="11"/>
      <c r="E94" s="11"/>
      <c r="F94" s="12"/>
      <c r="G94" s="11"/>
      <c r="H94" s="11"/>
      <c r="I94" s="12"/>
      <c r="J94" s="12"/>
      <c r="K94" s="12"/>
      <c r="L94" s="11"/>
    </row>
    <row r="95" spans="1:12" x14ac:dyDescent="0.2">
      <c r="A95" s="11" t="s">
        <v>448</v>
      </c>
      <c r="B95" s="11"/>
      <c r="C95" s="11"/>
      <c r="D95" s="11"/>
      <c r="E95" s="11"/>
      <c r="F95" s="12"/>
      <c r="G95" s="11"/>
      <c r="H95" s="11"/>
      <c r="I95" s="12"/>
      <c r="J95" s="12"/>
      <c r="K95" s="12"/>
      <c r="L95" s="11"/>
    </row>
    <row r="96" spans="1:12" x14ac:dyDescent="0.2">
      <c r="A96" s="11" t="s">
        <v>449</v>
      </c>
      <c r="B96" s="11"/>
      <c r="C96" s="11"/>
      <c r="D96" s="11"/>
      <c r="E96" s="11"/>
      <c r="F96" s="12"/>
      <c r="G96" s="11"/>
      <c r="H96" s="11"/>
      <c r="I96" s="12"/>
      <c r="J96" s="12"/>
      <c r="K96" s="12"/>
      <c r="L96" s="11"/>
    </row>
    <row r="97" spans="1:25" x14ac:dyDescent="0.2">
      <c r="A97" s="11" t="s">
        <v>450</v>
      </c>
      <c r="B97" s="11"/>
      <c r="C97" s="11"/>
      <c r="D97" s="11"/>
      <c r="E97" s="11"/>
      <c r="F97" s="12"/>
      <c r="G97" s="11"/>
      <c r="H97" s="11"/>
      <c r="I97" s="12"/>
      <c r="J97" s="12"/>
      <c r="K97" s="12"/>
      <c r="L97" s="11"/>
    </row>
    <row r="98" spans="1:25" x14ac:dyDescent="0.2">
      <c r="A98" s="11" t="s">
        <v>451</v>
      </c>
      <c r="B98" s="11"/>
      <c r="C98" s="11"/>
      <c r="D98" s="11"/>
      <c r="E98" s="11"/>
      <c r="F98" s="12"/>
      <c r="G98" s="11"/>
      <c r="H98" s="11"/>
      <c r="I98" s="12"/>
      <c r="J98" s="12"/>
      <c r="K98" s="12"/>
      <c r="L98" s="11"/>
    </row>
    <row r="99" spans="1:25" x14ac:dyDescent="0.2">
      <c r="A99" s="11" t="s">
        <v>452</v>
      </c>
      <c r="B99" s="11"/>
      <c r="C99" s="11"/>
      <c r="D99" s="11"/>
      <c r="E99" s="11"/>
      <c r="F99" s="12"/>
      <c r="G99" s="11"/>
      <c r="H99" s="11"/>
      <c r="I99" s="12"/>
      <c r="J99" s="12"/>
      <c r="K99" s="12"/>
      <c r="L99" s="11"/>
    </row>
    <row r="100" spans="1:25" x14ac:dyDescent="0.2">
      <c r="A100" s="11" t="s">
        <v>453</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211</v>
      </c>
      <c r="F102" s="14"/>
      <c r="G102" s="14"/>
      <c r="H102" s="14"/>
      <c r="I102" s="14" t="s">
        <v>212</v>
      </c>
      <c r="J102" s="14" t="s">
        <v>213</v>
      </c>
      <c r="K102" s="14" t="s">
        <v>214</v>
      </c>
      <c r="L102" s="14" t="s">
        <v>215</v>
      </c>
    </row>
    <row r="103" spans="1:25" x14ac:dyDescent="0.2">
      <c r="A103" s="14" t="s">
        <v>216</v>
      </c>
      <c r="B103" s="14" t="s">
        <v>217</v>
      </c>
      <c r="C103" s="14" t="s">
        <v>218</v>
      </c>
      <c r="D103" s="14" t="s">
        <v>219</v>
      </c>
      <c r="E103" s="14" t="s">
        <v>220</v>
      </c>
      <c r="F103" s="14" t="s">
        <v>210</v>
      </c>
      <c r="G103" s="14" t="s">
        <v>221</v>
      </c>
      <c r="H103" s="14" t="s">
        <v>222</v>
      </c>
      <c r="I103" s="14" t="s">
        <v>223</v>
      </c>
      <c r="J103" s="14" t="s">
        <v>224</v>
      </c>
      <c r="K103" s="14" t="s">
        <v>225</v>
      </c>
      <c r="L103" s="14" t="s">
        <v>226</v>
      </c>
    </row>
    <row r="104" spans="1:25" x14ac:dyDescent="0.2">
      <c r="A104" s="14"/>
      <c r="B104" s="14"/>
      <c r="C104" s="14"/>
      <c r="D104" s="14"/>
      <c r="E104" s="14"/>
      <c r="F104" s="14"/>
      <c r="G104" s="14"/>
      <c r="H104" s="14"/>
      <c r="I104" s="14"/>
      <c r="J104" s="14"/>
      <c r="K104" s="14"/>
      <c r="L104" s="14"/>
    </row>
    <row r="105" spans="1:25" ht="25.5" x14ac:dyDescent="0.2">
      <c r="A105" s="15">
        <v>37119</v>
      </c>
      <c r="B105" s="16" t="s">
        <v>227</v>
      </c>
      <c r="C105" s="16" t="s">
        <v>228</v>
      </c>
      <c r="D105" s="16" t="s">
        <v>229</v>
      </c>
      <c r="E105" s="16" t="s">
        <v>230</v>
      </c>
      <c r="F105" s="16" t="s">
        <v>231</v>
      </c>
      <c r="G105" s="17" t="s">
        <v>232</v>
      </c>
      <c r="H105" s="17" t="s">
        <v>233</v>
      </c>
      <c r="I105" s="16" t="s">
        <v>234</v>
      </c>
      <c r="J105" s="16" t="s">
        <v>234</v>
      </c>
      <c r="K105" s="16" t="s">
        <v>235</v>
      </c>
      <c r="L105" s="16" t="s">
        <v>236</v>
      </c>
    </row>
    <row r="106" spans="1:25" ht="89.25" x14ac:dyDescent="0.2">
      <c r="A106" s="15">
        <v>37116</v>
      </c>
      <c r="B106" s="18" t="s">
        <v>237</v>
      </c>
      <c r="C106" s="16" t="s">
        <v>238</v>
      </c>
      <c r="D106" s="16" t="s">
        <v>239</v>
      </c>
      <c r="E106" s="16" t="s">
        <v>240</v>
      </c>
      <c r="F106" s="16" t="s">
        <v>241</v>
      </c>
      <c r="G106" s="17" t="s">
        <v>242</v>
      </c>
      <c r="H106" s="17" t="s">
        <v>243</v>
      </c>
      <c r="I106" s="16" t="s">
        <v>234</v>
      </c>
      <c r="J106" s="16" t="s">
        <v>235</v>
      </c>
      <c r="K106" s="16" t="s">
        <v>235</v>
      </c>
      <c r="L106" s="16" t="s">
        <v>236</v>
      </c>
    </row>
    <row r="107" spans="1:25" ht="38.25" x14ac:dyDescent="0.2">
      <c r="A107" s="15">
        <v>37116</v>
      </c>
      <c r="B107" s="16" t="s">
        <v>227</v>
      </c>
      <c r="C107" s="16" t="s">
        <v>228</v>
      </c>
      <c r="D107" s="16" t="s">
        <v>229</v>
      </c>
      <c r="E107" s="16" t="s">
        <v>230</v>
      </c>
      <c r="F107" s="16" t="s">
        <v>231</v>
      </c>
      <c r="G107" s="17" t="s">
        <v>244</v>
      </c>
      <c r="H107" s="17" t="s">
        <v>245</v>
      </c>
      <c r="I107" s="16" t="s">
        <v>234</v>
      </c>
      <c r="J107" s="16" t="s">
        <v>234</v>
      </c>
      <c r="K107" s="16" t="s">
        <v>235</v>
      </c>
      <c r="L107" s="16" t="s">
        <v>236</v>
      </c>
    </row>
    <row r="108" spans="1:25" ht="76.5" x14ac:dyDescent="0.2">
      <c r="A108" s="15">
        <v>37116</v>
      </c>
      <c r="B108" s="16" t="s">
        <v>246</v>
      </c>
      <c r="C108" s="16" t="s">
        <v>247</v>
      </c>
      <c r="D108" s="16" t="s">
        <v>248</v>
      </c>
      <c r="E108" s="16" t="s">
        <v>249</v>
      </c>
      <c r="F108" s="16" t="s">
        <v>241</v>
      </c>
      <c r="G108" s="17" t="s">
        <v>250</v>
      </c>
      <c r="H108" s="17" t="s">
        <v>251</v>
      </c>
      <c r="I108" s="16" t="s">
        <v>234</v>
      </c>
      <c r="J108" s="16" t="s">
        <v>235</v>
      </c>
      <c r="K108" s="16" t="s">
        <v>235</v>
      </c>
      <c r="L108" s="16" t="s">
        <v>236</v>
      </c>
    </row>
    <row r="109" spans="1:25" ht="24.75" customHeight="1" x14ac:dyDescent="0.2">
      <c r="A109" s="15">
        <v>37113</v>
      </c>
      <c r="B109" s="16" t="s">
        <v>227</v>
      </c>
      <c r="C109" s="16" t="s">
        <v>228</v>
      </c>
      <c r="D109" s="16" t="s">
        <v>229</v>
      </c>
      <c r="E109" s="16" t="s">
        <v>230</v>
      </c>
      <c r="F109" s="16" t="s">
        <v>231</v>
      </c>
      <c r="G109" s="17" t="s">
        <v>244</v>
      </c>
      <c r="H109" s="17" t="s">
        <v>245</v>
      </c>
      <c r="I109" s="16" t="s">
        <v>234</v>
      </c>
      <c r="J109" s="16" t="s">
        <v>234</v>
      </c>
      <c r="K109" s="16" t="s">
        <v>235</v>
      </c>
      <c r="L109" s="16" t="s">
        <v>236</v>
      </c>
    </row>
    <row r="110" spans="1:25" ht="25.5" x14ac:dyDescent="0.2">
      <c r="A110" s="15">
        <v>37109</v>
      </c>
      <c r="B110" s="16" t="s">
        <v>252</v>
      </c>
      <c r="C110" s="19" t="s">
        <v>228</v>
      </c>
      <c r="D110" s="20" t="s">
        <v>253</v>
      </c>
      <c r="E110" s="21" t="s">
        <v>254</v>
      </c>
      <c r="F110" s="16" t="s">
        <v>255</v>
      </c>
      <c r="G110" s="17" t="s">
        <v>256</v>
      </c>
      <c r="H110" s="18" t="s">
        <v>257</v>
      </c>
      <c r="I110" s="16" t="s">
        <v>235</v>
      </c>
      <c r="J110" s="16" t="s">
        <v>234</v>
      </c>
      <c r="K110" s="16" t="s">
        <v>235</v>
      </c>
      <c r="L110" s="16" t="s">
        <v>236</v>
      </c>
      <c r="M110" s="22"/>
      <c r="N110" s="22"/>
      <c r="O110" s="22"/>
      <c r="P110" s="22"/>
      <c r="Q110" s="22"/>
      <c r="R110" s="22"/>
      <c r="S110" s="22"/>
      <c r="T110" s="22"/>
      <c r="U110" s="22"/>
      <c r="V110" s="22"/>
      <c r="W110" s="22"/>
      <c r="X110" s="22"/>
      <c r="Y110" s="22"/>
    </row>
    <row r="111" spans="1:25" ht="38.25" x14ac:dyDescent="0.2">
      <c r="A111" s="15">
        <v>37109</v>
      </c>
      <c r="B111" s="16" t="s">
        <v>258</v>
      </c>
      <c r="C111" s="16" t="s">
        <v>247</v>
      </c>
      <c r="D111" s="16" t="s">
        <v>259</v>
      </c>
      <c r="E111" s="16"/>
      <c r="F111" s="16" t="s">
        <v>260</v>
      </c>
      <c r="G111" s="17" t="s">
        <v>261</v>
      </c>
      <c r="H111" s="17" t="s">
        <v>262</v>
      </c>
      <c r="I111" s="16" t="s">
        <v>235</v>
      </c>
      <c r="J111" s="16" t="s">
        <v>234</v>
      </c>
      <c r="K111" s="16" t="s">
        <v>235</v>
      </c>
      <c r="L111" s="16" t="s">
        <v>236</v>
      </c>
      <c r="M111" s="22"/>
      <c r="N111" s="22"/>
      <c r="O111" s="22"/>
      <c r="P111" s="22"/>
      <c r="Q111" s="22"/>
      <c r="R111" s="22"/>
      <c r="S111" s="22"/>
      <c r="T111" s="22"/>
      <c r="U111" s="22"/>
      <c r="V111" s="22"/>
      <c r="W111" s="22"/>
      <c r="X111" s="22"/>
      <c r="Y111" s="22"/>
    </row>
    <row r="112" spans="1:25" ht="63.75" x14ac:dyDescent="0.2">
      <c r="A112" s="15">
        <v>37105</v>
      </c>
      <c r="B112" s="23" t="s">
        <v>263</v>
      </c>
      <c r="C112" s="16" t="s">
        <v>238</v>
      </c>
      <c r="D112" s="16" t="s">
        <v>264</v>
      </c>
      <c r="E112" s="16" t="s">
        <v>265</v>
      </c>
      <c r="F112" s="16" t="s">
        <v>266</v>
      </c>
      <c r="G112" s="17" t="s">
        <v>267</v>
      </c>
      <c r="H112" s="17" t="s">
        <v>268</v>
      </c>
      <c r="I112" s="16" t="s">
        <v>235</v>
      </c>
      <c r="J112" s="16" t="s">
        <v>234</v>
      </c>
      <c r="K112" s="16" t="s">
        <v>235</v>
      </c>
      <c r="L112" s="16" t="s">
        <v>236</v>
      </c>
      <c r="M112" s="22"/>
      <c r="N112" s="22"/>
      <c r="O112" s="22"/>
      <c r="P112" s="22"/>
      <c r="Q112" s="22"/>
      <c r="R112" s="22"/>
      <c r="S112" s="22"/>
      <c r="T112" s="22"/>
      <c r="U112" s="22"/>
      <c r="V112" s="22"/>
      <c r="W112" s="22"/>
      <c r="X112" s="22"/>
      <c r="Y112" s="22"/>
    </row>
    <row r="113" spans="1:25" ht="55.5" customHeight="1" x14ac:dyDescent="0.2">
      <c r="A113" s="15">
        <v>37105</v>
      </c>
      <c r="B113" s="16" t="s">
        <v>229</v>
      </c>
      <c r="C113" s="16" t="s">
        <v>228</v>
      </c>
      <c r="D113" s="16" t="s">
        <v>229</v>
      </c>
      <c r="E113" s="16" t="s">
        <v>230</v>
      </c>
      <c r="F113" s="16" t="s">
        <v>266</v>
      </c>
      <c r="G113" s="17" t="s">
        <v>269</v>
      </c>
      <c r="H113" s="17" t="s">
        <v>270</v>
      </c>
      <c r="I113" s="16" t="s">
        <v>235</v>
      </c>
      <c r="J113" s="16" t="s">
        <v>234</v>
      </c>
      <c r="K113" s="16" t="s">
        <v>235</v>
      </c>
      <c r="L113" s="16" t="s">
        <v>236</v>
      </c>
      <c r="M113" s="22"/>
      <c r="N113" s="22"/>
      <c r="O113" s="22"/>
      <c r="P113" s="22"/>
      <c r="Q113" s="22"/>
      <c r="R113" s="22"/>
      <c r="S113" s="22"/>
      <c r="T113" s="22"/>
      <c r="U113" s="22"/>
      <c r="V113" s="22"/>
      <c r="W113" s="22"/>
      <c r="X113" s="22"/>
      <c r="Y113" s="22"/>
    </row>
    <row r="114" spans="1:25" ht="51" x14ac:dyDescent="0.2">
      <c r="A114" s="15">
        <v>37102</v>
      </c>
      <c r="B114" s="16" t="s">
        <v>271</v>
      </c>
      <c r="C114" s="16" t="s">
        <v>238</v>
      </c>
      <c r="D114" s="16" t="s">
        <v>272</v>
      </c>
      <c r="E114" s="16" t="s">
        <v>240</v>
      </c>
      <c r="F114" s="16" t="s">
        <v>241</v>
      </c>
      <c r="G114" s="17" t="s">
        <v>273</v>
      </c>
      <c r="H114" s="17" t="s">
        <v>274</v>
      </c>
      <c r="I114" s="16" t="s">
        <v>234</v>
      </c>
      <c r="J114" s="16" t="s">
        <v>235</v>
      </c>
      <c r="K114" s="16" t="s">
        <v>235</v>
      </c>
      <c r="L114" s="16" t="s">
        <v>236</v>
      </c>
      <c r="M114" s="22"/>
      <c r="N114" s="22"/>
      <c r="O114" s="22"/>
      <c r="P114" s="22"/>
      <c r="Q114" s="22"/>
      <c r="R114" s="22"/>
      <c r="S114" s="22"/>
      <c r="T114" s="22"/>
      <c r="U114" s="22"/>
      <c r="V114" s="22"/>
      <c r="W114" s="22"/>
      <c r="X114" s="22"/>
      <c r="Y114" s="22"/>
    </row>
    <row r="115" spans="1:25" ht="63.75" x14ac:dyDescent="0.2">
      <c r="A115" s="15">
        <v>37099</v>
      </c>
      <c r="B115" s="16" t="s">
        <v>275</v>
      </c>
      <c r="C115" s="16" t="s">
        <v>228</v>
      </c>
      <c r="D115" s="16" t="s">
        <v>276</v>
      </c>
      <c r="E115" s="16" t="s">
        <v>230</v>
      </c>
      <c r="F115" s="16" t="s">
        <v>231</v>
      </c>
      <c r="G115" s="17" t="s">
        <v>277</v>
      </c>
      <c r="H115" s="17" t="s">
        <v>278</v>
      </c>
      <c r="I115" s="16" t="s">
        <v>234</v>
      </c>
      <c r="J115" s="16" t="s">
        <v>234</v>
      </c>
      <c r="K115" s="16" t="s">
        <v>234</v>
      </c>
      <c r="L115" s="16" t="s">
        <v>236</v>
      </c>
      <c r="M115" s="22"/>
      <c r="N115" s="22"/>
      <c r="O115" s="22"/>
      <c r="P115" s="22"/>
      <c r="Q115" s="22"/>
      <c r="R115" s="22"/>
      <c r="S115" s="22"/>
      <c r="T115" s="22"/>
      <c r="U115" s="22"/>
      <c r="V115" s="22"/>
      <c r="W115" s="22"/>
      <c r="X115" s="22"/>
      <c r="Y115" s="22"/>
    </row>
    <row r="116" spans="1:25" ht="76.5" x14ac:dyDescent="0.2">
      <c r="A116" s="15">
        <v>37099</v>
      </c>
      <c r="B116" s="23" t="s">
        <v>279</v>
      </c>
      <c r="C116" s="16" t="s">
        <v>247</v>
      </c>
      <c r="D116" s="16" t="s">
        <v>280</v>
      </c>
      <c r="E116" s="16" t="s">
        <v>281</v>
      </c>
      <c r="F116" s="16" t="s">
        <v>266</v>
      </c>
      <c r="G116" s="17" t="s">
        <v>282</v>
      </c>
      <c r="H116" s="17" t="s">
        <v>283</v>
      </c>
      <c r="I116" s="16" t="s">
        <v>235</v>
      </c>
      <c r="J116" s="16" t="s">
        <v>234</v>
      </c>
      <c r="K116" s="16" t="s">
        <v>235</v>
      </c>
      <c r="L116" s="16" t="s">
        <v>236</v>
      </c>
      <c r="M116" s="22"/>
      <c r="N116" s="22"/>
      <c r="O116" s="22"/>
      <c r="P116" s="22"/>
      <c r="Q116" s="22"/>
      <c r="R116" s="22"/>
      <c r="S116" s="22"/>
      <c r="T116" s="22"/>
      <c r="U116" s="22"/>
      <c r="V116" s="22"/>
      <c r="W116" s="22"/>
      <c r="X116" s="22"/>
      <c r="Y116" s="22"/>
    </row>
    <row r="117" spans="1:25" ht="38.25" x14ac:dyDescent="0.2">
      <c r="A117" s="15">
        <v>37095</v>
      </c>
      <c r="B117" s="16" t="s">
        <v>284</v>
      </c>
      <c r="C117" s="16" t="s">
        <v>238</v>
      </c>
      <c r="D117" s="16" t="s">
        <v>285</v>
      </c>
      <c r="E117" s="16" t="s">
        <v>286</v>
      </c>
      <c r="F117" s="16" t="s">
        <v>255</v>
      </c>
      <c r="G117" s="17" t="s">
        <v>287</v>
      </c>
      <c r="H117" s="17" t="s">
        <v>288</v>
      </c>
      <c r="I117" s="16" t="s">
        <v>235</v>
      </c>
      <c r="J117" s="16" t="s">
        <v>234</v>
      </c>
      <c r="K117" s="16" t="s">
        <v>235</v>
      </c>
      <c r="L117" s="16" t="s">
        <v>236</v>
      </c>
      <c r="M117" s="22"/>
      <c r="N117" s="22"/>
      <c r="O117" s="22"/>
      <c r="P117" s="22"/>
      <c r="Q117" s="22"/>
      <c r="R117" s="22"/>
      <c r="S117" s="22"/>
      <c r="T117" s="22"/>
      <c r="U117" s="22"/>
      <c r="V117" s="22"/>
      <c r="W117" s="22"/>
      <c r="X117" s="22"/>
      <c r="Y117" s="22"/>
    </row>
    <row r="118" spans="1:25" ht="38.25" x14ac:dyDescent="0.2">
      <c r="A118" s="15">
        <v>37092</v>
      </c>
      <c r="B118" s="16" t="s">
        <v>284</v>
      </c>
      <c r="C118" s="16" t="s">
        <v>238</v>
      </c>
      <c r="D118" s="16" t="s">
        <v>285</v>
      </c>
      <c r="E118" s="16" t="s">
        <v>286</v>
      </c>
      <c r="F118" s="16" t="s">
        <v>255</v>
      </c>
      <c r="G118" s="17" t="s">
        <v>287</v>
      </c>
      <c r="H118" s="17" t="s">
        <v>289</v>
      </c>
      <c r="I118" s="16" t="s">
        <v>235</v>
      </c>
      <c r="J118" s="16" t="s">
        <v>234</v>
      </c>
      <c r="K118" s="16" t="s">
        <v>234</v>
      </c>
      <c r="L118" s="16" t="s">
        <v>236</v>
      </c>
      <c r="M118" s="22"/>
      <c r="N118" s="22"/>
      <c r="O118" s="22"/>
      <c r="P118" s="22"/>
      <c r="Q118" s="22"/>
      <c r="R118" s="22"/>
      <c r="S118" s="22"/>
      <c r="T118" s="22"/>
      <c r="U118" s="22"/>
      <c r="V118" s="22"/>
      <c r="W118" s="22"/>
      <c r="X118" s="22"/>
      <c r="Y118" s="22"/>
    </row>
    <row r="119" spans="1:25" ht="38.25" x14ac:dyDescent="0.2">
      <c r="A119" s="24">
        <v>37092</v>
      </c>
      <c r="B119" s="18" t="s">
        <v>290</v>
      </c>
      <c r="C119" s="18" t="s">
        <v>291</v>
      </c>
      <c r="D119" s="18" t="s">
        <v>292</v>
      </c>
      <c r="E119" s="18" t="s">
        <v>293</v>
      </c>
      <c r="F119" s="18" t="s">
        <v>255</v>
      </c>
      <c r="G119" s="17" t="s">
        <v>294</v>
      </c>
      <c r="H119" s="18" t="s">
        <v>262</v>
      </c>
      <c r="I119" s="18" t="s">
        <v>235</v>
      </c>
      <c r="J119" s="18" t="s">
        <v>234</v>
      </c>
      <c r="K119" s="18" t="s">
        <v>234</v>
      </c>
      <c r="L119" s="18" t="s">
        <v>236</v>
      </c>
      <c r="M119" s="22"/>
      <c r="N119" s="22"/>
      <c r="O119" s="22"/>
      <c r="P119" s="22"/>
      <c r="Q119" s="22"/>
      <c r="R119" s="22"/>
      <c r="S119" s="22"/>
      <c r="T119" s="22"/>
      <c r="U119" s="22"/>
      <c r="V119" s="22"/>
      <c r="W119" s="22"/>
      <c r="X119" s="22"/>
      <c r="Y119" s="22"/>
    </row>
    <row r="120" spans="1:25" ht="38.25" x14ac:dyDescent="0.2">
      <c r="A120" s="24">
        <v>37090</v>
      </c>
      <c r="B120" s="18" t="s">
        <v>295</v>
      </c>
      <c r="C120" s="18" t="s">
        <v>228</v>
      </c>
      <c r="D120" s="18" t="s">
        <v>295</v>
      </c>
      <c r="E120" s="18" t="s">
        <v>230</v>
      </c>
      <c r="F120" s="18" t="s">
        <v>231</v>
      </c>
      <c r="G120" s="17" t="s">
        <v>296</v>
      </c>
      <c r="H120" s="18" t="s">
        <v>274</v>
      </c>
      <c r="I120" s="18" t="s">
        <v>234</v>
      </c>
      <c r="J120" s="18" t="s">
        <v>234</v>
      </c>
      <c r="K120" s="18" t="s">
        <v>234</v>
      </c>
      <c r="L120" s="18" t="s">
        <v>236</v>
      </c>
      <c r="M120" s="22"/>
      <c r="N120" s="22"/>
      <c r="O120" s="22"/>
      <c r="P120" s="22"/>
      <c r="Q120" s="22"/>
      <c r="R120" s="22"/>
      <c r="S120" s="22"/>
      <c r="T120" s="22"/>
      <c r="U120" s="22"/>
      <c r="V120" s="22"/>
      <c r="W120" s="22"/>
      <c r="X120" s="22"/>
      <c r="Y120" s="22"/>
    </row>
    <row r="121" spans="1:25" ht="51" x14ac:dyDescent="0.2">
      <c r="A121" s="24">
        <v>37081</v>
      </c>
      <c r="B121" s="18" t="s">
        <v>297</v>
      </c>
      <c r="C121" s="18" t="s">
        <v>238</v>
      </c>
      <c r="D121" s="18" t="s">
        <v>298</v>
      </c>
      <c r="E121" s="18" t="s">
        <v>299</v>
      </c>
      <c r="F121" s="18" t="s">
        <v>255</v>
      </c>
      <c r="G121" s="17" t="s">
        <v>300</v>
      </c>
      <c r="H121" s="18" t="s">
        <v>301</v>
      </c>
      <c r="I121" s="18" t="s">
        <v>235</v>
      </c>
      <c r="J121" s="18" t="s">
        <v>234</v>
      </c>
      <c r="K121" s="18" t="s">
        <v>234</v>
      </c>
      <c r="L121" s="18" t="s">
        <v>236</v>
      </c>
      <c r="M121" s="22"/>
      <c r="N121" s="22"/>
      <c r="O121" s="22"/>
      <c r="P121" s="22"/>
      <c r="Q121" s="22"/>
      <c r="R121" s="22"/>
      <c r="S121" s="22"/>
      <c r="T121" s="22"/>
      <c r="U121" s="22"/>
      <c r="V121" s="22"/>
      <c r="W121" s="22"/>
      <c r="X121" s="22"/>
      <c r="Y121" s="22"/>
    </row>
    <row r="122" spans="1:25" ht="76.5" x14ac:dyDescent="0.2">
      <c r="A122" s="24">
        <v>37081</v>
      </c>
      <c r="B122" s="18" t="s">
        <v>302</v>
      </c>
      <c r="C122" s="18" t="s">
        <v>228</v>
      </c>
      <c r="D122" s="18" t="s">
        <v>303</v>
      </c>
      <c r="E122" s="18" t="s">
        <v>230</v>
      </c>
      <c r="F122" s="18" t="s">
        <v>241</v>
      </c>
      <c r="G122" s="17" t="s">
        <v>304</v>
      </c>
      <c r="H122" s="17" t="s">
        <v>305</v>
      </c>
      <c r="I122" s="18" t="s">
        <v>235</v>
      </c>
      <c r="J122" s="18" t="s">
        <v>234</v>
      </c>
      <c r="K122" s="18" t="s">
        <v>234</v>
      </c>
      <c r="L122" s="18" t="s">
        <v>236</v>
      </c>
      <c r="M122" s="22"/>
      <c r="N122" s="22"/>
      <c r="O122" s="22"/>
      <c r="P122" s="22"/>
      <c r="Q122" s="22"/>
      <c r="R122" s="22"/>
      <c r="S122" s="22"/>
      <c r="T122" s="22"/>
      <c r="U122" s="22"/>
      <c r="V122" s="22"/>
      <c r="W122" s="22"/>
      <c r="X122" s="22"/>
      <c r="Y122" s="22"/>
    </row>
    <row r="123" spans="1:25" x14ac:dyDescent="0.2">
      <c r="A123" s="24">
        <v>37074</v>
      </c>
      <c r="B123" s="18" t="s">
        <v>306</v>
      </c>
      <c r="C123" s="18" t="s">
        <v>307</v>
      </c>
      <c r="D123" s="18" t="s">
        <v>308</v>
      </c>
      <c r="E123" s="18" t="s">
        <v>309</v>
      </c>
      <c r="F123" s="18" t="s">
        <v>266</v>
      </c>
      <c r="G123" s="17" t="s">
        <v>262</v>
      </c>
      <c r="H123" s="17"/>
      <c r="I123" s="18"/>
      <c r="J123" s="18"/>
      <c r="K123" s="18"/>
      <c r="L123" s="18" t="s">
        <v>236</v>
      </c>
      <c r="M123" s="22"/>
      <c r="N123" s="22"/>
      <c r="O123" s="22"/>
      <c r="P123" s="22"/>
      <c r="Q123" s="22"/>
      <c r="R123" s="22"/>
      <c r="S123" s="22"/>
      <c r="T123" s="22"/>
      <c r="U123" s="22"/>
      <c r="V123" s="22"/>
      <c r="W123" s="22"/>
      <c r="X123" s="22"/>
      <c r="Y123" s="22"/>
    </row>
    <row r="124" spans="1:25" ht="51" x14ac:dyDescent="0.2">
      <c r="A124" s="24">
        <v>37074</v>
      </c>
      <c r="B124" s="18" t="s">
        <v>310</v>
      </c>
      <c r="C124" s="18" t="s">
        <v>228</v>
      </c>
      <c r="D124" s="18" t="s">
        <v>311</v>
      </c>
      <c r="E124" s="18" t="s">
        <v>230</v>
      </c>
      <c r="F124" s="18" t="s">
        <v>241</v>
      </c>
      <c r="G124" s="17" t="s">
        <v>312</v>
      </c>
      <c r="H124" s="17" t="s">
        <v>233</v>
      </c>
      <c r="I124" s="18" t="s">
        <v>235</v>
      </c>
      <c r="J124" s="18" t="s">
        <v>235</v>
      </c>
      <c r="K124" s="18" t="s">
        <v>235</v>
      </c>
      <c r="L124" s="18" t="s">
        <v>236</v>
      </c>
      <c r="M124" s="22"/>
      <c r="N124" s="22"/>
      <c r="O124" s="22"/>
      <c r="P124" s="22"/>
      <c r="Q124" s="22"/>
      <c r="R124" s="22"/>
      <c r="S124" s="22"/>
      <c r="T124" s="22"/>
      <c r="U124" s="22"/>
      <c r="V124" s="22"/>
      <c r="W124" s="22"/>
      <c r="X124" s="22"/>
      <c r="Y124" s="22"/>
    </row>
    <row r="125" spans="1:25" ht="25.5" x14ac:dyDescent="0.2">
      <c r="A125" s="24">
        <v>37071</v>
      </c>
      <c r="B125" s="18" t="s">
        <v>313</v>
      </c>
      <c r="C125" s="18" t="s">
        <v>228</v>
      </c>
      <c r="D125" s="18" t="s">
        <v>313</v>
      </c>
      <c r="E125" s="18" t="s">
        <v>230</v>
      </c>
      <c r="F125" s="18" t="s">
        <v>260</v>
      </c>
      <c r="G125" s="17" t="s">
        <v>314</v>
      </c>
      <c r="H125" s="17" t="s">
        <v>315</v>
      </c>
      <c r="I125" s="18" t="s">
        <v>235</v>
      </c>
      <c r="J125" s="18" t="s">
        <v>234</v>
      </c>
      <c r="K125" s="18" t="s">
        <v>235</v>
      </c>
      <c r="L125" s="18" t="s">
        <v>236</v>
      </c>
      <c r="M125" s="22"/>
      <c r="N125" s="22"/>
      <c r="O125" s="22"/>
      <c r="P125" s="22"/>
      <c r="Q125" s="22"/>
      <c r="R125" s="22"/>
      <c r="S125" s="22"/>
      <c r="T125" s="22"/>
      <c r="U125" s="22"/>
      <c r="V125" s="22"/>
      <c r="W125" s="22"/>
      <c r="X125" s="22"/>
      <c r="Y125" s="22"/>
    </row>
    <row r="126" spans="1:25" ht="51" x14ac:dyDescent="0.2">
      <c r="A126" s="24">
        <v>37069</v>
      </c>
      <c r="B126" s="17" t="s">
        <v>316</v>
      </c>
      <c r="C126" s="18" t="s">
        <v>238</v>
      </c>
      <c r="D126" s="18" t="s">
        <v>317</v>
      </c>
      <c r="E126" s="18" t="s">
        <v>318</v>
      </c>
      <c r="F126" s="18" t="s">
        <v>260</v>
      </c>
      <c r="G126" s="17" t="s">
        <v>319</v>
      </c>
      <c r="H126" s="17" t="s">
        <v>320</v>
      </c>
      <c r="I126" s="18" t="s">
        <v>235</v>
      </c>
      <c r="J126" s="18" t="s">
        <v>234</v>
      </c>
      <c r="K126" s="18" t="s">
        <v>235</v>
      </c>
      <c r="L126" s="18" t="s">
        <v>236</v>
      </c>
      <c r="M126" s="22"/>
      <c r="N126" s="22"/>
      <c r="O126" s="22"/>
      <c r="P126" s="22"/>
      <c r="Q126" s="22"/>
      <c r="R126" s="22"/>
      <c r="S126" s="22"/>
      <c r="T126" s="22"/>
      <c r="U126" s="22"/>
      <c r="V126" s="22"/>
      <c r="W126" s="22"/>
      <c r="X126" s="22"/>
      <c r="Y126" s="22"/>
    </row>
    <row r="127" spans="1:25" ht="76.5" x14ac:dyDescent="0.2">
      <c r="A127" s="24">
        <v>37069</v>
      </c>
      <c r="B127" s="18" t="s">
        <v>321</v>
      </c>
      <c r="C127" s="18" t="s">
        <v>228</v>
      </c>
      <c r="D127" s="18" t="s">
        <v>321</v>
      </c>
      <c r="E127" s="18" t="s">
        <v>230</v>
      </c>
      <c r="F127" s="18" t="s">
        <v>260</v>
      </c>
      <c r="G127" s="17" t="s">
        <v>322</v>
      </c>
      <c r="H127" s="17" t="s">
        <v>323</v>
      </c>
      <c r="I127" s="18" t="s">
        <v>235</v>
      </c>
      <c r="J127" s="18" t="s">
        <v>234</v>
      </c>
      <c r="K127" s="18" t="s">
        <v>235</v>
      </c>
      <c r="L127" s="18" t="s">
        <v>236</v>
      </c>
    </row>
    <row r="128" spans="1:25" ht="38.25" x14ac:dyDescent="0.2">
      <c r="A128" s="24">
        <v>37069</v>
      </c>
      <c r="B128" s="18" t="s">
        <v>324</v>
      </c>
      <c r="C128" s="18" t="s">
        <v>291</v>
      </c>
      <c r="D128" s="18" t="s">
        <v>325</v>
      </c>
      <c r="E128" s="18" t="s">
        <v>293</v>
      </c>
      <c r="F128" s="18" t="s">
        <v>241</v>
      </c>
      <c r="G128" s="17" t="s">
        <v>326</v>
      </c>
      <c r="H128" s="17" t="s">
        <v>327</v>
      </c>
      <c r="I128" s="18" t="s">
        <v>234</v>
      </c>
      <c r="J128" s="18" t="s">
        <v>234</v>
      </c>
      <c r="K128" s="18" t="s">
        <v>234</v>
      </c>
      <c r="L128" s="18" t="s">
        <v>236</v>
      </c>
    </row>
    <row r="129" spans="1:12" ht="38.25" x14ac:dyDescent="0.2">
      <c r="A129" s="24">
        <v>37069</v>
      </c>
      <c r="B129" s="18" t="s">
        <v>328</v>
      </c>
      <c r="C129" s="18"/>
      <c r="D129" s="18"/>
      <c r="E129" s="18"/>
      <c r="F129" s="18"/>
      <c r="G129" s="17" t="s">
        <v>329</v>
      </c>
      <c r="H129" s="17" t="s">
        <v>330</v>
      </c>
      <c r="I129" s="18" t="s">
        <v>235</v>
      </c>
      <c r="J129" s="18" t="s">
        <v>234</v>
      </c>
      <c r="K129" s="18" t="s">
        <v>235</v>
      </c>
      <c r="L129" s="18" t="s">
        <v>236</v>
      </c>
    </row>
    <row r="130" spans="1:12" ht="102" x14ac:dyDescent="0.2">
      <c r="A130" s="24">
        <v>37068</v>
      </c>
      <c r="B130" s="18" t="s">
        <v>331</v>
      </c>
      <c r="C130" s="18"/>
      <c r="D130" s="18"/>
      <c r="E130" s="18"/>
      <c r="F130" s="18" t="s">
        <v>241</v>
      </c>
      <c r="G130" s="17" t="s">
        <v>332</v>
      </c>
      <c r="H130" s="17" t="s">
        <v>333</v>
      </c>
      <c r="I130" s="18" t="s">
        <v>234</v>
      </c>
      <c r="J130" s="18" t="s">
        <v>235</v>
      </c>
      <c r="K130" s="18" t="s">
        <v>235</v>
      </c>
      <c r="L130" s="18" t="s">
        <v>236</v>
      </c>
    </row>
    <row r="131" spans="1:12" ht="38.25" x14ac:dyDescent="0.2">
      <c r="A131" s="24">
        <v>37064</v>
      </c>
      <c r="B131" s="18" t="s">
        <v>302</v>
      </c>
      <c r="C131" s="18" t="s">
        <v>228</v>
      </c>
      <c r="D131" s="18" t="s">
        <v>303</v>
      </c>
      <c r="E131" s="18" t="s">
        <v>230</v>
      </c>
      <c r="F131" s="18" t="s">
        <v>231</v>
      </c>
      <c r="G131" s="25" t="s">
        <v>334</v>
      </c>
      <c r="H131" s="18" t="s">
        <v>335</v>
      </c>
      <c r="I131" s="18" t="s">
        <v>234</v>
      </c>
      <c r="J131" s="18" t="s">
        <v>234</v>
      </c>
      <c r="K131" s="18" t="s">
        <v>234</v>
      </c>
      <c r="L131" s="18" t="s">
        <v>236</v>
      </c>
    </row>
    <row r="132" spans="1:12" ht="63.75" x14ac:dyDescent="0.2">
      <c r="A132" s="24">
        <v>37064</v>
      </c>
      <c r="B132" s="18" t="s">
        <v>295</v>
      </c>
      <c r="C132" s="18" t="s">
        <v>228</v>
      </c>
      <c r="D132" s="18" t="s">
        <v>295</v>
      </c>
      <c r="E132" s="18" t="s">
        <v>230</v>
      </c>
      <c r="F132" s="18" t="s">
        <v>231</v>
      </c>
      <c r="G132" s="25" t="s">
        <v>336</v>
      </c>
      <c r="H132" s="25" t="s">
        <v>337</v>
      </c>
      <c r="I132" s="18" t="s">
        <v>234</v>
      </c>
      <c r="J132" s="18" t="s">
        <v>234</v>
      </c>
      <c r="K132" s="18" t="s">
        <v>235</v>
      </c>
      <c r="L132" s="18" t="s">
        <v>236</v>
      </c>
    </row>
    <row r="133" spans="1:12" ht="76.5" x14ac:dyDescent="0.2">
      <c r="A133" s="24">
        <v>37064</v>
      </c>
      <c r="B133" s="25" t="s">
        <v>338</v>
      </c>
      <c r="C133" s="18" t="s">
        <v>291</v>
      </c>
      <c r="D133" s="18" t="s">
        <v>325</v>
      </c>
      <c r="E133" s="18" t="s">
        <v>293</v>
      </c>
      <c r="F133" s="18" t="s">
        <v>266</v>
      </c>
      <c r="G133" s="25" t="s">
        <v>339</v>
      </c>
      <c r="H133" s="18" t="s">
        <v>340</v>
      </c>
      <c r="I133" s="18" t="s">
        <v>234</v>
      </c>
      <c r="J133" s="18" t="s">
        <v>234</v>
      </c>
      <c r="K133" s="18" t="s">
        <v>234</v>
      </c>
      <c r="L133" s="18" t="s">
        <v>236</v>
      </c>
    </row>
    <row r="134" spans="1:12" ht="51" x14ac:dyDescent="0.2">
      <c r="A134" s="24">
        <v>37063</v>
      </c>
      <c r="B134" s="18" t="s">
        <v>341</v>
      </c>
      <c r="C134" s="18" t="s">
        <v>228</v>
      </c>
      <c r="D134" s="18" t="s">
        <v>303</v>
      </c>
      <c r="E134" s="18" t="s">
        <v>230</v>
      </c>
      <c r="F134" s="18" t="s">
        <v>260</v>
      </c>
      <c r="G134" s="25" t="s">
        <v>342</v>
      </c>
      <c r="H134" s="25" t="s">
        <v>343</v>
      </c>
      <c r="I134" s="18" t="s">
        <v>234</v>
      </c>
      <c r="J134" s="18" t="s">
        <v>234</v>
      </c>
      <c r="K134" s="18" t="s">
        <v>234</v>
      </c>
      <c r="L134" s="18" t="s">
        <v>236</v>
      </c>
    </row>
    <row r="135" spans="1:12" ht="38.25" x14ac:dyDescent="0.2">
      <c r="A135" s="24">
        <v>37063</v>
      </c>
      <c r="B135" s="18" t="s">
        <v>295</v>
      </c>
      <c r="C135" s="18" t="s">
        <v>228</v>
      </c>
      <c r="D135" s="18" t="s">
        <v>295</v>
      </c>
      <c r="E135" s="18" t="s">
        <v>230</v>
      </c>
      <c r="F135" s="18" t="s">
        <v>241</v>
      </c>
      <c r="G135" s="25" t="s">
        <v>344</v>
      </c>
      <c r="H135" s="25" t="s">
        <v>345</v>
      </c>
      <c r="I135" s="18" t="s">
        <v>234</v>
      </c>
      <c r="J135" s="18" t="s">
        <v>234</v>
      </c>
      <c r="K135" s="18" t="s">
        <v>234</v>
      </c>
      <c r="L135" s="18" t="s">
        <v>236</v>
      </c>
    </row>
    <row r="136" spans="1:12" ht="38.25" x14ac:dyDescent="0.2">
      <c r="A136" s="24">
        <v>37063</v>
      </c>
      <c r="B136" s="18" t="s">
        <v>346</v>
      </c>
      <c r="C136" s="18" t="s">
        <v>291</v>
      </c>
      <c r="D136" s="18"/>
      <c r="E136" s="18" t="s">
        <v>293</v>
      </c>
      <c r="F136" s="18" t="s">
        <v>260</v>
      </c>
      <c r="G136" s="25" t="s">
        <v>347</v>
      </c>
      <c r="H136" s="25" t="s">
        <v>348</v>
      </c>
      <c r="I136" s="18" t="s">
        <v>235</v>
      </c>
      <c r="J136" s="18" t="s">
        <v>234</v>
      </c>
      <c r="K136" s="18" t="s">
        <v>234</v>
      </c>
      <c r="L136" s="18" t="s">
        <v>236</v>
      </c>
    </row>
    <row r="137" spans="1:12" ht="63.75" x14ac:dyDescent="0.2">
      <c r="A137" s="24">
        <v>37063</v>
      </c>
      <c r="B137" s="18" t="s">
        <v>349</v>
      </c>
      <c r="C137" s="18"/>
      <c r="D137" s="18"/>
      <c r="E137" s="18"/>
      <c r="F137" s="18" t="s">
        <v>260</v>
      </c>
      <c r="G137" s="25" t="s">
        <v>350</v>
      </c>
      <c r="H137" s="25" t="s">
        <v>351</v>
      </c>
      <c r="I137" s="18" t="s">
        <v>235</v>
      </c>
      <c r="J137" s="18" t="s">
        <v>234</v>
      </c>
      <c r="K137" s="18" t="s">
        <v>235</v>
      </c>
      <c r="L137" s="18" t="s">
        <v>236</v>
      </c>
    </row>
    <row r="138" spans="1:12" ht="63.75" x14ac:dyDescent="0.2">
      <c r="A138" s="24">
        <v>37062</v>
      </c>
      <c r="B138" s="18" t="s">
        <v>341</v>
      </c>
      <c r="C138" s="18" t="s">
        <v>228</v>
      </c>
      <c r="D138" s="18" t="s">
        <v>303</v>
      </c>
      <c r="E138" s="18" t="s">
        <v>230</v>
      </c>
      <c r="F138" s="18" t="s">
        <v>231</v>
      </c>
      <c r="G138" s="25" t="s">
        <v>352</v>
      </c>
      <c r="H138" s="25" t="s">
        <v>353</v>
      </c>
      <c r="I138" s="18" t="s">
        <v>234</v>
      </c>
      <c r="J138" s="18" t="s">
        <v>234</v>
      </c>
      <c r="K138" s="18" t="s">
        <v>234</v>
      </c>
      <c r="L138" s="18" t="s">
        <v>236</v>
      </c>
    </row>
    <row r="139" spans="1:12" ht="54.75" customHeight="1" x14ac:dyDescent="0.2">
      <c r="A139" s="24">
        <v>37061</v>
      </c>
      <c r="B139" s="18" t="s">
        <v>295</v>
      </c>
      <c r="C139" s="18" t="s">
        <v>228</v>
      </c>
      <c r="D139" s="18" t="s">
        <v>295</v>
      </c>
      <c r="E139" s="18" t="s">
        <v>230</v>
      </c>
      <c r="F139" s="18" t="s">
        <v>260</v>
      </c>
      <c r="G139" s="25" t="s">
        <v>354</v>
      </c>
      <c r="H139" s="25" t="s">
        <v>355</v>
      </c>
      <c r="I139" s="18" t="s">
        <v>234</v>
      </c>
      <c r="J139" s="18" t="s">
        <v>234</v>
      </c>
      <c r="K139" s="18" t="s">
        <v>234</v>
      </c>
      <c r="L139" s="18" t="s">
        <v>236</v>
      </c>
    </row>
    <row r="140" spans="1:12" ht="51" x14ac:dyDescent="0.2">
      <c r="A140" s="24">
        <v>37060</v>
      </c>
      <c r="B140" s="18" t="s">
        <v>356</v>
      </c>
      <c r="C140" s="18" t="s">
        <v>228</v>
      </c>
      <c r="D140" s="18" t="s">
        <v>303</v>
      </c>
      <c r="E140" s="18" t="s">
        <v>230</v>
      </c>
      <c r="F140" s="18" t="s">
        <v>231</v>
      </c>
      <c r="G140" s="25" t="s">
        <v>357</v>
      </c>
      <c r="H140" s="25" t="s">
        <v>358</v>
      </c>
      <c r="I140" s="18" t="s">
        <v>234</v>
      </c>
      <c r="J140" s="18" t="s">
        <v>234</v>
      </c>
      <c r="K140" s="18" t="s">
        <v>234</v>
      </c>
      <c r="L140" s="18" t="s">
        <v>236</v>
      </c>
    </row>
    <row r="141" spans="1:12" ht="63.75" x14ac:dyDescent="0.2">
      <c r="A141" s="24">
        <v>37057</v>
      </c>
      <c r="B141" s="18" t="s">
        <v>359</v>
      </c>
      <c r="C141" s="18" t="s">
        <v>238</v>
      </c>
      <c r="D141" s="18" t="s">
        <v>360</v>
      </c>
      <c r="E141" s="18"/>
      <c r="F141" s="18" t="s">
        <v>361</v>
      </c>
      <c r="G141" s="25" t="s">
        <v>362</v>
      </c>
      <c r="H141" s="25" t="s">
        <v>363</v>
      </c>
      <c r="I141" s="18" t="s">
        <v>234</v>
      </c>
      <c r="J141" s="18" t="s">
        <v>234</v>
      </c>
      <c r="K141" s="18" t="s">
        <v>234</v>
      </c>
      <c r="L141" s="18" t="s">
        <v>236</v>
      </c>
    </row>
    <row r="142" spans="1:12" ht="54" customHeight="1" x14ac:dyDescent="0.2">
      <c r="A142" s="24">
        <v>37057</v>
      </c>
      <c r="B142" s="18" t="s">
        <v>364</v>
      </c>
      <c r="C142" s="18" t="s">
        <v>228</v>
      </c>
      <c r="D142" s="18" t="s">
        <v>365</v>
      </c>
      <c r="E142" s="18" t="s">
        <v>230</v>
      </c>
      <c r="F142" s="18" t="s">
        <v>231</v>
      </c>
      <c r="G142" s="25" t="s">
        <v>366</v>
      </c>
      <c r="H142" s="25" t="s">
        <v>367</v>
      </c>
      <c r="I142" s="18" t="s">
        <v>234</v>
      </c>
      <c r="J142" s="18" t="s">
        <v>234</v>
      </c>
      <c r="K142" s="18" t="s">
        <v>234</v>
      </c>
      <c r="L142" s="18" t="s">
        <v>236</v>
      </c>
    </row>
    <row r="143" spans="1:12" ht="42" customHeight="1" x14ac:dyDescent="0.2">
      <c r="A143" s="24">
        <v>37057</v>
      </c>
      <c r="B143" s="18" t="s">
        <v>275</v>
      </c>
      <c r="C143" s="18" t="s">
        <v>228</v>
      </c>
      <c r="D143" s="18" t="s">
        <v>365</v>
      </c>
      <c r="E143" s="18" t="s">
        <v>230</v>
      </c>
      <c r="F143" s="18" t="s">
        <v>231</v>
      </c>
      <c r="G143" s="25" t="s">
        <v>368</v>
      </c>
      <c r="H143" s="25" t="s">
        <v>367</v>
      </c>
      <c r="I143" s="18" t="s">
        <v>234</v>
      </c>
      <c r="J143" s="18" t="s">
        <v>234</v>
      </c>
      <c r="K143" s="18" t="s">
        <v>234</v>
      </c>
      <c r="L143" s="18" t="s">
        <v>236</v>
      </c>
    </row>
    <row r="144" spans="1:12" ht="42" customHeight="1" x14ac:dyDescent="0.2">
      <c r="A144" s="24">
        <v>37057</v>
      </c>
      <c r="B144" s="18" t="s">
        <v>369</v>
      </c>
      <c r="C144" s="18"/>
      <c r="D144" s="18" t="s">
        <v>370</v>
      </c>
      <c r="E144" s="18" t="s">
        <v>371</v>
      </c>
      <c r="F144" s="18" t="s">
        <v>255</v>
      </c>
      <c r="G144" s="25" t="s">
        <v>372</v>
      </c>
      <c r="H144" s="25" t="s">
        <v>373</v>
      </c>
      <c r="I144" s="18" t="s">
        <v>234</v>
      </c>
      <c r="J144" s="18" t="s">
        <v>234</v>
      </c>
      <c r="K144" s="18" t="s">
        <v>234</v>
      </c>
      <c r="L144" s="18" t="s">
        <v>236</v>
      </c>
    </row>
    <row r="145" spans="1:12" ht="76.5" x14ac:dyDescent="0.2">
      <c r="A145" s="26">
        <v>37056</v>
      </c>
      <c r="B145" s="18" t="s">
        <v>374</v>
      </c>
      <c r="C145" s="18" t="s">
        <v>228</v>
      </c>
      <c r="D145" s="18" t="s">
        <v>229</v>
      </c>
      <c r="E145" s="18" t="s">
        <v>230</v>
      </c>
      <c r="F145" s="18" t="s">
        <v>375</v>
      </c>
      <c r="G145" s="25" t="s">
        <v>376</v>
      </c>
      <c r="H145" s="25" t="s">
        <v>377</v>
      </c>
      <c r="I145" s="18" t="s">
        <v>235</v>
      </c>
      <c r="J145" s="18" t="s">
        <v>234</v>
      </c>
      <c r="K145" s="18" t="s">
        <v>234</v>
      </c>
      <c r="L145" s="18" t="s">
        <v>236</v>
      </c>
    </row>
    <row r="146" spans="1:12" ht="76.5" x14ac:dyDescent="0.2">
      <c r="A146" s="26">
        <v>37053</v>
      </c>
      <c r="B146" s="18" t="s">
        <v>359</v>
      </c>
      <c r="C146" s="18" t="s">
        <v>238</v>
      </c>
      <c r="D146" s="18" t="s">
        <v>264</v>
      </c>
      <c r="E146" s="18" t="s">
        <v>240</v>
      </c>
      <c r="F146" s="18" t="s">
        <v>378</v>
      </c>
      <c r="G146" s="25" t="s">
        <v>379</v>
      </c>
      <c r="H146" s="25" t="s">
        <v>380</v>
      </c>
      <c r="I146" s="18" t="s">
        <v>234</v>
      </c>
      <c r="J146" s="18" t="s">
        <v>234</v>
      </c>
      <c r="K146" s="18" t="s">
        <v>234</v>
      </c>
      <c r="L146" s="18" t="s">
        <v>236</v>
      </c>
    </row>
    <row r="147" spans="1:12" ht="38.25" x14ac:dyDescent="0.2">
      <c r="A147" s="26">
        <v>37050</v>
      </c>
      <c r="B147" s="18" t="s">
        <v>306</v>
      </c>
      <c r="C147" s="18" t="s">
        <v>228</v>
      </c>
      <c r="D147" s="18" t="s">
        <v>381</v>
      </c>
      <c r="E147" s="18" t="s">
        <v>309</v>
      </c>
      <c r="F147" s="18" t="s">
        <v>255</v>
      </c>
      <c r="G147" s="25" t="s">
        <v>382</v>
      </c>
      <c r="H147" s="25" t="s">
        <v>383</v>
      </c>
      <c r="I147" s="18" t="s">
        <v>234</v>
      </c>
      <c r="J147" s="18" t="s">
        <v>234</v>
      </c>
      <c r="K147" s="18" t="s">
        <v>234</v>
      </c>
      <c r="L147" s="18" t="s">
        <v>236</v>
      </c>
    </row>
    <row r="148" spans="1:12" ht="51" x14ac:dyDescent="0.2">
      <c r="A148" s="26">
        <v>37049</v>
      </c>
      <c r="B148" s="18" t="s">
        <v>302</v>
      </c>
      <c r="C148" s="18" t="s">
        <v>228</v>
      </c>
      <c r="D148" s="18" t="s">
        <v>229</v>
      </c>
      <c r="E148" s="18" t="s">
        <v>230</v>
      </c>
      <c r="F148" s="18" t="s">
        <v>241</v>
      </c>
      <c r="G148" s="25" t="s">
        <v>384</v>
      </c>
      <c r="H148" s="25" t="s">
        <v>385</v>
      </c>
      <c r="I148" s="18" t="s">
        <v>235</v>
      </c>
      <c r="J148" s="18" t="s">
        <v>234</v>
      </c>
      <c r="K148" s="18" t="s">
        <v>234</v>
      </c>
      <c r="L148" s="18" t="s">
        <v>236</v>
      </c>
    </row>
    <row r="149" spans="1:12" ht="38.25" x14ac:dyDescent="0.2">
      <c r="A149" s="26">
        <v>37049</v>
      </c>
      <c r="B149" s="18" t="s">
        <v>229</v>
      </c>
      <c r="C149" s="18" t="s">
        <v>228</v>
      </c>
      <c r="D149" s="18" t="s">
        <v>229</v>
      </c>
      <c r="E149" s="18" t="s">
        <v>230</v>
      </c>
      <c r="F149" s="18" t="s">
        <v>241</v>
      </c>
      <c r="G149" s="25" t="s">
        <v>386</v>
      </c>
      <c r="H149" s="25" t="s">
        <v>387</v>
      </c>
      <c r="I149" s="18" t="s">
        <v>235</v>
      </c>
      <c r="J149" s="18" t="s">
        <v>235</v>
      </c>
      <c r="K149" s="18" t="s">
        <v>235</v>
      </c>
      <c r="L149" s="18" t="s">
        <v>236</v>
      </c>
    </row>
    <row r="150" spans="1:12" ht="102" x14ac:dyDescent="0.2">
      <c r="A150" s="26">
        <v>37046</v>
      </c>
      <c r="B150" s="25" t="s">
        <v>388</v>
      </c>
      <c r="C150" s="27"/>
      <c r="D150" s="25"/>
      <c r="E150" s="28" t="s">
        <v>389</v>
      </c>
      <c r="F150" s="27" t="s">
        <v>260</v>
      </c>
      <c r="G150" s="25" t="s">
        <v>390</v>
      </c>
      <c r="H150" s="25" t="s">
        <v>391</v>
      </c>
      <c r="I150" s="18" t="s">
        <v>235</v>
      </c>
      <c r="J150" s="18" t="s">
        <v>235</v>
      </c>
      <c r="K150" s="18" t="s">
        <v>235</v>
      </c>
      <c r="L150" s="18" t="s">
        <v>236</v>
      </c>
    </row>
    <row r="151" spans="1:12" x14ac:dyDescent="0.2">
      <c r="A151" s="26">
        <v>37043</v>
      </c>
      <c r="B151" s="25" t="s">
        <v>392</v>
      </c>
      <c r="C151" s="27" t="s">
        <v>393</v>
      </c>
      <c r="D151" s="25" t="s">
        <v>394</v>
      </c>
      <c r="E151" s="28" t="s">
        <v>395</v>
      </c>
      <c r="F151" s="27" t="s">
        <v>241</v>
      </c>
      <c r="G151" s="18" t="s">
        <v>396</v>
      </c>
      <c r="H151" s="18" t="s">
        <v>397</v>
      </c>
      <c r="I151" s="18" t="s">
        <v>234</v>
      </c>
      <c r="J151" s="18" t="s">
        <v>235</v>
      </c>
      <c r="K151" s="18" t="s">
        <v>235</v>
      </c>
      <c r="L151" s="18" t="s">
        <v>236</v>
      </c>
    </row>
    <row r="152" spans="1:12" ht="38.25" x14ac:dyDescent="0.2">
      <c r="A152" s="29">
        <v>37043</v>
      </c>
      <c r="B152" s="25" t="s">
        <v>398</v>
      </c>
      <c r="C152" s="27" t="s">
        <v>228</v>
      </c>
      <c r="D152" s="25" t="s">
        <v>398</v>
      </c>
      <c r="E152" s="28" t="s">
        <v>230</v>
      </c>
      <c r="F152" s="27" t="s">
        <v>255</v>
      </c>
      <c r="G152" s="25" t="s">
        <v>399</v>
      </c>
      <c r="H152" s="28"/>
      <c r="I152" s="18" t="s">
        <v>234</v>
      </c>
      <c r="J152" s="18" t="s">
        <v>234</v>
      </c>
      <c r="K152" s="18" t="s">
        <v>234</v>
      </c>
      <c r="L152" s="18" t="s">
        <v>236</v>
      </c>
    </row>
    <row r="153" spans="1:12" ht="51" x14ac:dyDescent="0.2">
      <c r="A153" s="29">
        <v>37043</v>
      </c>
      <c r="B153" s="25" t="s">
        <v>295</v>
      </c>
      <c r="C153" s="27" t="s">
        <v>228</v>
      </c>
      <c r="D153" s="25" t="s">
        <v>295</v>
      </c>
      <c r="E153" s="28" t="s">
        <v>230</v>
      </c>
      <c r="F153" s="27" t="s">
        <v>255</v>
      </c>
      <c r="G153" s="25" t="s">
        <v>400</v>
      </c>
      <c r="H153" s="28" t="s">
        <v>401</v>
      </c>
      <c r="I153" s="18" t="s">
        <v>235</v>
      </c>
      <c r="J153" s="18" t="s">
        <v>234</v>
      </c>
      <c r="K153" s="18" t="s">
        <v>234</v>
      </c>
      <c r="L153" s="18" t="s">
        <v>236</v>
      </c>
    </row>
    <row r="154" spans="1:12" ht="38.25" x14ac:dyDescent="0.2">
      <c r="A154" s="30">
        <v>37040</v>
      </c>
      <c r="B154" s="25" t="s">
        <v>295</v>
      </c>
      <c r="C154" s="27" t="s">
        <v>228</v>
      </c>
      <c r="D154" s="25" t="s">
        <v>295</v>
      </c>
      <c r="E154" s="28" t="s">
        <v>230</v>
      </c>
      <c r="F154" s="27" t="s">
        <v>231</v>
      </c>
      <c r="G154" s="28" t="s">
        <v>402</v>
      </c>
      <c r="H154" s="28" t="s">
        <v>403</v>
      </c>
      <c r="I154" s="27" t="s">
        <v>235</v>
      </c>
      <c r="J154" s="27" t="s">
        <v>235</v>
      </c>
      <c r="K154" s="27" t="s">
        <v>235</v>
      </c>
      <c r="L154" s="27" t="s">
        <v>236</v>
      </c>
    </row>
    <row r="155" spans="1:12" ht="38.25" x14ac:dyDescent="0.2">
      <c r="A155" s="30">
        <v>37035</v>
      </c>
      <c r="B155" s="25" t="s">
        <v>404</v>
      </c>
      <c r="C155" s="27" t="s">
        <v>228</v>
      </c>
      <c r="D155" s="28" t="s">
        <v>405</v>
      </c>
      <c r="E155" s="28" t="s">
        <v>230</v>
      </c>
      <c r="F155" s="27" t="s">
        <v>231</v>
      </c>
      <c r="G155" s="28" t="s">
        <v>406</v>
      </c>
      <c r="H155" s="28" t="s">
        <v>403</v>
      </c>
      <c r="I155" s="27" t="s">
        <v>235</v>
      </c>
      <c r="J155" s="27" t="s">
        <v>234</v>
      </c>
      <c r="K155" s="27" t="s">
        <v>234</v>
      </c>
      <c r="L155" s="27" t="s">
        <v>236</v>
      </c>
    </row>
    <row r="156" spans="1:12" x14ac:dyDescent="0.2">
      <c r="A156" s="30">
        <v>37035</v>
      </c>
      <c r="B156" s="25" t="s">
        <v>229</v>
      </c>
      <c r="C156" s="27" t="s">
        <v>228</v>
      </c>
      <c r="D156" s="25" t="s">
        <v>229</v>
      </c>
      <c r="E156" s="28" t="s">
        <v>230</v>
      </c>
      <c r="F156" s="27" t="s">
        <v>231</v>
      </c>
      <c r="G156" s="28" t="s">
        <v>407</v>
      </c>
      <c r="H156" s="28" t="s">
        <v>408</v>
      </c>
      <c r="I156" s="27"/>
      <c r="J156" s="27"/>
      <c r="K156" s="27"/>
      <c r="L156" s="27" t="s">
        <v>236</v>
      </c>
    </row>
    <row r="157" spans="1:12" ht="51" x14ac:dyDescent="0.2">
      <c r="A157" s="30">
        <v>37033</v>
      </c>
      <c r="B157" s="25" t="s">
        <v>295</v>
      </c>
      <c r="C157" s="27" t="s">
        <v>228</v>
      </c>
      <c r="D157" s="25" t="s">
        <v>295</v>
      </c>
      <c r="E157" s="28" t="s">
        <v>230</v>
      </c>
      <c r="F157" s="27" t="s">
        <v>231</v>
      </c>
      <c r="G157" s="28" t="s">
        <v>409</v>
      </c>
      <c r="H157" s="28" t="s">
        <v>410</v>
      </c>
      <c r="I157" s="27" t="s">
        <v>235</v>
      </c>
      <c r="J157" s="27" t="s">
        <v>235</v>
      </c>
      <c r="K157" s="27" t="s">
        <v>235</v>
      </c>
      <c r="L157" s="27" t="s">
        <v>236</v>
      </c>
    </row>
    <row r="158" spans="1:12" ht="19.5" customHeight="1" x14ac:dyDescent="0.2">
      <c r="A158" s="30">
        <v>37033</v>
      </c>
      <c r="B158" s="25" t="s">
        <v>311</v>
      </c>
      <c r="C158" s="27" t="s">
        <v>228</v>
      </c>
      <c r="D158" s="25" t="s">
        <v>311</v>
      </c>
      <c r="E158" s="28" t="s">
        <v>230</v>
      </c>
      <c r="F158" s="27" t="s">
        <v>241</v>
      </c>
      <c r="G158" s="28" t="s">
        <v>411</v>
      </c>
      <c r="H158" s="28" t="s">
        <v>412</v>
      </c>
      <c r="I158" s="27" t="s">
        <v>234</v>
      </c>
      <c r="J158" s="27" t="s">
        <v>235</v>
      </c>
      <c r="K158" s="27" t="s">
        <v>235</v>
      </c>
      <c r="L158" s="27" t="s">
        <v>236</v>
      </c>
    </row>
    <row r="159" spans="1:12" ht="25.5" x14ac:dyDescent="0.2">
      <c r="A159" s="30">
        <v>37032</v>
      </c>
      <c r="B159" s="25" t="s">
        <v>413</v>
      </c>
      <c r="C159" s="18" t="s">
        <v>238</v>
      </c>
      <c r="D159" s="25" t="s">
        <v>414</v>
      </c>
      <c r="E159" s="28" t="s">
        <v>415</v>
      </c>
      <c r="F159" s="27" t="s">
        <v>231</v>
      </c>
      <c r="G159" s="28" t="s">
        <v>416</v>
      </c>
      <c r="H159" s="28" t="s">
        <v>417</v>
      </c>
      <c r="I159" s="27" t="s">
        <v>235</v>
      </c>
      <c r="J159" s="27" t="s">
        <v>234</v>
      </c>
      <c r="K159" s="27" t="s">
        <v>235</v>
      </c>
      <c r="L159" s="27" t="s">
        <v>236</v>
      </c>
    </row>
    <row r="160" spans="1:12" ht="127.5" x14ac:dyDescent="0.2">
      <c r="A160" s="30">
        <v>37019</v>
      </c>
      <c r="B160" s="25" t="s">
        <v>418</v>
      </c>
      <c r="C160" s="27" t="s">
        <v>228</v>
      </c>
      <c r="D160" s="25" t="s">
        <v>418</v>
      </c>
      <c r="E160" s="28" t="s">
        <v>230</v>
      </c>
      <c r="F160" s="27" t="s">
        <v>231</v>
      </c>
      <c r="G160" s="28" t="s">
        <v>419</v>
      </c>
      <c r="H160" s="28" t="s">
        <v>420</v>
      </c>
      <c r="I160" s="27" t="s">
        <v>234</v>
      </c>
      <c r="J160" s="27" t="s">
        <v>234</v>
      </c>
      <c r="K160" s="27" t="s">
        <v>234</v>
      </c>
      <c r="L160" s="27" t="s">
        <v>236</v>
      </c>
    </row>
    <row r="161" spans="1:12" ht="114.75" x14ac:dyDescent="0.2">
      <c r="A161" s="30">
        <v>37019</v>
      </c>
      <c r="B161" s="25" t="s">
        <v>295</v>
      </c>
      <c r="C161" s="27" t="s">
        <v>228</v>
      </c>
      <c r="D161" s="25" t="s">
        <v>295</v>
      </c>
      <c r="E161" s="28" t="s">
        <v>230</v>
      </c>
      <c r="F161" s="27" t="s">
        <v>231</v>
      </c>
      <c r="G161" s="28" t="s">
        <v>421</v>
      </c>
      <c r="H161" s="28" t="s">
        <v>422</v>
      </c>
      <c r="I161" s="27" t="s">
        <v>235</v>
      </c>
      <c r="J161" s="27" t="s">
        <v>235</v>
      </c>
      <c r="K161" s="27" t="s">
        <v>235</v>
      </c>
      <c r="L161" s="27" t="s">
        <v>236</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423</v>
      </c>
      <c r="B165" s="1" t="s">
        <v>424</v>
      </c>
      <c r="C165" s="4" t="s">
        <v>425</v>
      </c>
      <c r="D165" s="33" t="s">
        <v>426</v>
      </c>
      <c r="E165" s="33" t="s">
        <v>427</v>
      </c>
    </row>
    <row r="166" spans="1:12" x14ac:dyDescent="0.2">
      <c r="A166" s="34" t="s">
        <v>428</v>
      </c>
      <c r="B166" s="35">
        <f t="shared" ref="B166:B174" si="2">C166/$C$175</f>
        <v>0</v>
      </c>
      <c r="C166" s="5"/>
      <c r="D166" s="4">
        <f>33+1+1+1+1+1+8+1+1+1+2+1+2+1+1</f>
        <v>56</v>
      </c>
      <c r="E166" s="36">
        <f t="shared" ref="E166:E173" si="3">(C166/D166)*100</f>
        <v>0</v>
      </c>
    </row>
    <row r="167" spans="1:12" x14ac:dyDescent="0.2">
      <c r="A167" s="34" t="s">
        <v>247</v>
      </c>
      <c r="B167" s="35">
        <f t="shared" si="2"/>
        <v>0.14285714285714285</v>
      </c>
      <c r="C167" s="5">
        <f>'summary 0820'!I25</f>
        <v>2</v>
      </c>
      <c r="D167" s="4">
        <f>540+17+1+1+6+10+1+2+12+2+1+1+1+3+4+3+1+1+1+8+2+1+1+6+1+1</f>
        <v>628</v>
      </c>
      <c r="E167" s="36">
        <f t="shared" si="3"/>
        <v>0.31847133757961787</v>
      </c>
    </row>
    <row r="168" spans="1:12" x14ac:dyDescent="0.2">
      <c r="A168" s="34" t="s">
        <v>228</v>
      </c>
      <c r="B168" s="35">
        <f t="shared" si="2"/>
        <v>0.35714285714285715</v>
      </c>
      <c r="C168" s="5">
        <f>'summary 0820'!I26</f>
        <v>5</v>
      </c>
      <c r="D168" s="4">
        <f>13+1+1+1+16</f>
        <v>32</v>
      </c>
      <c r="E168" s="36">
        <f t="shared" si="3"/>
        <v>15.625</v>
      </c>
    </row>
    <row r="169" spans="1:12" x14ac:dyDescent="0.2">
      <c r="A169" s="34" t="s">
        <v>429</v>
      </c>
      <c r="B169" s="35">
        <f t="shared" si="2"/>
        <v>7.1428571428571425E-2</v>
      </c>
      <c r="C169" s="5">
        <f>'summary 0820'!I27</f>
        <v>1</v>
      </c>
      <c r="D169" s="4">
        <f>36+1+1</f>
        <v>38</v>
      </c>
      <c r="E169" s="36">
        <f t="shared" si="3"/>
        <v>2.6315789473684208</v>
      </c>
    </row>
    <row r="170" spans="1:12" x14ac:dyDescent="0.2">
      <c r="A170" s="34" t="s">
        <v>430</v>
      </c>
      <c r="B170" s="35">
        <f t="shared" si="2"/>
        <v>0.21428571428571427</v>
      </c>
      <c r="C170" s="5">
        <f>'summary 0820'!I28</f>
        <v>3</v>
      </c>
      <c r="D170" s="4">
        <f>288+2+13+2+5+56+59+14+2+3+3</f>
        <v>447</v>
      </c>
      <c r="E170" s="36">
        <f t="shared" si="3"/>
        <v>0.67114093959731547</v>
      </c>
    </row>
    <row r="171" spans="1:12" x14ac:dyDescent="0.2">
      <c r="A171" s="34" t="s">
        <v>431</v>
      </c>
      <c r="B171" s="35">
        <f t="shared" si="2"/>
        <v>0</v>
      </c>
      <c r="C171" s="5"/>
      <c r="D171" s="4">
        <f>132+2+1+2+7+3+4</f>
        <v>151</v>
      </c>
      <c r="E171" s="36">
        <f t="shared" si="3"/>
        <v>0</v>
      </c>
    </row>
    <row r="172" spans="1:12" x14ac:dyDescent="0.2">
      <c r="A172" s="34" t="s">
        <v>291</v>
      </c>
      <c r="B172" s="35">
        <f t="shared" si="2"/>
        <v>7.1428571428571425E-2</v>
      </c>
      <c r="C172" s="5">
        <f>'summary 0820'!I30</f>
        <v>1</v>
      </c>
      <c r="D172" s="4">
        <v>9</v>
      </c>
      <c r="E172" s="36">
        <f t="shared" si="3"/>
        <v>11.111111111111111</v>
      </c>
    </row>
    <row r="173" spans="1:12" x14ac:dyDescent="0.2">
      <c r="A173" s="34" t="s">
        <v>393</v>
      </c>
      <c r="B173" s="35">
        <f t="shared" si="2"/>
        <v>0.14285714285714285</v>
      </c>
      <c r="C173" s="5">
        <f>'summary 0820'!I31</f>
        <v>2</v>
      </c>
      <c r="D173" s="4">
        <f>10+5+2</f>
        <v>17</v>
      </c>
      <c r="E173" s="36">
        <f t="shared" si="3"/>
        <v>11.76470588235294</v>
      </c>
    </row>
    <row r="174" spans="1:12" x14ac:dyDescent="0.2">
      <c r="A174" s="37" t="s">
        <v>432</v>
      </c>
      <c r="B174" s="35">
        <f t="shared" si="2"/>
        <v>0</v>
      </c>
      <c r="C174" s="5"/>
    </row>
    <row r="175" spans="1:12" x14ac:dyDescent="0.2">
      <c r="A175" s="37" t="s">
        <v>433</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434</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4</f>
        <v>4</v>
      </c>
    </row>
    <row r="13" spans="1:11" x14ac:dyDescent="0.2">
      <c r="A13" s="6" t="s">
        <v>231</v>
      </c>
      <c r="B13" s="7"/>
      <c r="C13" s="7" t="s">
        <v>439</v>
      </c>
      <c r="D13" s="7"/>
      <c r="E13" s="7"/>
      <c r="F13" s="7"/>
      <c r="G13" s="7"/>
      <c r="H13" s="7"/>
      <c r="I13" s="7"/>
      <c r="J13" s="7"/>
      <c r="K13" s="7">
        <f>3</f>
        <v>3</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f>2+1</f>
        <v>3</v>
      </c>
    </row>
    <row r="17" spans="1:11" x14ac:dyDescent="0.2">
      <c r="A17" s="6" t="s">
        <v>260</v>
      </c>
      <c r="B17" s="7"/>
      <c r="C17" s="7" t="s">
        <v>206</v>
      </c>
      <c r="D17" s="7"/>
      <c r="E17" s="7"/>
      <c r="F17" s="7"/>
      <c r="G17" s="7"/>
      <c r="H17" s="7"/>
      <c r="I17" s="7"/>
      <c r="J17" s="7"/>
      <c r="K17" s="7">
        <f>3</f>
        <v>3</v>
      </c>
    </row>
    <row r="18" spans="1:11" x14ac:dyDescent="0.2">
      <c r="A18" s="6" t="s">
        <v>266</v>
      </c>
      <c r="B18" s="7"/>
      <c r="C18" s="7" t="s">
        <v>207</v>
      </c>
      <c r="D18" s="7"/>
      <c r="E18" s="7"/>
      <c r="F18" s="7"/>
      <c r="G18" s="7"/>
      <c r="H18" s="7"/>
      <c r="I18" s="7"/>
      <c r="J18" s="7"/>
      <c r="K18" s="47">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5"/>
      <c r="J24" s="31"/>
      <c r="K24" s="31"/>
    </row>
    <row r="25" spans="1:11" x14ac:dyDescent="0.2">
      <c r="A25" s="29" t="s">
        <v>247</v>
      </c>
      <c r="B25" s="17"/>
      <c r="C25" s="17"/>
      <c r="D25" s="32"/>
      <c r="E25" s="31"/>
      <c r="F25" s="32"/>
      <c r="G25" s="32"/>
      <c r="H25" s="31"/>
      <c r="I25" s="5">
        <f>1+1</f>
        <v>2</v>
      </c>
      <c r="J25" s="31"/>
      <c r="K25" s="49"/>
    </row>
    <row r="26" spans="1:11" x14ac:dyDescent="0.2">
      <c r="A26" s="29" t="s">
        <v>228</v>
      </c>
      <c r="B26" s="17"/>
      <c r="C26" s="17"/>
      <c r="D26" s="32"/>
      <c r="E26" s="31"/>
      <c r="F26" s="32"/>
      <c r="G26" s="32"/>
      <c r="H26" s="31"/>
      <c r="I26" s="5">
        <f>5</f>
        <v>5</v>
      </c>
      <c r="J26" s="31"/>
      <c r="K26" s="32"/>
    </row>
    <row r="27" spans="1:11" x14ac:dyDescent="0.2">
      <c r="A27" s="29" t="s">
        <v>429</v>
      </c>
      <c r="B27" s="17"/>
      <c r="C27" s="17"/>
      <c r="D27" s="32"/>
      <c r="E27" s="31"/>
      <c r="F27" s="32"/>
      <c r="G27" s="32"/>
      <c r="H27" s="31"/>
      <c r="I27" s="5">
        <f>1</f>
        <v>1</v>
      </c>
      <c r="J27" s="31"/>
      <c r="K27" s="31"/>
    </row>
    <row r="28" spans="1:11" x14ac:dyDescent="0.2">
      <c r="A28" s="29" t="s">
        <v>430</v>
      </c>
      <c r="B28" s="17"/>
      <c r="C28" s="17"/>
      <c r="D28" s="32"/>
      <c r="E28" s="31"/>
      <c r="F28" s="32"/>
      <c r="G28" s="32"/>
      <c r="H28" s="31"/>
      <c r="I28" s="5">
        <f>2+1</f>
        <v>3</v>
      </c>
      <c r="J28" s="31"/>
      <c r="K28" s="31"/>
    </row>
    <row r="29" spans="1:11" x14ac:dyDescent="0.2">
      <c r="A29" s="29" t="s">
        <v>431</v>
      </c>
      <c r="B29" s="17"/>
      <c r="C29" s="17"/>
      <c r="D29" s="32"/>
      <c r="E29" s="31"/>
      <c r="F29" s="32"/>
      <c r="G29" s="32"/>
      <c r="H29" s="31"/>
      <c r="I29" s="5"/>
      <c r="J29" s="31"/>
      <c r="K29" s="32"/>
    </row>
    <row r="30" spans="1:11" x14ac:dyDescent="0.2">
      <c r="A30" s="29" t="s">
        <v>291</v>
      </c>
      <c r="B30" s="17"/>
      <c r="C30" s="17"/>
      <c r="D30" s="32"/>
      <c r="E30" s="31"/>
      <c r="F30" s="32"/>
      <c r="G30" s="32"/>
      <c r="H30" s="31"/>
      <c r="I30" s="5">
        <f>1</f>
        <v>1</v>
      </c>
      <c r="J30" s="31"/>
      <c r="K30" s="31"/>
    </row>
    <row r="31" spans="1:11" x14ac:dyDescent="0.2">
      <c r="A31" s="29" t="s">
        <v>393</v>
      </c>
      <c r="B31" s="17"/>
      <c r="C31" s="17"/>
      <c r="D31" s="32"/>
      <c r="E31" s="31"/>
      <c r="F31" s="32"/>
      <c r="G31" s="32"/>
      <c r="H31" s="31"/>
      <c r="I31" s="5">
        <f>1+1</f>
        <v>2</v>
      </c>
      <c r="J31" s="31"/>
      <c r="K31" s="31"/>
    </row>
    <row r="32" spans="1:11" ht="13.5" thickBot="1" x14ac:dyDescent="0.25">
      <c r="A32" s="50" t="s">
        <v>444</v>
      </c>
      <c r="I32" s="5"/>
      <c r="K32" s="51"/>
    </row>
    <row r="33" spans="1:11" ht="13.5" thickTop="1" x14ac:dyDescent="0.2">
      <c r="A33" s="52" t="s">
        <v>435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28" sqref="K28"/>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1+1</f>
        <v>2</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1+1+1+1+1+1</f>
        <v>6</v>
      </c>
    </row>
    <row r="13" spans="1:11" x14ac:dyDescent="0.2">
      <c r="A13" s="6" t="s">
        <v>231</v>
      </c>
      <c r="B13" s="7"/>
      <c r="C13" s="7" t="s">
        <v>439</v>
      </c>
      <c r="D13" s="7"/>
      <c r="E13" s="7"/>
      <c r="F13" s="7"/>
      <c r="G13" s="7"/>
      <c r="H13" s="7"/>
      <c r="I13" s="7"/>
      <c r="J13" s="7"/>
      <c r="K13" s="7">
        <f>1+1+1+1</f>
        <v>4</v>
      </c>
    </row>
    <row r="14" spans="1:11" x14ac:dyDescent="0.2">
      <c r="A14" s="6" t="s">
        <v>361</v>
      </c>
      <c r="B14" s="7"/>
      <c r="C14" s="7" t="s">
        <v>203</v>
      </c>
      <c r="D14" s="7"/>
      <c r="E14" s="7"/>
      <c r="F14" s="7"/>
      <c r="G14" s="7"/>
      <c r="H14" s="7"/>
      <c r="I14" s="7"/>
      <c r="J14" s="7"/>
      <c r="K14" s="7">
        <f>2</f>
        <v>2</v>
      </c>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f>1</f>
        <v>1</v>
      </c>
    </row>
    <row r="17" spans="1:11" x14ac:dyDescent="0.2">
      <c r="A17" s="6" t="s">
        <v>260</v>
      </c>
      <c r="B17" s="7"/>
      <c r="C17" s="7" t="s">
        <v>206</v>
      </c>
      <c r="D17" s="7"/>
      <c r="E17" s="7"/>
      <c r="F17" s="7"/>
      <c r="G17" s="7"/>
      <c r="H17" s="7"/>
      <c r="I17" s="7"/>
      <c r="J17" s="7"/>
      <c r="K17" s="7"/>
    </row>
    <row r="18" spans="1:11" x14ac:dyDescent="0.2">
      <c r="A18" s="6" t="s">
        <v>266</v>
      </c>
      <c r="B18" s="7"/>
      <c r="C18" s="7" t="s">
        <v>207</v>
      </c>
      <c r="D18" s="7"/>
      <c r="E18" s="7"/>
      <c r="F18" s="7"/>
      <c r="G18" s="7"/>
      <c r="H18" s="7"/>
      <c r="I18" s="7"/>
      <c r="J18" s="7"/>
      <c r="K18" s="47">
        <f>1+1+1</f>
        <v>3</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c r="J24" s="31"/>
      <c r="K24" s="31"/>
    </row>
    <row r="25" spans="1:11" ht="25.5" x14ac:dyDescent="0.2">
      <c r="A25" s="29" t="s">
        <v>247</v>
      </c>
      <c r="B25" s="17"/>
      <c r="C25" s="17"/>
      <c r="D25" s="32"/>
      <c r="E25" s="31"/>
      <c r="F25" s="32"/>
      <c r="G25" s="32"/>
      <c r="H25" s="31"/>
      <c r="I25" s="6">
        <f>1+1</f>
        <v>2</v>
      </c>
      <c r="J25" s="31"/>
      <c r="K25" s="49" t="s">
        <v>79</v>
      </c>
    </row>
    <row r="26" spans="1:11" ht="25.5" x14ac:dyDescent="0.2">
      <c r="A26" s="29" t="s">
        <v>228</v>
      </c>
      <c r="B26" s="17"/>
      <c r="C26" s="17"/>
      <c r="D26" s="32"/>
      <c r="E26" s="31"/>
      <c r="F26" s="32"/>
      <c r="G26" s="32"/>
      <c r="H26" s="31"/>
      <c r="I26" s="6">
        <f>1+1+1+1+1+1</f>
        <v>6</v>
      </c>
      <c r="J26" s="31"/>
      <c r="K26" s="32" t="s">
        <v>80</v>
      </c>
    </row>
    <row r="27" spans="1:11" ht="25.5" x14ac:dyDescent="0.2">
      <c r="A27" s="29" t="s">
        <v>429</v>
      </c>
      <c r="B27" s="17"/>
      <c r="C27" s="17"/>
      <c r="D27" s="32"/>
      <c r="E27" s="31"/>
      <c r="F27" s="32"/>
      <c r="G27" s="32"/>
      <c r="H27" s="31"/>
      <c r="I27" s="6">
        <f>1</f>
        <v>1</v>
      </c>
      <c r="J27" s="31"/>
      <c r="K27" s="31" t="s">
        <v>85</v>
      </c>
    </row>
    <row r="28" spans="1:11" x14ac:dyDescent="0.2">
      <c r="A28" s="29" t="s">
        <v>430</v>
      </c>
      <c r="B28" s="17"/>
      <c r="C28" s="17"/>
      <c r="D28" s="32"/>
      <c r="E28" s="31"/>
      <c r="F28" s="32"/>
      <c r="G28" s="32"/>
      <c r="H28" s="31"/>
      <c r="I28" s="6">
        <f>1</f>
        <v>1</v>
      </c>
      <c r="J28" s="31"/>
      <c r="K28" s="31" t="s">
        <v>84</v>
      </c>
    </row>
    <row r="29" spans="1:11" x14ac:dyDescent="0.2">
      <c r="A29" s="29" t="s">
        <v>431</v>
      </c>
      <c r="B29" s="17"/>
      <c r="C29" s="17"/>
      <c r="D29" s="32"/>
      <c r="E29" s="31"/>
      <c r="F29" s="32"/>
      <c r="G29" s="32"/>
      <c r="H29" s="31"/>
      <c r="I29" s="6"/>
      <c r="J29" s="31"/>
      <c r="K29" s="32"/>
    </row>
    <row r="30" spans="1:11" x14ac:dyDescent="0.2">
      <c r="A30" s="29" t="s">
        <v>291</v>
      </c>
      <c r="B30" s="17"/>
      <c r="C30" s="17"/>
      <c r="D30" s="32"/>
      <c r="E30" s="31"/>
      <c r="F30" s="32"/>
      <c r="G30" s="32"/>
      <c r="H30" s="31"/>
      <c r="I30" s="6">
        <f>1</f>
        <v>1</v>
      </c>
      <c r="J30" s="31"/>
      <c r="K30" s="31" t="s">
        <v>83</v>
      </c>
    </row>
    <row r="31" spans="1:11" ht="15.75" customHeight="1" x14ac:dyDescent="0.2">
      <c r="A31" s="29" t="s">
        <v>393</v>
      </c>
      <c r="B31" s="17"/>
      <c r="C31" s="17"/>
      <c r="D31" s="32"/>
      <c r="E31" s="31"/>
      <c r="F31" s="32"/>
      <c r="G31" s="32"/>
      <c r="H31" s="31"/>
      <c r="I31" s="6">
        <f>1</f>
        <v>1</v>
      </c>
      <c r="J31" s="31"/>
      <c r="K31" s="31" t="s">
        <v>82</v>
      </c>
    </row>
    <row r="32" spans="1:11" ht="13.5" thickBot="1" x14ac:dyDescent="0.25">
      <c r="A32" s="50" t="s">
        <v>444</v>
      </c>
      <c r="I32" s="5">
        <f>1+1+1+1+1+1</f>
        <v>6</v>
      </c>
      <c r="K32" s="51" t="s">
        <v>81</v>
      </c>
    </row>
    <row r="33" spans="1:11" ht="13.5" thickTop="1" x14ac:dyDescent="0.2">
      <c r="A33" s="52" t="s">
        <v>435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opLeftCell="A168" zoomScaleNormal="100" workbookViewId="0">
      <selection activeCell="G129" sqref="G129"/>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3"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c r="AF1" s="1" t="s">
        <v>126</v>
      </c>
    </row>
    <row r="2" spans="1:33" x14ac:dyDescent="0.2">
      <c r="A2" s="2" t="s">
        <v>199</v>
      </c>
      <c r="B2" s="3"/>
      <c r="H2" s="4">
        <f>1+1</f>
        <v>2</v>
      </c>
      <c r="J2" s="4">
        <f>1</f>
        <v>1</v>
      </c>
      <c r="K2" s="3"/>
      <c r="L2" s="5"/>
      <c r="M2" s="3"/>
      <c r="N2" s="3"/>
      <c r="P2" s="4">
        <v>1</v>
      </c>
      <c r="AC2" s="4">
        <f>'summary 0910'!K10</f>
        <v>1</v>
      </c>
      <c r="AD2" s="4">
        <f>'summary 0917'!K10</f>
        <v>2</v>
      </c>
      <c r="AE2" s="4">
        <f>'summary 0924'!K10</f>
        <v>2</v>
      </c>
      <c r="AF2" s="4">
        <f>'summary 1001'!K10</f>
        <v>2</v>
      </c>
    </row>
    <row r="3" spans="1:33" x14ac:dyDescent="0.2">
      <c r="A3" s="2" t="s">
        <v>200</v>
      </c>
      <c r="B3" s="5"/>
      <c r="K3" s="5"/>
      <c r="L3" s="5"/>
      <c r="M3" s="5"/>
      <c r="N3" s="6">
        <v>1</v>
      </c>
      <c r="P3" s="4">
        <v>1</v>
      </c>
      <c r="R3" s="4">
        <f>'[7]summary 0625'!K11</f>
        <v>2</v>
      </c>
      <c r="T3" s="4">
        <f>'[7]summary 0709'!K10</f>
        <v>1</v>
      </c>
      <c r="AE3" s="4">
        <f>'summary 0924'!K11</f>
        <v>1</v>
      </c>
    </row>
    <row r="4" spans="1:33"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3"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3"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3"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3"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row>
    <row r="11" spans="1:33"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
      <c r="A15" s="4" t="s">
        <v>428</v>
      </c>
      <c r="Y15" s="4">
        <f>[8]Aug!$U$24+[8]Aug!$U$9</f>
        <v>3</v>
      </c>
      <c r="Z15" s="4">
        <f>[8]Aug!$AB$27</f>
        <v>1</v>
      </c>
      <c r="AB15" s="4">
        <f>3</f>
        <v>3</v>
      </c>
      <c r="AC15" s="4">
        <f>2</f>
        <v>2</v>
      </c>
      <c r="AD15" s="4">
        <v>3</v>
      </c>
      <c r="AE15" s="4">
        <f>7+1</f>
        <v>8</v>
      </c>
      <c r="AF15" s="4">
        <f>2</f>
        <v>2</v>
      </c>
      <c r="AG15" s="4" t="s">
        <v>428</v>
      </c>
    </row>
    <row r="16" spans="1:33" x14ac:dyDescent="0.2">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t="s">
        <v>247</v>
      </c>
    </row>
    <row r="17" spans="1:33" x14ac:dyDescent="0.2">
      <c r="A17" s="4" t="s">
        <v>393</v>
      </c>
      <c r="AG17" s="4" t="s">
        <v>393</v>
      </c>
    </row>
    <row r="18" spans="1:33" x14ac:dyDescent="0.2">
      <c r="A18" s="4" t="s">
        <v>228</v>
      </c>
      <c r="AG18" s="4" t="s">
        <v>228</v>
      </c>
    </row>
    <row r="19" spans="1:33" x14ac:dyDescent="0.2">
      <c r="A19" s="4" t="s">
        <v>291</v>
      </c>
      <c r="AG19" s="4" t="s">
        <v>291</v>
      </c>
    </row>
    <row r="20" spans="1:33" x14ac:dyDescent="0.2">
      <c r="A20" s="4" t="s">
        <v>510</v>
      </c>
      <c r="X20" s="4">
        <f>[8]Aug!$N$21+[8]Aug!$N$15</f>
        <v>6</v>
      </c>
      <c r="Y20" s="4">
        <f>[8]Aug!$U$26+[8]Aug!$U$21</f>
        <v>7</v>
      </c>
      <c r="Z20" s="4">
        <f>[8]Aug!$AB$26+[8]Aug!$AB$21</f>
        <v>3</v>
      </c>
      <c r="AA20" s="4">
        <f>[8]Aug!$AI$26+[8]Aug!$AI$21</f>
        <v>11</v>
      </c>
      <c r="AB20" s="4">
        <f>1</f>
        <v>1</v>
      </c>
      <c r="AC20" s="4">
        <f>14+3</f>
        <v>17</v>
      </c>
      <c r="AD20" s="4">
        <v>6</v>
      </c>
      <c r="AE20" s="4">
        <v>5</v>
      </c>
      <c r="AF20" s="4">
        <f>1+1+7</f>
        <v>9</v>
      </c>
      <c r="AG20" s="4" t="s">
        <v>510</v>
      </c>
    </row>
    <row r="22" spans="1:33" x14ac:dyDescent="0.2">
      <c r="A22" s="4" t="s">
        <v>507</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511</v>
      </c>
    </row>
    <row r="24" spans="1:33" x14ac:dyDescent="0.2">
      <c r="A24" s="4" t="s">
        <v>508</v>
      </c>
      <c r="AG24" s="4" t="s">
        <v>508</v>
      </c>
    </row>
    <row r="111" spans="1:12" x14ac:dyDescent="0.2">
      <c r="A111" s="10" t="s">
        <v>505</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38.25" x14ac:dyDescent="0.2">
      <c r="A127" s="24">
        <v>37169</v>
      </c>
      <c r="B127" s="31" t="s">
        <v>127</v>
      </c>
      <c r="C127" s="18" t="s">
        <v>238</v>
      </c>
      <c r="D127" s="18" t="s">
        <v>19</v>
      </c>
      <c r="E127" s="18" t="s">
        <v>299</v>
      </c>
      <c r="F127" s="18" t="s">
        <v>255</v>
      </c>
      <c r="G127" s="17" t="s">
        <v>128</v>
      </c>
      <c r="H127" s="18"/>
      <c r="I127" s="18" t="s">
        <v>234</v>
      </c>
      <c r="J127" s="18" t="s">
        <v>234</v>
      </c>
      <c r="K127" s="18" t="s">
        <v>234</v>
      </c>
      <c r="L127" s="18" t="s">
        <v>456</v>
      </c>
    </row>
    <row r="128" spans="1:12" ht="51" x14ac:dyDescent="0.2">
      <c r="A128" s="24">
        <v>37169</v>
      </c>
      <c r="B128" s="31" t="s">
        <v>129</v>
      </c>
      <c r="C128" s="18" t="s">
        <v>247</v>
      </c>
      <c r="D128" s="18" t="s">
        <v>280</v>
      </c>
      <c r="E128" s="18" t="s">
        <v>281</v>
      </c>
      <c r="F128" s="18" t="s">
        <v>255</v>
      </c>
      <c r="G128" s="17" t="s">
        <v>171</v>
      </c>
      <c r="H128" s="18"/>
      <c r="I128" s="18" t="s">
        <v>235</v>
      </c>
      <c r="J128" s="18" t="s">
        <v>234</v>
      </c>
      <c r="K128" s="18" t="s">
        <v>234</v>
      </c>
      <c r="L128" s="18" t="s">
        <v>456</v>
      </c>
    </row>
    <row r="129" spans="1:25" ht="25.5" x14ac:dyDescent="0.2">
      <c r="A129" s="24">
        <v>37169</v>
      </c>
      <c r="B129" s="31" t="s">
        <v>110</v>
      </c>
      <c r="C129" s="18" t="s">
        <v>228</v>
      </c>
      <c r="D129" s="18" t="s">
        <v>313</v>
      </c>
      <c r="E129" s="18" t="s">
        <v>479</v>
      </c>
      <c r="F129" s="18" t="s">
        <v>266</v>
      </c>
      <c r="G129" s="17" t="s">
        <v>130</v>
      </c>
      <c r="H129" s="18"/>
      <c r="I129" s="18" t="s">
        <v>235</v>
      </c>
      <c r="J129" s="18" t="s">
        <v>234</v>
      </c>
      <c r="K129" s="18" t="s">
        <v>235</v>
      </c>
      <c r="L129" s="18" t="s">
        <v>456</v>
      </c>
    </row>
    <row r="130" spans="1:25" ht="23.25" customHeight="1" x14ac:dyDescent="0.2">
      <c r="A130" s="24">
        <v>37169</v>
      </c>
      <c r="B130" s="31" t="s">
        <v>131</v>
      </c>
      <c r="C130" s="18" t="s">
        <v>228</v>
      </c>
      <c r="D130" s="18" t="s">
        <v>229</v>
      </c>
      <c r="E130" s="18" t="s">
        <v>230</v>
      </c>
      <c r="F130" s="18" t="s">
        <v>231</v>
      </c>
      <c r="G130" s="17" t="s">
        <v>132</v>
      </c>
      <c r="H130" s="18"/>
      <c r="I130" s="18" t="s">
        <v>234</v>
      </c>
      <c r="J130" s="18" t="s">
        <v>234</v>
      </c>
      <c r="K130" s="18" t="s">
        <v>235</v>
      </c>
      <c r="L130" s="18" t="s">
        <v>456</v>
      </c>
    </row>
    <row r="131" spans="1:25" ht="24.75" customHeight="1" x14ac:dyDescent="0.2">
      <c r="A131" s="24">
        <v>37169</v>
      </c>
      <c r="B131" s="31" t="s">
        <v>133</v>
      </c>
      <c r="C131" s="18" t="s">
        <v>228</v>
      </c>
      <c r="D131" s="18" t="s">
        <v>418</v>
      </c>
      <c r="E131" s="18" t="s">
        <v>230</v>
      </c>
      <c r="F131" s="18" t="s">
        <v>241</v>
      </c>
      <c r="G131" s="17" t="s">
        <v>134</v>
      </c>
      <c r="H131" s="18"/>
      <c r="I131" s="18" t="s">
        <v>235</v>
      </c>
      <c r="J131" s="18" t="s">
        <v>234</v>
      </c>
      <c r="K131" s="18" t="s">
        <v>234</v>
      </c>
      <c r="L131" s="18" t="s">
        <v>456</v>
      </c>
    </row>
    <row r="132" spans="1:25" ht="51" x14ac:dyDescent="0.2">
      <c r="A132" s="24">
        <v>37168</v>
      </c>
      <c r="B132" s="31" t="s">
        <v>135</v>
      </c>
      <c r="C132" s="18" t="s">
        <v>238</v>
      </c>
      <c r="D132" s="18" t="s">
        <v>19</v>
      </c>
      <c r="E132" s="18" t="s">
        <v>299</v>
      </c>
      <c r="F132" s="18" t="s">
        <v>255</v>
      </c>
      <c r="G132" s="17" t="s">
        <v>136</v>
      </c>
      <c r="H132" s="18"/>
      <c r="I132" s="18" t="s">
        <v>235</v>
      </c>
      <c r="J132" s="18" t="s">
        <v>235</v>
      </c>
      <c r="K132" s="18" t="s">
        <v>235</v>
      </c>
      <c r="L132" s="18" t="s">
        <v>456</v>
      </c>
      <c r="M132" s="22"/>
      <c r="N132" s="22"/>
      <c r="O132" s="22"/>
      <c r="P132" s="22"/>
      <c r="Q132" s="22"/>
      <c r="R132" s="22"/>
      <c r="S132" s="22"/>
      <c r="T132" s="22"/>
      <c r="U132" s="22"/>
      <c r="V132" s="22"/>
      <c r="W132" s="22"/>
      <c r="X132" s="22"/>
      <c r="Y132" s="22"/>
    </row>
    <row r="133" spans="1:25" ht="38.25" x14ac:dyDescent="0.2">
      <c r="A133" s="24">
        <v>37168</v>
      </c>
      <c r="B133" s="31" t="s">
        <v>229</v>
      </c>
      <c r="C133" s="18" t="s">
        <v>228</v>
      </c>
      <c r="D133" s="18" t="s">
        <v>229</v>
      </c>
      <c r="E133" s="18" t="s">
        <v>230</v>
      </c>
      <c r="F133" s="18" t="s">
        <v>231</v>
      </c>
      <c r="G133" s="17" t="s">
        <v>137</v>
      </c>
      <c r="H133" s="18"/>
      <c r="I133" s="18" t="s">
        <v>234</v>
      </c>
      <c r="J133" s="18" t="s">
        <v>234</v>
      </c>
      <c r="K133" s="18" t="s">
        <v>235</v>
      </c>
      <c r="L133" s="18" t="s">
        <v>456</v>
      </c>
      <c r="M133" s="22"/>
      <c r="N133" s="22"/>
      <c r="O133" s="22"/>
      <c r="P133" s="22"/>
      <c r="Q133" s="22"/>
      <c r="R133" s="22"/>
      <c r="S133" s="22"/>
      <c r="T133" s="22"/>
      <c r="U133" s="22"/>
      <c r="V133" s="22"/>
      <c r="W133" s="22"/>
      <c r="X133" s="22"/>
      <c r="Y133" s="22"/>
    </row>
    <row r="134" spans="1:25" ht="25.5" x14ac:dyDescent="0.2">
      <c r="A134" s="24">
        <v>37167</v>
      </c>
      <c r="B134" s="31" t="s">
        <v>138</v>
      </c>
      <c r="C134" s="18" t="s">
        <v>247</v>
      </c>
      <c r="D134" s="18" t="s">
        <v>501</v>
      </c>
      <c r="E134" s="18" t="s">
        <v>249</v>
      </c>
      <c r="F134" s="18" t="s">
        <v>375</v>
      </c>
      <c r="G134" s="17" t="s">
        <v>139</v>
      </c>
      <c r="H134" s="18"/>
      <c r="I134" s="18" t="s">
        <v>234</v>
      </c>
      <c r="J134" s="18" t="s">
        <v>234</v>
      </c>
      <c r="K134" s="18" t="s">
        <v>234</v>
      </c>
      <c r="L134" s="18" t="s">
        <v>456</v>
      </c>
      <c r="M134" s="22"/>
      <c r="N134" s="22"/>
      <c r="O134" s="22"/>
      <c r="P134" s="22"/>
      <c r="Q134" s="22"/>
      <c r="R134" s="22"/>
      <c r="S134" s="22"/>
      <c r="T134" s="22"/>
      <c r="U134" s="22"/>
      <c r="V134" s="22"/>
      <c r="W134" s="22"/>
      <c r="X134" s="22"/>
      <c r="Y134" s="22"/>
    </row>
    <row r="135" spans="1:25" ht="55.5" customHeight="1" x14ac:dyDescent="0.2">
      <c r="A135" s="24">
        <v>37167</v>
      </c>
      <c r="B135" s="31" t="s">
        <v>140</v>
      </c>
      <c r="C135" s="18" t="s">
        <v>238</v>
      </c>
      <c r="D135" s="18" t="s">
        <v>141</v>
      </c>
      <c r="E135" s="18" t="s">
        <v>142</v>
      </c>
      <c r="F135" s="18" t="s">
        <v>266</v>
      </c>
      <c r="G135" s="17" t="s">
        <v>143</v>
      </c>
      <c r="H135" s="18"/>
      <c r="I135" s="18" t="s">
        <v>235</v>
      </c>
      <c r="J135" s="18" t="s">
        <v>235</v>
      </c>
      <c r="K135" s="18" t="s">
        <v>235</v>
      </c>
      <c r="L135" s="18" t="s">
        <v>456</v>
      </c>
      <c r="M135" s="22"/>
      <c r="N135" s="22"/>
      <c r="O135" s="22"/>
      <c r="P135" s="22"/>
      <c r="Q135" s="22"/>
      <c r="R135" s="22"/>
      <c r="S135" s="22"/>
      <c r="T135" s="22"/>
      <c r="U135" s="22"/>
      <c r="V135" s="22"/>
      <c r="W135" s="22"/>
      <c r="X135" s="22"/>
      <c r="Y135" s="22"/>
    </row>
    <row r="136" spans="1:25" ht="25.5" x14ac:dyDescent="0.2">
      <c r="A136" s="24">
        <v>37167</v>
      </c>
      <c r="B136" s="31" t="s">
        <v>144</v>
      </c>
      <c r="C136" s="18" t="s">
        <v>238</v>
      </c>
      <c r="D136" s="18" t="s">
        <v>115</v>
      </c>
      <c r="E136" s="18" t="s">
        <v>240</v>
      </c>
      <c r="F136" s="18" t="s">
        <v>255</v>
      </c>
      <c r="G136" s="17" t="s">
        <v>145</v>
      </c>
      <c r="H136" s="18"/>
      <c r="I136" s="18" t="s">
        <v>235</v>
      </c>
      <c r="J136" s="18" t="s">
        <v>234</v>
      </c>
      <c r="K136" s="18" t="s">
        <v>234</v>
      </c>
      <c r="L136" s="18" t="s">
        <v>456</v>
      </c>
      <c r="M136" s="22"/>
      <c r="N136" s="22"/>
      <c r="O136" s="22"/>
      <c r="P136" s="22"/>
      <c r="Q136" s="22"/>
      <c r="R136" s="22"/>
      <c r="S136" s="22"/>
      <c r="T136" s="22"/>
      <c r="U136" s="22"/>
      <c r="V136" s="22"/>
      <c r="W136" s="22"/>
      <c r="X136" s="22"/>
      <c r="Y136" s="22"/>
    </row>
    <row r="137" spans="1:25" ht="25.5" x14ac:dyDescent="0.2">
      <c r="A137" s="24">
        <v>37167</v>
      </c>
      <c r="B137" s="31" t="s">
        <v>466</v>
      </c>
      <c r="C137" s="18" t="s">
        <v>228</v>
      </c>
      <c r="D137" s="18" t="s">
        <v>22</v>
      </c>
      <c r="E137" s="18" t="s">
        <v>23</v>
      </c>
      <c r="F137" s="18" t="s">
        <v>255</v>
      </c>
      <c r="G137" s="17" t="s">
        <v>146</v>
      </c>
      <c r="H137" s="18"/>
      <c r="I137" s="18" t="s">
        <v>235</v>
      </c>
      <c r="J137" s="18" t="s">
        <v>234</v>
      </c>
      <c r="K137" s="18" t="s">
        <v>234</v>
      </c>
      <c r="L137" s="18" t="s">
        <v>456</v>
      </c>
      <c r="M137" s="22"/>
      <c r="N137" s="22"/>
      <c r="O137" s="22"/>
      <c r="P137" s="22"/>
      <c r="Q137" s="22"/>
      <c r="R137" s="22"/>
      <c r="S137" s="22"/>
      <c r="T137" s="22"/>
      <c r="U137" s="22"/>
      <c r="V137" s="22"/>
      <c r="W137" s="22"/>
      <c r="X137" s="22"/>
      <c r="Y137" s="22"/>
    </row>
    <row r="138" spans="1:25" ht="25.5" x14ac:dyDescent="0.2">
      <c r="A138" s="24">
        <v>37167</v>
      </c>
      <c r="B138" s="31" t="s">
        <v>147</v>
      </c>
      <c r="C138" s="18" t="s">
        <v>228</v>
      </c>
      <c r="D138" s="18" t="s">
        <v>148</v>
      </c>
      <c r="E138" s="18" t="s">
        <v>230</v>
      </c>
      <c r="F138" s="18" t="s">
        <v>255</v>
      </c>
      <c r="G138" s="17" t="s">
        <v>149</v>
      </c>
      <c r="H138" s="18"/>
      <c r="I138" s="18" t="s">
        <v>235</v>
      </c>
      <c r="J138" s="18" t="s">
        <v>234</v>
      </c>
      <c r="K138" s="18" t="s">
        <v>235</v>
      </c>
      <c r="L138" s="18" t="s">
        <v>456</v>
      </c>
      <c r="M138" s="22"/>
      <c r="N138" s="22"/>
      <c r="O138" s="22"/>
      <c r="P138" s="22"/>
      <c r="Q138" s="22"/>
      <c r="R138" s="22"/>
      <c r="S138" s="22"/>
      <c r="T138" s="22"/>
      <c r="U138" s="22"/>
      <c r="V138" s="22"/>
      <c r="W138" s="22"/>
      <c r="X138" s="22"/>
      <c r="Y138" s="22"/>
    </row>
    <row r="139" spans="1:25" ht="38.25" x14ac:dyDescent="0.2">
      <c r="A139" s="24">
        <v>37167</v>
      </c>
      <c r="B139" s="31" t="s">
        <v>150</v>
      </c>
      <c r="C139" s="18" t="s">
        <v>228</v>
      </c>
      <c r="D139" s="18" t="s">
        <v>229</v>
      </c>
      <c r="E139" s="18" t="s">
        <v>230</v>
      </c>
      <c r="F139" s="18" t="s">
        <v>255</v>
      </c>
      <c r="G139" s="17" t="s">
        <v>151</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25.5" x14ac:dyDescent="0.2">
      <c r="A140" s="24">
        <v>37167</v>
      </c>
      <c r="B140" s="31" t="s">
        <v>152</v>
      </c>
      <c r="C140" s="18" t="s">
        <v>228</v>
      </c>
      <c r="D140" s="18" t="s">
        <v>229</v>
      </c>
      <c r="E140" s="18" t="s">
        <v>230</v>
      </c>
      <c r="F140" s="18" t="s">
        <v>231</v>
      </c>
      <c r="G140" s="17" t="s">
        <v>153</v>
      </c>
      <c r="H140" s="18"/>
      <c r="I140" s="18" t="s">
        <v>234</v>
      </c>
      <c r="J140" s="18" t="s">
        <v>234</v>
      </c>
      <c r="K140" s="18" t="s">
        <v>235</v>
      </c>
      <c r="L140" s="18" t="s">
        <v>456</v>
      </c>
      <c r="M140" s="22"/>
      <c r="N140" s="22"/>
      <c r="O140" s="22"/>
      <c r="P140" s="22"/>
      <c r="Q140" s="22"/>
      <c r="R140" s="22"/>
      <c r="S140" s="22"/>
      <c r="T140" s="22"/>
      <c r="U140" s="22"/>
      <c r="V140" s="22"/>
      <c r="W140" s="22"/>
      <c r="X140" s="22"/>
      <c r="Y140" s="22"/>
    </row>
    <row r="141" spans="1:25" ht="38.25" x14ac:dyDescent="0.2">
      <c r="A141" s="24">
        <v>37166</v>
      </c>
      <c r="B141" s="31" t="s">
        <v>154</v>
      </c>
      <c r="C141" s="18" t="s">
        <v>247</v>
      </c>
      <c r="D141" s="18" t="s">
        <v>501</v>
      </c>
      <c r="E141" s="18" t="s">
        <v>249</v>
      </c>
      <c r="F141" s="18" t="s">
        <v>255</v>
      </c>
      <c r="G141" s="17" t="s">
        <v>155</v>
      </c>
      <c r="H141" s="18"/>
      <c r="I141" s="18" t="s">
        <v>235</v>
      </c>
      <c r="J141" s="18" t="s">
        <v>234</v>
      </c>
      <c r="K141" s="18" t="s">
        <v>234</v>
      </c>
      <c r="L141" s="18" t="s">
        <v>456</v>
      </c>
      <c r="M141" s="22"/>
      <c r="N141" s="22"/>
      <c r="O141" s="22"/>
      <c r="P141" s="22"/>
      <c r="Q141" s="22"/>
      <c r="R141" s="22"/>
      <c r="S141" s="22"/>
      <c r="T141" s="22"/>
      <c r="U141" s="22"/>
      <c r="V141" s="22"/>
      <c r="W141" s="22"/>
      <c r="X141" s="22"/>
      <c r="Y141" s="22"/>
    </row>
    <row r="142" spans="1:25" x14ac:dyDescent="0.2">
      <c r="A142" s="24">
        <v>37166</v>
      </c>
      <c r="B142" s="31" t="s">
        <v>321</v>
      </c>
      <c r="C142" s="18" t="s">
        <v>228</v>
      </c>
      <c r="D142" s="18" t="s">
        <v>313</v>
      </c>
      <c r="E142" s="18" t="s">
        <v>479</v>
      </c>
      <c r="F142" s="18" t="s">
        <v>255</v>
      </c>
      <c r="G142" s="17" t="s">
        <v>156</v>
      </c>
      <c r="H142" s="18"/>
      <c r="I142" s="18" t="s">
        <v>235</v>
      </c>
      <c r="J142" s="18" t="s">
        <v>234</v>
      </c>
      <c r="K142" s="18" t="s">
        <v>235</v>
      </c>
      <c r="L142" s="18" t="s">
        <v>456</v>
      </c>
      <c r="M142" s="22"/>
      <c r="N142" s="22"/>
      <c r="O142" s="22"/>
      <c r="P142" s="22"/>
      <c r="Q142" s="22"/>
      <c r="R142" s="22"/>
      <c r="S142" s="22"/>
      <c r="T142" s="22"/>
      <c r="U142" s="22"/>
      <c r="V142" s="22"/>
      <c r="W142" s="22"/>
      <c r="X142" s="22"/>
      <c r="Y142" s="22"/>
    </row>
    <row r="143" spans="1:25" ht="25.5" x14ac:dyDescent="0.2">
      <c r="A143" s="24">
        <v>37166</v>
      </c>
      <c r="B143" s="31" t="s">
        <v>492</v>
      </c>
      <c r="C143" s="18" t="s">
        <v>228</v>
      </c>
      <c r="D143" s="18" t="s">
        <v>229</v>
      </c>
      <c r="E143" s="18" t="s">
        <v>230</v>
      </c>
      <c r="F143" s="18" t="s">
        <v>231</v>
      </c>
      <c r="G143" s="17" t="s">
        <v>157</v>
      </c>
      <c r="H143" s="18"/>
      <c r="I143" s="18" t="s">
        <v>234</v>
      </c>
      <c r="J143" s="18" t="s">
        <v>234</v>
      </c>
      <c r="K143" s="18" t="s">
        <v>235</v>
      </c>
      <c r="L143" s="18" t="s">
        <v>456</v>
      </c>
      <c r="M143" s="22"/>
      <c r="N143" s="22"/>
      <c r="O143" s="22"/>
      <c r="P143" s="22"/>
      <c r="Q143" s="22"/>
      <c r="R143" s="22"/>
      <c r="S143" s="22"/>
      <c r="T143" s="22"/>
      <c r="U143" s="22"/>
      <c r="V143" s="22"/>
      <c r="W143" s="22"/>
      <c r="X143" s="22"/>
      <c r="Y143" s="22"/>
    </row>
    <row r="144" spans="1:25" ht="25.5" x14ac:dyDescent="0.2">
      <c r="A144" s="24">
        <v>37165</v>
      </c>
      <c r="B144" s="31" t="s">
        <v>158</v>
      </c>
      <c r="C144" s="18" t="s">
        <v>393</v>
      </c>
      <c r="D144" s="18" t="s">
        <v>513</v>
      </c>
      <c r="E144" s="18" t="s">
        <v>159</v>
      </c>
      <c r="F144" s="18" t="s">
        <v>375</v>
      </c>
      <c r="G144" s="17" t="s">
        <v>160</v>
      </c>
      <c r="H144" s="18"/>
      <c r="I144" s="18" t="s">
        <v>234</v>
      </c>
      <c r="J144" s="18" t="s">
        <v>234</v>
      </c>
      <c r="K144" s="18" t="s">
        <v>235</v>
      </c>
      <c r="L144" s="18" t="s">
        <v>456</v>
      </c>
      <c r="M144" s="22"/>
      <c r="N144" s="22"/>
      <c r="O144" s="22"/>
      <c r="P144" s="22"/>
      <c r="Q144" s="22"/>
      <c r="R144" s="22"/>
      <c r="S144" s="22"/>
      <c r="T144" s="22"/>
      <c r="U144" s="22"/>
      <c r="V144" s="22"/>
      <c r="W144" s="22"/>
      <c r="X144" s="22"/>
      <c r="Y144" s="22"/>
    </row>
    <row r="145" spans="1:25" ht="114.75" x14ac:dyDescent="0.2">
      <c r="A145" s="24">
        <v>37165</v>
      </c>
      <c r="B145" s="17" t="s">
        <v>161</v>
      </c>
      <c r="C145" s="18" t="s">
        <v>247</v>
      </c>
      <c r="D145" s="18" t="s">
        <v>460</v>
      </c>
      <c r="E145" s="18" t="s">
        <v>249</v>
      </c>
      <c r="F145" s="18" t="s">
        <v>260</v>
      </c>
      <c r="G145" s="17" t="s">
        <v>162</v>
      </c>
      <c r="H145" s="18"/>
      <c r="I145" s="18" t="s">
        <v>234</v>
      </c>
      <c r="J145" s="18" t="s">
        <v>234</v>
      </c>
      <c r="K145" s="18" t="s">
        <v>234</v>
      </c>
      <c r="L145" s="18" t="s">
        <v>456</v>
      </c>
      <c r="M145" s="22"/>
      <c r="N145" s="22"/>
      <c r="O145" s="22"/>
      <c r="P145" s="22"/>
      <c r="Q145" s="22"/>
      <c r="R145" s="22"/>
      <c r="S145" s="22"/>
      <c r="T145" s="22"/>
      <c r="U145" s="22"/>
      <c r="V145" s="22"/>
      <c r="W145" s="22"/>
      <c r="X145" s="22"/>
      <c r="Y145" s="22"/>
    </row>
    <row r="146" spans="1:25" ht="25.5" x14ac:dyDescent="0.2">
      <c r="A146" s="24">
        <v>37165</v>
      </c>
      <c r="B146" s="18" t="s">
        <v>4</v>
      </c>
      <c r="C146" s="18" t="s">
        <v>428</v>
      </c>
      <c r="D146" s="18" t="s">
        <v>5</v>
      </c>
      <c r="E146" s="18" t="s">
        <v>6</v>
      </c>
      <c r="F146" s="18" t="s">
        <v>255</v>
      </c>
      <c r="G146" s="17" t="s">
        <v>119</v>
      </c>
      <c r="H146" s="18"/>
      <c r="I146" s="18" t="s">
        <v>235</v>
      </c>
      <c r="J146" s="18" t="s">
        <v>234</v>
      </c>
      <c r="K146" s="18" t="s">
        <v>235</v>
      </c>
      <c r="L146" s="18" t="s">
        <v>456</v>
      </c>
      <c r="M146" s="22"/>
      <c r="N146" s="22"/>
      <c r="O146" s="22"/>
      <c r="P146" s="22"/>
      <c r="Q146" s="22"/>
      <c r="R146" s="22"/>
      <c r="S146" s="22"/>
      <c r="T146" s="22"/>
      <c r="U146" s="22"/>
      <c r="V146" s="22"/>
      <c r="W146" s="22"/>
      <c r="X146" s="22"/>
      <c r="Y146" s="22"/>
    </row>
    <row r="147" spans="1:25" ht="25.5" x14ac:dyDescent="0.2">
      <c r="A147" s="24">
        <v>37165</v>
      </c>
      <c r="B147" s="18" t="s">
        <v>163</v>
      </c>
      <c r="C147" s="18" t="s">
        <v>228</v>
      </c>
      <c r="D147" s="18" t="s">
        <v>229</v>
      </c>
      <c r="E147" s="18" t="s">
        <v>230</v>
      </c>
      <c r="F147" s="18" t="s">
        <v>231</v>
      </c>
      <c r="G147" s="17" t="s">
        <v>164</v>
      </c>
      <c r="H147" s="18"/>
      <c r="I147" s="18" t="s">
        <v>234</v>
      </c>
      <c r="J147" s="18" t="s">
        <v>234</v>
      </c>
      <c r="K147" s="18" t="s">
        <v>235</v>
      </c>
      <c r="L147" s="18" t="s">
        <v>456</v>
      </c>
      <c r="M147" s="22"/>
      <c r="N147" s="22"/>
      <c r="O147" s="22"/>
      <c r="P147" s="22"/>
      <c r="Q147" s="22"/>
      <c r="R147" s="22"/>
      <c r="S147" s="22"/>
      <c r="T147" s="22"/>
      <c r="U147" s="22"/>
      <c r="V147" s="22"/>
      <c r="W147" s="22"/>
      <c r="X147" s="22"/>
      <c r="Y147" s="22"/>
    </row>
    <row r="148" spans="1:25" ht="38.25" x14ac:dyDescent="0.2">
      <c r="A148" s="24">
        <v>37165</v>
      </c>
      <c r="B148" s="18" t="s">
        <v>165</v>
      </c>
      <c r="C148" s="18" t="s">
        <v>228</v>
      </c>
      <c r="D148" s="18" t="s">
        <v>229</v>
      </c>
      <c r="E148" s="18" t="s">
        <v>230</v>
      </c>
      <c r="F148" s="18" t="s">
        <v>231</v>
      </c>
      <c r="G148" s="17" t="s">
        <v>166</v>
      </c>
      <c r="H148" s="18"/>
      <c r="I148" s="18" t="s">
        <v>234</v>
      </c>
      <c r="J148" s="18" t="s">
        <v>234</v>
      </c>
      <c r="K148" s="18" t="s">
        <v>235</v>
      </c>
      <c r="L148" s="18" t="s">
        <v>456</v>
      </c>
      <c r="M148" s="22"/>
      <c r="N148" s="22"/>
      <c r="O148" s="22"/>
      <c r="P148" s="22"/>
      <c r="Q148" s="22"/>
      <c r="R148" s="22"/>
      <c r="S148" s="22"/>
      <c r="T148" s="22"/>
      <c r="U148" s="22"/>
      <c r="V148" s="22"/>
      <c r="W148" s="22"/>
      <c r="X148" s="22"/>
      <c r="Y148" s="22"/>
    </row>
    <row r="149" spans="1:25" ht="105.75" customHeight="1" x14ac:dyDescent="0.2">
      <c r="A149" s="24">
        <v>37165</v>
      </c>
      <c r="B149" s="18" t="s">
        <v>229</v>
      </c>
      <c r="C149" s="18" t="s">
        <v>228</v>
      </c>
      <c r="D149" s="18" t="s">
        <v>229</v>
      </c>
      <c r="E149" s="18" t="s">
        <v>230</v>
      </c>
      <c r="F149" s="18" t="s">
        <v>255</v>
      </c>
      <c r="G149" s="17" t="s">
        <v>167</v>
      </c>
      <c r="H149" s="18"/>
      <c r="I149" s="18" t="s">
        <v>234</v>
      </c>
      <c r="J149" s="18" t="s">
        <v>234</v>
      </c>
      <c r="K149" s="18" t="s">
        <v>235</v>
      </c>
      <c r="L149" s="18" t="s">
        <v>456</v>
      </c>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423</v>
      </c>
      <c r="B187" s="1" t="s">
        <v>424</v>
      </c>
      <c r="C187" s="4" t="s">
        <v>425</v>
      </c>
      <c r="D187" s="33" t="s">
        <v>426</v>
      </c>
      <c r="E187" s="33" t="s">
        <v>427</v>
      </c>
    </row>
    <row r="188" spans="1:12" x14ac:dyDescent="0.2">
      <c r="A188" s="34" t="s">
        <v>428</v>
      </c>
      <c r="B188" s="35">
        <f t="shared" ref="B188:B196" si="3">C188/$C$197</f>
        <v>4.3478260869565216E-2</v>
      </c>
      <c r="C188" s="5">
        <f>'summary 1001'!I24</f>
        <v>1</v>
      </c>
      <c r="D188" s="4">
        <f>33+1+1+1+1+1+8+1+1+1+2+1+2+1+1+1+2+3+8+2</f>
        <v>72</v>
      </c>
      <c r="E188" s="36">
        <f t="shared" ref="E188:E195" si="4">(C188/D188)*100</f>
        <v>1.3888888888888888</v>
      </c>
    </row>
    <row r="189" spans="1:12" x14ac:dyDescent="0.2">
      <c r="A189" s="34" t="s">
        <v>247</v>
      </c>
      <c r="B189" s="35">
        <f t="shared" si="3"/>
        <v>0.17391304347826086</v>
      </c>
      <c r="C189" s="5">
        <f>'summary 1001'!I25</f>
        <v>4</v>
      </c>
      <c r="D189" s="4">
        <f>540+17+1+1+6+10+1+2+12+2+1+1+1+3+4+3+1+1+1+8+2+1+1+6+1+1+2+1+2+1+4+1+1+1+12+4+57+16+1+1</f>
        <v>732</v>
      </c>
      <c r="E189" s="36">
        <f t="shared" si="4"/>
        <v>0.54644808743169404</v>
      </c>
    </row>
    <row r="190" spans="1:12" x14ac:dyDescent="0.2">
      <c r="A190" s="34" t="s">
        <v>228</v>
      </c>
      <c r="B190" s="35">
        <f t="shared" si="3"/>
        <v>0.56521739130434778</v>
      </c>
      <c r="C190" s="5">
        <f>'summary 1001'!I26</f>
        <v>13</v>
      </c>
      <c r="D190" s="4">
        <f>13+1+1+1+16+10</f>
        <v>42</v>
      </c>
      <c r="E190" s="36">
        <f t="shared" si="4"/>
        <v>30.952380952380953</v>
      </c>
    </row>
    <row r="191" spans="1:12" x14ac:dyDescent="0.2">
      <c r="A191" s="34" t="s">
        <v>429</v>
      </c>
      <c r="B191" s="35">
        <f t="shared" si="3"/>
        <v>0</v>
      </c>
      <c r="C191" s="5"/>
      <c r="D191" s="4">
        <f>36+1+1+2+1</f>
        <v>41</v>
      </c>
      <c r="E191" s="36"/>
    </row>
    <row r="192" spans="1:12" x14ac:dyDescent="0.2">
      <c r="A192" s="34" t="s">
        <v>430</v>
      </c>
      <c r="B192" s="35">
        <f t="shared" si="3"/>
        <v>8.6956521739130432E-2</v>
      </c>
      <c r="C192" s="5">
        <f>'summary 1001'!I28</f>
        <v>2</v>
      </c>
      <c r="D192" s="4">
        <f>288+2+13+2+5+56+59+14+2+3+3+1+4+14+1</f>
        <v>467</v>
      </c>
      <c r="E192" s="36">
        <f t="shared" si="4"/>
        <v>0.42826552462526768</v>
      </c>
    </row>
    <row r="193" spans="1:5" x14ac:dyDescent="0.2">
      <c r="A193" s="34" t="s">
        <v>431</v>
      </c>
      <c r="B193" s="35">
        <f t="shared" si="3"/>
        <v>8.6956521739130432E-2</v>
      </c>
      <c r="C193" s="5">
        <f>'summary 1001'!I29</f>
        <v>2</v>
      </c>
      <c r="D193" s="4">
        <f>132+2+1+2+7+3+4+2+7+1+3+4+5+7</f>
        <v>180</v>
      </c>
      <c r="E193" s="36">
        <f t="shared" si="4"/>
        <v>1.1111111111111112</v>
      </c>
    </row>
    <row r="194" spans="1:5" x14ac:dyDescent="0.2">
      <c r="A194" s="34" t="s">
        <v>291</v>
      </c>
      <c r="B194" s="35">
        <f t="shared" si="3"/>
        <v>0</v>
      </c>
      <c r="C194" s="5"/>
      <c r="D194" s="4">
        <v>9</v>
      </c>
      <c r="E194" s="36"/>
    </row>
    <row r="195" spans="1:5" x14ac:dyDescent="0.2">
      <c r="A195" s="34" t="s">
        <v>393</v>
      </c>
      <c r="B195" s="35">
        <f t="shared" si="3"/>
        <v>4.3478260869565216E-2</v>
      </c>
      <c r="C195" s="5">
        <f>'summary 1001'!I31</f>
        <v>1</v>
      </c>
      <c r="D195" s="4">
        <f>10+5+2</f>
        <v>17</v>
      </c>
      <c r="E195" s="36">
        <f t="shared" si="4"/>
        <v>5.8823529411764701</v>
      </c>
    </row>
    <row r="196" spans="1:5" x14ac:dyDescent="0.2">
      <c r="A196" s="37" t="s">
        <v>432</v>
      </c>
      <c r="B196" s="35">
        <f t="shared" si="3"/>
        <v>0</v>
      </c>
      <c r="C196" s="5"/>
    </row>
    <row r="197" spans="1:5" x14ac:dyDescent="0.2">
      <c r="A197" s="37" t="s">
        <v>433</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2</f>
        <v>2</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10</f>
        <v>10</v>
      </c>
    </row>
    <row r="13" spans="1:11" x14ac:dyDescent="0.2">
      <c r="A13" s="6" t="s">
        <v>231</v>
      </c>
      <c r="B13" s="7"/>
      <c r="C13" s="7" t="s">
        <v>439</v>
      </c>
      <c r="D13" s="7"/>
      <c r="E13" s="7"/>
      <c r="F13" s="7"/>
      <c r="G13" s="7"/>
      <c r="H13" s="7"/>
      <c r="I13" s="7"/>
      <c r="J13" s="7"/>
      <c r="K13" s="7">
        <f>6</f>
        <v>6</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f>1</f>
        <v>1</v>
      </c>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f>1</f>
        <v>1</v>
      </c>
    </row>
    <row r="18" spans="1:11" x14ac:dyDescent="0.2">
      <c r="A18" s="6" t="s">
        <v>266</v>
      </c>
      <c r="B18" s="7"/>
      <c r="C18" s="7" t="s">
        <v>207</v>
      </c>
      <c r="D18" s="7"/>
      <c r="E18" s="7"/>
      <c r="F18" s="7"/>
      <c r="G18" s="7"/>
      <c r="H18" s="7"/>
      <c r="I18" s="7"/>
      <c r="J18" s="7"/>
      <c r="K18" s="47">
        <f>3</f>
        <v>3</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ht="25.5" x14ac:dyDescent="0.2">
      <c r="A24" s="29" t="s">
        <v>428</v>
      </c>
      <c r="B24" s="17"/>
      <c r="C24" s="17"/>
      <c r="D24" s="32"/>
      <c r="E24" s="31"/>
      <c r="F24" s="32"/>
      <c r="G24" s="32"/>
      <c r="H24" s="31"/>
      <c r="I24" s="6">
        <f>1</f>
        <v>1</v>
      </c>
      <c r="J24" s="31"/>
      <c r="K24" s="31" t="s">
        <v>168</v>
      </c>
    </row>
    <row r="25" spans="1:11" ht="25.5" x14ac:dyDescent="0.2">
      <c r="A25" s="29" t="s">
        <v>247</v>
      </c>
      <c r="B25" s="17"/>
      <c r="C25" s="17"/>
      <c r="D25" s="32"/>
      <c r="E25" s="31"/>
      <c r="F25" s="32"/>
      <c r="G25" s="32"/>
      <c r="H25" s="31"/>
      <c r="I25" s="6">
        <f>1+1+1+1</f>
        <v>4</v>
      </c>
      <c r="J25" s="31"/>
      <c r="K25" s="49" t="s">
        <v>169</v>
      </c>
    </row>
    <row r="26" spans="1:11" ht="25.5" x14ac:dyDescent="0.2">
      <c r="A26" s="29" t="s">
        <v>228</v>
      </c>
      <c r="B26" s="17"/>
      <c r="C26" s="17"/>
      <c r="D26" s="32"/>
      <c r="E26" s="31"/>
      <c r="F26" s="32"/>
      <c r="G26" s="32"/>
      <c r="H26" s="31"/>
      <c r="I26" s="6">
        <f>1+1+1+1+1+1+1+1+1+1+1+1+1</f>
        <v>13</v>
      </c>
      <c r="J26" s="31"/>
      <c r="K26" s="32" t="s">
        <v>170</v>
      </c>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1+1</f>
        <v>2</v>
      </c>
      <c r="J28" s="31"/>
      <c r="K28" s="31" t="s">
        <v>171</v>
      </c>
    </row>
    <row r="29" spans="1:11" x14ac:dyDescent="0.2">
      <c r="A29" s="29" t="s">
        <v>431</v>
      </c>
      <c r="B29" s="17"/>
      <c r="C29" s="17"/>
      <c r="D29" s="32"/>
      <c r="E29" s="31"/>
      <c r="F29" s="32"/>
      <c r="G29" s="32"/>
      <c r="H29" s="31"/>
      <c r="I29" s="6">
        <f>1+1</f>
        <v>2</v>
      </c>
      <c r="J29" s="31"/>
      <c r="K29" s="32" t="s">
        <v>172</v>
      </c>
    </row>
    <row r="30" spans="1:11" x14ac:dyDescent="0.2">
      <c r="A30" s="29" t="s">
        <v>291</v>
      </c>
      <c r="B30" s="17"/>
      <c r="C30" s="17"/>
      <c r="D30" s="32"/>
      <c r="E30" s="31"/>
      <c r="F30" s="32"/>
      <c r="G30" s="32"/>
      <c r="H30" s="31"/>
      <c r="I30" s="6"/>
      <c r="J30" s="31"/>
      <c r="K30" s="31"/>
    </row>
    <row r="31" spans="1:11" ht="15.75" customHeight="1" x14ac:dyDescent="0.2">
      <c r="A31" s="29" t="s">
        <v>393</v>
      </c>
      <c r="B31" s="17"/>
      <c r="C31" s="17"/>
      <c r="D31" s="32"/>
      <c r="E31" s="31"/>
      <c r="F31" s="32"/>
      <c r="G31" s="32"/>
      <c r="H31" s="31"/>
      <c r="I31" s="6">
        <f>1</f>
        <v>1</v>
      </c>
      <c r="J31" s="31"/>
      <c r="K31" s="31" t="s">
        <v>173</v>
      </c>
    </row>
    <row r="32" spans="1:11" ht="13.5" thickBot="1" x14ac:dyDescent="0.25">
      <c r="A32" s="50" t="s">
        <v>444</v>
      </c>
      <c r="I32" s="5"/>
      <c r="K32" s="51"/>
    </row>
    <row r="33" spans="1:11" ht="13.5" thickTop="1" x14ac:dyDescent="0.2">
      <c r="A33" s="52" t="s">
        <v>435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row>
    <row r="2" spans="1:32" x14ac:dyDescent="0.2">
      <c r="A2" s="2" t="s">
        <v>199</v>
      </c>
      <c r="B2" s="3"/>
      <c r="H2" s="4">
        <f>1+1</f>
        <v>2</v>
      </c>
      <c r="J2" s="4">
        <f>1</f>
        <v>1</v>
      </c>
      <c r="K2" s="3"/>
      <c r="L2" s="5"/>
      <c r="M2" s="3"/>
      <c r="N2" s="3"/>
      <c r="P2" s="4">
        <v>1</v>
      </c>
      <c r="AC2" s="4">
        <f>'summary 0910'!K10</f>
        <v>1</v>
      </c>
      <c r="AD2" s="4">
        <f>'summary 0917'!K10</f>
        <v>2</v>
      </c>
      <c r="AE2" s="4">
        <f>'summary 0924'!K10</f>
        <v>2</v>
      </c>
    </row>
    <row r="3" spans="1:32" x14ac:dyDescent="0.2">
      <c r="A3" s="2" t="s">
        <v>200</v>
      </c>
      <c r="B3" s="5"/>
      <c r="K3" s="5"/>
      <c r="L3" s="5"/>
      <c r="M3" s="5"/>
      <c r="N3" s="6">
        <v>1</v>
      </c>
      <c r="P3" s="4">
        <v>1</v>
      </c>
      <c r="R3" s="4">
        <f>'[7]summary 0625'!K11</f>
        <v>2</v>
      </c>
      <c r="T3" s="4">
        <f>'[7]summary 0709'!K10</f>
        <v>1</v>
      </c>
      <c r="AE3" s="4">
        <f>'summary 0924'!K11</f>
        <v>1</v>
      </c>
    </row>
    <row r="4" spans="1:32"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row>
    <row r="5" spans="1:32"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row>
    <row r="6" spans="1:32"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2"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2"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2"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row>
    <row r="10" spans="1:32"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2"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428</v>
      </c>
      <c r="Y15" s="4">
        <f>[8]Aug!$U$24+[8]Aug!$U$9</f>
        <v>3</v>
      </c>
      <c r="Z15" s="4">
        <f>[8]Aug!$AB$27</f>
        <v>1</v>
      </c>
      <c r="AB15" s="4">
        <f>3</f>
        <v>3</v>
      </c>
      <c r="AC15" s="4">
        <f>2</f>
        <v>2</v>
      </c>
      <c r="AD15" s="4">
        <v>3</v>
      </c>
      <c r="AE15" s="4">
        <f>7+1</f>
        <v>8</v>
      </c>
      <c r="AF15" s="4" t="s">
        <v>428</v>
      </c>
    </row>
    <row r="16" spans="1:32" x14ac:dyDescent="0.2">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t="s">
        <v>247</v>
      </c>
    </row>
    <row r="17" spans="1:32" x14ac:dyDescent="0.2">
      <c r="A17" s="4" t="s">
        <v>393</v>
      </c>
      <c r="AF17" s="4" t="s">
        <v>393</v>
      </c>
    </row>
    <row r="18" spans="1:32" x14ac:dyDescent="0.2">
      <c r="A18" s="4" t="s">
        <v>228</v>
      </c>
      <c r="AF18" s="4" t="s">
        <v>228</v>
      </c>
    </row>
    <row r="19" spans="1:32" x14ac:dyDescent="0.2">
      <c r="A19" s="4" t="s">
        <v>291</v>
      </c>
      <c r="AF19" s="4" t="s">
        <v>291</v>
      </c>
    </row>
    <row r="20" spans="1:32" x14ac:dyDescent="0.2">
      <c r="A20" s="4" t="s">
        <v>510</v>
      </c>
      <c r="X20" s="4">
        <f>[8]Aug!$N$21+[8]Aug!$N$15</f>
        <v>6</v>
      </c>
      <c r="Y20" s="4">
        <f>[8]Aug!$U$26+[8]Aug!$U$21</f>
        <v>7</v>
      </c>
      <c r="Z20" s="4">
        <f>[8]Aug!$AB$26+[8]Aug!$AB$21</f>
        <v>3</v>
      </c>
      <c r="AA20" s="4">
        <f>[8]Aug!$AI$26+[8]Aug!$AI$21</f>
        <v>11</v>
      </c>
      <c r="AB20" s="4">
        <f>1</f>
        <v>1</v>
      </c>
      <c r="AC20" s="4">
        <f>14+3</f>
        <v>17</v>
      </c>
      <c r="AD20" s="4">
        <v>6</v>
      </c>
      <c r="AE20" s="4">
        <v>5</v>
      </c>
      <c r="AF20" s="4" t="s">
        <v>510</v>
      </c>
    </row>
    <row r="22" spans="1:32" x14ac:dyDescent="0.2">
      <c r="A22" s="4" t="s">
        <v>507</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511</v>
      </c>
    </row>
    <row r="24" spans="1:32" x14ac:dyDescent="0.2">
      <c r="A24" s="4" t="s">
        <v>508</v>
      </c>
      <c r="AF24" s="4" t="s">
        <v>508</v>
      </c>
    </row>
    <row r="111" spans="1:12" x14ac:dyDescent="0.2">
      <c r="A111" s="10" t="s">
        <v>505</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25.5" x14ac:dyDescent="0.2">
      <c r="A127" s="24">
        <v>37162</v>
      </c>
      <c r="B127" s="18" t="s">
        <v>106</v>
      </c>
      <c r="C127" s="18" t="s">
        <v>428</v>
      </c>
      <c r="D127" s="18" t="s">
        <v>539</v>
      </c>
      <c r="E127" s="18" t="s">
        <v>540</v>
      </c>
      <c r="F127" s="18" t="s">
        <v>375</v>
      </c>
      <c r="G127" s="17" t="s">
        <v>107</v>
      </c>
      <c r="H127" s="18"/>
      <c r="I127" s="18" t="s">
        <v>234</v>
      </c>
      <c r="J127" s="18" t="s">
        <v>234</v>
      </c>
      <c r="K127" s="18" t="s">
        <v>234</v>
      </c>
      <c r="L127" s="18" t="s">
        <v>456</v>
      </c>
    </row>
    <row r="128" spans="1:12" ht="25.5" x14ac:dyDescent="0.2">
      <c r="A128" s="24">
        <v>37162</v>
      </c>
      <c r="B128" s="18" t="s">
        <v>271</v>
      </c>
      <c r="C128" s="18" t="s">
        <v>238</v>
      </c>
      <c r="D128" s="18" t="s">
        <v>272</v>
      </c>
      <c r="E128" s="18" t="s">
        <v>240</v>
      </c>
      <c r="F128" s="18" t="s">
        <v>375</v>
      </c>
      <c r="G128" s="17" t="s">
        <v>108</v>
      </c>
      <c r="H128" s="18"/>
      <c r="I128" s="18" t="s">
        <v>234</v>
      </c>
      <c r="J128" s="18" t="s">
        <v>234</v>
      </c>
      <c r="K128" s="18" t="s">
        <v>234</v>
      </c>
      <c r="L128" s="18" t="s">
        <v>456</v>
      </c>
    </row>
    <row r="129" spans="1:25" x14ac:dyDescent="0.2">
      <c r="A129" s="24">
        <v>37162</v>
      </c>
      <c r="B129" s="18" t="s">
        <v>466</v>
      </c>
      <c r="C129" s="18" t="s">
        <v>228</v>
      </c>
      <c r="D129" s="18" t="s">
        <v>22</v>
      </c>
      <c r="E129" s="18" t="s">
        <v>23</v>
      </c>
      <c r="F129" s="18" t="s">
        <v>255</v>
      </c>
      <c r="G129" s="17" t="s">
        <v>109</v>
      </c>
      <c r="H129" s="18"/>
      <c r="I129" s="18" t="s">
        <v>235</v>
      </c>
      <c r="J129" s="18" t="s">
        <v>235</v>
      </c>
      <c r="K129" s="18" t="s">
        <v>235</v>
      </c>
      <c r="L129" s="18" t="s">
        <v>456</v>
      </c>
    </row>
    <row r="130" spans="1:25" ht="23.25" customHeight="1" x14ac:dyDescent="0.2">
      <c r="A130" s="24">
        <v>37162</v>
      </c>
      <c r="B130" s="18" t="s">
        <v>110</v>
      </c>
      <c r="C130" s="18" t="s">
        <v>228</v>
      </c>
      <c r="D130" s="18" t="s">
        <v>313</v>
      </c>
      <c r="E130" s="18" t="s">
        <v>479</v>
      </c>
      <c r="F130" s="18" t="s">
        <v>260</v>
      </c>
      <c r="G130" s="17" t="s">
        <v>535</v>
      </c>
      <c r="H130" s="18"/>
      <c r="I130" s="18" t="s">
        <v>235</v>
      </c>
      <c r="J130" s="18" t="s">
        <v>234</v>
      </c>
      <c r="K130" s="18" t="s">
        <v>235</v>
      </c>
      <c r="L130" s="18" t="s">
        <v>456</v>
      </c>
    </row>
    <row r="131" spans="1:25" ht="24.75" customHeight="1" x14ac:dyDescent="0.2">
      <c r="A131" s="24">
        <v>37162</v>
      </c>
      <c r="B131" s="18" t="s">
        <v>492</v>
      </c>
      <c r="C131" s="18" t="s">
        <v>228</v>
      </c>
      <c r="D131" s="18" t="s">
        <v>229</v>
      </c>
      <c r="E131" s="18" t="s">
        <v>230</v>
      </c>
      <c r="F131" s="18" t="s">
        <v>231</v>
      </c>
      <c r="G131" s="17" t="s">
        <v>111</v>
      </c>
      <c r="H131" s="18"/>
      <c r="I131" s="18" t="s">
        <v>234</v>
      </c>
      <c r="J131" s="18" t="s">
        <v>234</v>
      </c>
      <c r="K131" s="18" t="s">
        <v>235</v>
      </c>
      <c r="L131" s="18" t="s">
        <v>456</v>
      </c>
    </row>
    <row r="132" spans="1:25" ht="25.5" x14ac:dyDescent="0.2">
      <c r="A132" s="24">
        <v>37161</v>
      </c>
      <c r="B132" s="18" t="s">
        <v>112</v>
      </c>
      <c r="C132" s="18"/>
      <c r="D132" s="18"/>
      <c r="E132" s="18"/>
      <c r="F132" s="18" t="s">
        <v>260</v>
      </c>
      <c r="G132" s="17" t="s">
        <v>113</v>
      </c>
      <c r="H132" s="18"/>
      <c r="I132" s="18" t="s">
        <v>235</v>
      </c>
      <c r="J132" s="18" t="s">
        <v>234</v>
      </c>
      <c r="K132" s="18" t="s">
        <v>235</v>
      </c>
      <c r="L132" s="18" t="s">
        <v>456</v>
      </c>
      <c r="M132" s="22"/>
      <c r="N132" s="22"/>
      <c r="O132" s="22"/>
      <c r="P132" s="22"/>
      <c r="Q132" s="22"/>
      <c r="R132" s="22"/>
      <c r="S132" s="22"/>
      <c r="T132" s="22"/>
      <c r="U132" s="22"/>
      <c r="V132" s="22"/>
      <c r="W132" s="22"/>
      <c r="X132" s="22"/>
      <c r="Y132" s="22"/>
    </row>
    <row r="133" spans="1:25" ht="51" x14ac:dyDescent="0.2">
      <c r="A133" s="24">
        <v>37160</v>
      </c>
      <c r="B133" s="17" t="s">
        <v>114</v>
      </c>
      <c r="C133" s="18" t="s">
        <v>238</v>
      </c>
      <c r="D133" s="18" t="s">
        <v>115</v>
      </c>
      <c r="E133" s="18" t="s">
        <v>240</v>
      </c>
      <c r="F133" s="18" t="s">
        <v>255</v>
      </c>
      <c r="G133" s="17" t="s">
        <v>116</v>
      </c>
      <c r="H133" s="18"/>
      <c r="I133" s="18" t="s">
        <v>234</v>
      </c>
      <c r="J133" s="18" t="s">
        <v>235</v>
      </c>
      <c r="K133" s="18" t="s">
        <v>234</v>
      </c>
      <c r="L133" s="18" t="s">
        <v>456</v>
      </c>
      <c r="M133" s="22"/>
      <c r="N133" s="22"/>
      <c r="O133" s="22"/>
      <c r="P133" s="22"/>
      <c r="Q133" s="22"/>
      <c r="R133" s="22"/>
      <c r="S133" s="22"/>
      <c r="T133" s="22"/>
      <c r="U133" s="22"/>
      <c r="V133" s="22"/>
      <c r="W133" s="22"/>
      <c r="X133" s="22"/>
      <c r="Y133" s="22"/>
    </row>
    <row r="134" spans="1:25" ht="38.25" x14ac:dyDescent="0.2">
      <c r="A134" s="24">
        <v>37160</v>
      </c>
      <c r="B134" s="18" t="s">
        <v>117</v>
      </c>
      <c r="C134" s="18" t="s">
        <v>238</v>
      </c>
      <c r="D134" s="18" t="s">
        <v>19</v>
      </c>
      <c r="E134" s="18" t="s">
        <v>299</v>
      </c>
      <c r="F134" s="18" t="s">
        <v>255</v>
      </c>
      <c r="G134" s="17" t="s">
        <v>118</v>
      </c>
      <c r="H134" s="18"/>
      <c r="I134" s="18" t="s">
        <v>235</v>
      </c>
      <c r="J134" s="18" t="s">
        <v>234</v>
      </c>
      <c r="K134" s="18" t="s">
        <v>234</v>
      </c>
      <c r="L134" s="18" t="s">
        <v>456</v>
      </c>
      <c r="M134" s="22"/>
      <c r="N134" s="22"/>
      <c r="O134" s="22"/>
      <c r="P134" s="22"/>
      <c r="Q134" s="22"/>
      <c r="R134" s="22"/>
      <c r="S134" s="22"/>
      <c r="T134" s="22"/>
      <c r="U134" s="22"/>
      <c r="V134" s="22"/>
      <c r="W134" s="22"/>
      <c r="X134" s="22"/>
      <c r="Y134" s="22"/>
    </row>
    <row r="135" spans="1:25" ht="55.5" customHeight="1" x14ac:dyDescent="0.2">
      <c r="A135" s="24">
        <v>37159</v>
      </c>
      <c r="B135" s="18" t="s">
        <v>4</v>
      </c>
      <c r="C135" s="18" t="s">
        <v>428</v>
      </c>
      <c r="D135" s="18" t="s">
        <v>5</v>
      </c>
      <c r="E135" s="18" t="s">
        <v>6</v>
      </c>
      <c r="F135" s="18" t="s">
        <v>260</v>
      </c>
      <c r="G135" s="17" t="s">
        <v>119</v>
      </c>
      <c r="H135" s="18"/>
      <c r="I135" s="18" t="s">
        <v>235</v>
      </c>
      <c r="J135" s="18" t="s">
        <v>234</v>
      </c>
      <c r="K135" s="18" t="s">
        <v>235</v>
      </c>
      <c r="L135" s="18" t="s">
        <v>456</v>
      </c>
      <c r="M135" s="22"/>
      <c r="N135" s="22"/>
      <c r="O135" s="22"/>
      <c r="P135" s="22"/>
      <c r="Q135" s="22"/>
      <c r="R135" s="22"/>
      <c r="S135" s="22"/>
      <c r="T135" s="22"/>
      <c r="U135" s="22"/>
      <c r="V135" s="22"/>
      <c r="W135" s="22"/>
      <c r="X135" s="22"/>
      <c r="Y135" s="22"/>
    </row>
    <row r="136" spans="1:25" ht="63.75" x14ac:dyDescent="0.2">
      <c r="A136" s="24">
        <v>37159</v>
      </c>
      <c r="B136" s="18" t="s">
        <v>418</v>
      </c>
      <c r="C136" s="18" t="s">
        <v>228</v>
      </c>
      <c r="D136" s="18" t="s">
        <v>229</v>
      </c>
      <c r="E136" s="18" t="s">
        <v>230</v>
      </c>
      <c r="F136" s="18" t="s">
        <v>231</v>
      </c>
      <c r="G136" s="17" t="s">
        <v>120</v>
      </c>
      <c r="H136" s="18"/>
      <c r="I136" s="18" t="s">
        <v>234</v>
      </c>
      <c r="J136" s="18" t="s">
        <v>234</v>
      </c>
      <c r="K136" s="18" t="s">
        <v>234</v>
      </c>
      <c r="L136" s="18" t="s">
        <v>456</v>
      </c>
      <c r="M136" s="22"/>
      <c r="N136" s="22"/>
      <c r="O136" s="22"/>
      <c r="P136" s="22"/>
      <c r="Q136" s="22"/>
      <c r="R136" s="22"/>
      <c r="S136" s="22"/>
      <c r="T136" s="22"/>
      <c r="U136" s="22"/>
      <c r="V136" s="22"/>
      <c r="W136" s="22"/>
      <c r="X136" s="22"/>
      <c r="Y136" s="22"/>
    </row>
    <row r="137" spans="1:25" ht="51" x14ac:dyDescent="0.2">
      <c r="A137" s="24">
        <v>37159</v>
      </c>
      <c r="B137" s="18" t="s">
        <v>121</v>
      </c>
      <c r="C137" s="18" t="s">
        <v>228</v>
      </c>
      <c r="D137" s="18" t="s">
        <v>229</v>
      </c>
      <c r="E137" s="18" t="s">
        <v>230</v>
      </c>
      <c r="F137" s="18" t="s">
        <v>231</v>
      </c>
      <c r="G137" s="17" t="s">
        <v>122</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ht="38.25" x14ac:dyDescent="0.2">
      <c r="A138" s="24">
        <v>37158</v>
      </c>
      <c r="B138" s="18" t="s">
        <v>123</v>
      </c>
      <c r="C138" s="18" t="s">
        <v>238</v>
      </c>
      <c r="D138" s="18" t="s">
        <v>124</v>
      </c>
      <c r="E138" s="18" t="s">
        <v>299</v>
      </c>
      <c r="F138" s="18" t="s">
        <v>255</v>
      </c>
      <c r="G138" s="17" t="s">
        <v>125</v>
      </c>
      <c r="H138" s="18"/>
      <c r="I138" s="18" t="s">
        <v>234</v>
      </c>
      <c r="J138" s="18" t="s">
        <v>234</v>
      </c>
      <c r="K138" s="18" t="s">
        <v>234</v>
      </c>
      <c r="L138" s="18" t="s">
        <v>456</v>
      </c>
      <c r="M138" s="22"/>
      <c r="N138" s="22"/>
      <c r="O138" s="22"/>
      <c r="P138" s="22"/>
      <c r="Q138" s="22"/>
      <c r="R138" s="22"/>
      <c r="S138" s="22"/>
      <c r="T138" s="22"/>
      <c r="U138" s="22"/>
      <c r="V138" s="22"/>
      <c r="W138" s="22"/>
      <c r="X138" s="22"/>
      <c r="Y138" s="22"/>
    </row>
    <row r="139" spans="1:25" ht="38.25" x14ac:dyDescent="0.2">
      <c r="A139" s="24">
        <v>37158</v>
      </c>
      <c r="B139" s="18" t="s">
        <v>418</v>
      </c>
      <c r="C139" s="18" t="s">
        <v>228</v>
      </c>
      <c r="D139" s="18" t="s">
        <v>418</v>
      </c>
      <c r="E139" s="18" t="s">
        <v>230</v>
      </c>
      <c r="F139" s="18" t="s">
        <v>438</v>
      </c>
      <c r="G139" s="17" t="s">
        <v>174</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63.75" x14ac:dyDescent="0.2">
      <c r="A140" s="24">
        <v>37158</v>
      </c>
      <c r="B140" s="18" t="s">
        <v>175</v>
      </c>
      <c r="C140" s="18" t="s">
        <v>228</v>
      </c>
      <c r="D140" s="18" t="s">
        <v>229</v>
      </c>
      <c r="E140" s="18" t="s">
        <v>230</v>
      </c>
      <c r="F140" s="18" t="s">
        <v>231</v>
      </c>
      <c r="G140" s="17" t="s">
        <v>176</v>
      </c>
      <c r="H140" s="18"/>
      <c r="I140" s="18" t="s">
        <v>235</v>
      </c>
      <c r="J140" s="18" t="s">
        <v>234</v>
      </c>
      <c r="K140" s="18" t="s">
        <v>235</v>
      </c>
      <c r="L140" s="18" t="s">
        <v>456</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423</v>
      </c>
      <c r="B187" s="1" t="s">
        <v>424</v>
      </c>
      <c r="C187" s="4" t="s">
        <v>425</v>
      </c>
      <c r="D187" s="33" t="s">
        <v>426</v>
      </c>
      <c r="E187" s="33" t="s">
        <v>427</v>
      </c>
    </row>
    <row r="188" spans="1:12" x14ac:dyDescent="0.2">
      <c r="A188" s="34" t="s">
        <v>428</v>
      </c>
      <c r="B188" s="35">
        <f t="shared" ref="B188:B196" si="3">C188/$C$197</f>
        <v>0.14285714285714285</v>
      </c>
      <c r="C188" s="5">
        <f>'summary 0924'!I24</f>
        <v>2</v>
      </c>
      <c r="D188" s="4">
        <f>33+1+1+1+1+1+8+1+1+1+2+1+2+1+1+1+2+3+8</f>
        <v>70</v>
      </c>
      <c r="E188" s="36">
        <f t="shared" ref="E188:E195" si="4">(C188/D188)*100</f>
        <v>2.8571428571428572</v>
      </c>
    </row>
    <row r="189" spans="1:12" x14ac:dyDescent="0.2">
      <c r="A189" s="34" t="s">
        <v>247</v>
      </c>
      <c r="B189" s="35">
        <f t="shared" si="3"/>
        <v>0</v>
      </c>
      <c r="C189" s="5">
        <f>'summary 0924'!I25</f>
        <v>0</v>
      </c>
      <c r="D189" s="4">
        <f>540+17+1+1+6+10+1+2+12+2+1+1+1+3+4+3+1+1+1+8+2+1+1+6+1+1+2+1+2+1+4+1+1+1+12+4+57+16</f>
        <v>730</v>
      </c>
      <c r="E189" s="36">
        <f t="shared" si="4"/>
        <v>0</v>
      </c>
    </row>
    <row r="190" spans="1:12" x14ac:dyDescent="0.2">
      <c r="A190" s="34" t="s">
        <v>228</v>
      </c>
      <c r="B190" s="35">
        <f t="shared" si="3"/>
        <v>0.5714285714285714</v>
      </c>
      <c r="C190" s="5">
        <f>'summary 0924'!I26</f>
        <v>8</v>
      </c>
      <c r="D190" s="4">
        <f>13+1+1+1+16+10</f>
        <v>42</v>
      </c>
      <c r="E190" s="36">
        <f t="shared" si="4"/>
        <v>19.047619047619047</v>
      </c>
    </row>
    <row r="191" spans="1:12" x14ac:dyDescent="0.2">
      <c r="A191" s="34" t="s">
        <v>429</v>
      </c>
      <c r="B191" s="35">
        <f t="shared" si="3"/>
        <v>0</v>
      </c>
      <c r="C191" s="5">
        <f>'summary 0924'!I27</f>
        <v>0</v>
      </c>
      <c r="D191" s="4">
        <f>36+1+1+2</f>
        <v>40</v>
      </c>
      <c r="E191" s="36">
        <f t="shared" si="4"/>
        <v>0</v>
      </c>
    </row>
    <row r="192" spans="1:12" x14ac:dyDescent="0.2">
      <c r="A192" s="34" t="s">
        <v>430</v>
      </c>
      <c r="B192" s="35">
        <f t="shared" si="3"/>
        <v>0.14285714285714285</v>
      </c>
      <c r="C192" s="5">
        <f>'summary 0924'!I28</f>
        <v>2</v>
      </c>
      <c r="D192" s="4">
        <f>288+2+13+2+5+56+59+14+2+3+3+1+4+14</f>
        <v>466</v>
      </c>
      <c r="E192" s="36">
        <f t="shared" si="4"/>
        <v>0.42918454935622319</v>
      </c>
    </row>
    <row r="193" spans="1:5" x14ac:dyDescent="0.2">
      <c r="A193" s="34" t="s">
        <v>431</v>
      </c>
      <c r="B193" s="35">
        <f t="shared" si="3"/>
        <v>7.1428571428571425E-2</v>
      </c>
      <c r="C193" s="5">
        <f>'summary 0924'!I29</f>
        <v>1</v>
      </c>
      <c r="D193" s="4">
        <f>132+2+1+2+7+3+4+2+7+1+3+4+5</f>
        <v>173</v>
      </c>
      <c r="E193" s="36">
        <f t="shared" si="4"/>
        <v>0.57803468208092479</v>
      </c>
    </row>
    <row r="194" spans="1:5" x14ac:dyDescent="0.2">
      <c r="A194" s="34" t="s">
        <v>291</v>
      </c>
      <c r="B194" s="35">
        <f t="shared" si="3"/>
        <v>0</v>
      </c>
      <c r="C194" s="5">
        <f>'summary 0924'!I30</f>
        <v>0</v>
      </c>
      <c r="D194" s="4">
        <v>9</v>
      </c>
      <c r="E194" s="36">
        <f t="shared" si="4"/>
        <v>0</v>
      </c>
    </row>
    <row r="195" spans="1:5" x14ac:dyDescent="0.2">
      <c r="A195" s="34" t="s">
        <v>393</v>
      </c>
      <c r="B195" s="35">
        <f t="shared" si="3"/>
        <v>0</v>
      </c>
      <c r="C195" s="5">
        <f>'summary 0924'!I31</f>
        <v>0</v>
      </c>
      <c r="D195" s="4">
        <f>10+5+2</f>
        <v>17</v>
      </c>
      <c r="E195" s="36">
        <f t="shared" si="4"/>
        <v>0</v>
      </c>
    </row>
    <row r="196" spans="1:5" x14ac:dyDescent="0.2">
      <c r="A196" s="37" t="s">
        <v>432</v>
      </c>
      <c r="B196" s="35">
        <f t="shared" si="3"/>
        <v>7.1428571428571425E-2</v>
      </c>
      <c r="C196" s="5">
        <f>'summary 0924'!I32</f>
        <v>1</v>
      </c>
    </row>
    <row r="197" spans="1:5" x14ac:dyDescent="0.2">
      <c r="A197" s="37" t="s">
        <v>433</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v>2</v>
      </c>
    </row>
    <row r="11" spans="1:11" x14ac:dyDescent="0.2">
      <c r="A11" s="6" t="s">
        <v>438</v>
      </c>
      <c r="B11" s="7"/>
      <c r="C11" s="7" t="s">
        <v>200</v>
      </c>
      <c r="D11" s="7"/>
      <c r="E11" s="7"/>
      <c r="F11" s="7"/>
      <c r="G11" s="7"/>
      <c r="H11" s="7"/>
      <c r="I11" s="7"/>
      <c r="J11" s="7"/>
      <c r="K11" s="7">
        <v>1</v>
      </c>
    </row>
    <row r="12" spans="1:11" x14ac:dyDescent="0.2">
      <c r="A12" s="6" t="s">
        <v>255</v>
      </c>
      <c r="B12" s="7"/>
      <c r="C12" s="7" t="s">
        <v>201</v>
      </c>
      <c r="D12" s="7"/>
      <c r="E12" s="7"/>
      <c r="F12" s="7"/>
      <c r="G12" s="7"/>
      <c r="H12" s="7"/>
      <c r="I12" s="7"/>
      <c r="J12" s="7"/>
      <c r="K12" s="7">
        <f>1+3</f>
        <v>4</v>
      </c>
    </row>
    <row r="13" spans="1:11" x14ac:dyDescent="0.2">
      <c r="A13" s="6" t="s">
        <v>231</v>
      </c>
      <c r="B13" s="7"/>
      <c r="C13" s="7" t="s">
        <v>439</v>
      </c>
      <c r="D13" s="7"/>
      <c r="E13" s="7"/>
      <c r="F13" s="7"/>
      <c r="G13" s="7"/>
      <c r="H13" s="7"/>
      <c r="I13" s="7"/>
      <c r="J13" s="7"/>
      <c r="K13" s="7">
        <v>4</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v>3</v>
      </c>
    </row>
    <row r="18" spans="1:11" x14ac:dyDescent="0.2">
      <c r="A18" s="6" t="s">
        <v>266</v>
      </c>
      <c r="B18" s="7"/>
      <c r="C18" s="7" t="s">
        <v>207</v>
      </c>
      <c r="D18" s="7"/>
      <c r="E18" s="7"/>
      <c r="F18" s="7"/>
      <c r="G18" s="7"/>
      <c r="H18" s="7"/>
      <c r="I18" s="7"/>
      <c r="J18" s="7"/>
      <c r="K18" s="47"/>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f>1+1</f>
        <v>2</v>
      </c>
      <c r="J24" s="31"/>
      <c r="K24" s="31"/>
    </row>
    <row r="25" spans="1:11" x14ac:dyDescent="0.2">
      <c r="A25" s="29" t="s">
        <v>247</v>
      </c>
      <c r="B25" s="17"/>
      <c r="C25" s="17"/>
      <c r="D25" s="32"/>
      <c r="E25" s="31"/>
      <c r="F25" s="32"/>
      <c r="G25" s="32"/>
      <c r="H25" s="31"/>
      <c r="I25" s="6"/>
      <c r="J25" s="31"/>
      <c r="K25" s="49"/>
    </row>
    <row r="26" spans="1:11" x14ac:dyDescent="0.2">
      <c r="A26" s="29" t="s">
        <v>228</v>
      </c>
      <c r="B26" s="17"/>
      <c r="C26" s="17"/>
      <c r="D26" s="32"/>
      <c r="E26" s="31"/>
      <c r="F26" s="32"/>
      <c r="G26" s="32"/>
      <c r="H26" s="31"/>
      <c r="I26" s="6">
        <v>8</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1+1</f>
        <v>2</v>
      </c>
      <c r="J28" s="31"/>
      <c r="K28" s="31"/>
    </row>
    <row r="29" spans="1:11" x14ac:dyDescent="0.2">
      <c r="A29" s="29" t="s">
        <v>431</v>
      </c>
      <c r="B29" s="17"/>
      <c r="C29" s="17"/>
      <c r="D29" s="32"/>
      <c r="E29" s="31"/>
      <c r="F29" s="32"/>
      <c r="G29" s="32"/>
      <c r="H29" s="31"/>
      <c r="I29" s="6">
        <f>1</f>
        <v>1</v>
      </c>
      <c r="J29" s="31"/>
      <c r="K29" s="32"/>
    </row>
    <row r="30" spans="1:11" x14ac:dyDescent="0.2">
      <c r="A30" s="29" t="s">
        <v>291</v>
      </c>
      <c r="B30" s="17"/>
      <c r="C30" s="17"/>
      <c r="D30" s="32"/>
      <c r="E30" s="31"/>
      <c r="F30" s="32"/>
      <c r="G30" s="32"/>
      <c r="H30" s="31"/>
      <c r="I30" s="6"/>
      <c r="J30" s="31"/>
      <c r="K30" s="31"/>
    </row>
    <row r="31" spans="1:11" x14ac:dyDescent="0.2">
      <c r="A31" s="29" t="s">
        <v>393</v>
      </c>
      <c r="B31" s="17"/>
      <c r="C31" s="17"/>
      <c r="D31" s="32"/>
      <c r="E31" s="31"/>
      <c r="F31" s="32"/>
      <c r="G31" s="32"/>
      <c r="H31" s="31"/>
      <c r="I31" s="6"/>
      <c r="J31" s="31"/>
      <c r="K31" s="31"/>
    </row>
    <row r="32" spans="1:11" ht="13.5" thickBot="1" x14ac:dyDescent="0.25">
      <c r="A32" s="50" t="s">
        <v>444</v>
      </c>
      <c r="I32" s="5">
        <v>1</v>
      </c>
      <c r="K32" s="51"/>
    </row>
    <row r="33" spans="1:11" ht="13.5" thickTop="1" x14ac:dyDescent="0.2">
      <c r="A33" s="52" t="s">
        <v>435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row>
    <row r="2" spans="1:31" x14ac:dyDescent="0.2">
      <c r="A2" s="2" t="s">
        <v>199</v>
      </c>
      <c r="B2" s="3"/>
      <c r="H2" s="4">
        <f>1+1</f>
        <v>2</v>
      </c>
      <c r="J2" s="4">
        <f>1</f>
        <v>1</v>
      </c>
      <c r="K2" s="3"/>
      <c r="L2" s="5"/>
      <c r="M2" s="3"/>
      <c r="N2" s="3"/>
      <c r="P2" s="4">
        <v>1</v>
      </c>
      <c r="AC2" s="4">
        <f>'summary 0910'!K10</f>
        <v>1</v>
      </c>
      <c r="AD2" s="4">
        <f>'summary 0917'!K10</f>
        <v>2</v>
      </c>
    </row>
    <row r="3" spans="1:31" x14ac:dyDescent="0.2">
      <c r="A3" s="2" t="s">
        <v>200</v>
      </c>
      <c r="B3" s="5"/>
      <c r="K3" s="5"/>
      <c r="L3" s="5"/>
      <c r="M3" s="5"/>
      <c r="N3" s="6">
        <v>1</v>
      </c>
      <c r="P3" s="4">
        <v>1</v>
      </c>
      <c r="R3" s="4">
        <f>'[7]summary 0625'!K11</f>
        <v>2</v>
      </c>
      <c r="T3" s="4">
        <f>'[7]summary 0709'!K10</f>
        <v>1</v>
      </c>
    </row>
    <row r="4" spans="1:31"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row>
    <row r="5" spans="1:31"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row>
    <row r="6" spans="1:31"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1"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1"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1"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row>
    <row r="10" spans="1:31"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1"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428</v>
      </c>
      <c r="Y15" s="4">
        <f>[8]Aug!$U$24+[8]Aug!$U$9</f>
        <v>3</v>
      </c>
      <c r="Z15" s="4">
        <f>[8]Aug!$AB$27</f>
        <v>1</v>
      </c>
      <c r="AB15" s="4">
        <f>3</f>
        <v>3</v>
      </c>
      <c r="AC15" s="4">
        <f>2</f>
        <v>2</v>
      </c>
      <c r="AD15" s="4">
        <v>3</v>
      </c>
      <c r="AE15" s="4" t="s">
        <v>428</v>
      </c>
    </row>
    <row r="16" spans="1:31" x14ac:dyDescent="0.2">
      <c r="A16" s="4" t="s">
        <v>247</v>
      </c>
      <c r="X16" s="4">
        <f>[8]Aug!$N$22+[8]Aug!$N$20+[8]Aug!$N$7+[8]Aug!$N$8</f>
        <v>14</v>
      </c>
      <c r="Y16" s="4">
        <f>[8]Aug!$U$20+[8]Aug!$U$22+[8]Aug!$U$16</f>
        <v>3</v>
      </c>
      <c r="Z16" s="4">
        <f>[8]Aug!$AB$22+[8]Aug!$AB$7+[8]Aug!$AB$8</f>
        <v>8</v>
      </c>
      <c r="AA16" s="4">
        <f>[8]Aug!$AI$16+1</f>
        <v>2</v>
      </c>
      <c r="AB16" s="4">
        <f>1+1+5+2</f>
        <v>9</v>
      </c>
      <c r="AC16" s="4">
        <f>1+4+12</f>
        <v>17</v>
      </c>
      <c r="AD16" s="4">
        <v>57</v>
      </c>
      <c r="AE16" s="4" t="s">
        <v>247</v>
      </c>
    </row>
    <row r="17" spans="1:31" x14ac:dyDescent="0.2">
      <c r="A17" s="4" t="s">
        <v>393</v>
      </c>
      <c r="AE17" s="4" t="s">
        <v>393</v>
      </c>
    </row>
    <row r="18" spans="1:31" x14ac:dyDescent="0.2">
      <c r="A18" s="4" t="s">
        <v>228</v>
      </c>
      <c r="AE18" s="4" t="s">
        <v>228</v>
      </c>
    </row>
    <row r="19" spans="1:31" x14ac:dyDescent="0.2">
      <c r="A19" s="4" t="s">
        <v>291</v>
      </c>
      <c r="AE19" s="4" t="s">
        <v>291</v>
      </c>
    </row>
    <row r="20" spans="1:31" x14ac:dyDescent="0.2">
      <c r="A20" s="4" t="s">
        <v>510</v>
      </c>
      <c r="X20" s="4">
        <f>[8]Aug!$N$21+[8]Aug!$N$15</f>
        <v>6</v>
      </c>
      <c r="Y20" s="4">
        <f>[8]Aug!$U$26+[8]Aug!$U$21</f>
        <v>7</v>
      </c>
      <c r="Z20" s="4">
        <f>[8]Aug!$AB$26+[8]Aug!$AB$21</f>
        <v>3</v>
      </c>
      <c r="AA20" s="4">
        <f>[8]Aug!$AI$26+[8]Aug!$AI$21</f>
        <v>11</v>
      </c>
      <c r="AB20" s="4">
        <f>1</f>
        <v>1</v>
      </c>
      <c r="AC20" s="4">
        <f>14+3</f>
        <v>17</v>
      </c>
      <c r="AD20" s="4">
        <v>6</v>
      </c>
      <c r="AE20" s="4" t="s">
        <v>510</v>
      </c>
    </row>
    <row r="22" spans="1:31" x14ac:dyDescent="0.2">
      <c r="A22" s="4" t="s">
        <v>507</v>
      </c>
      <c r="X22" s="4">
        <f t="shared" ref="X22:AD22" si="2">SUM(X15:X20)</f>
        <v>20</v>
      </c>
      <c r="Y22" s="4">
        <f t="shared" si="2"/>
        <v>13</v>
      </c>
      <c r="Z22" s="4">
        <f t="shared" si="2"/>
        <v>12</v>
      </c>
      <c r="AA22" s="4">
        <f t="shared" si="2"/>
        <v>13</v>
      </c>
      <c r="AB22" s="4">
        <f t="shared" si="2"/>
        <v>13</v>
      </c>
      <c r="AC22" s="4">
        <f t="shared" si="2"/>
        <v>36</v>
      </c>
      <c r="AD22" s="4">
        <f t="shared" si="2"/>
        <v>66</v>
      </c>
      <c r="AE22" s="4" t="s">
        <v>511</v>
      </c>
    </row>
    <row r="24" spans="1:31" x14ac:dyDescent="0.2">
      <c r="A24" s="4" t="s">
        <v>508</v>
      </c>
      <c r="AE24" s="4" t="s">
        <v>508</v>
      </c>
    </row>
    <row r="111" spans="1:12" x14ac:dyDescent="0.2">
      <c r="A111" s="10" t="s">
        <v>505</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25.5" x14ac:dyDescent="0.2">
      <c r="A127" s="24">
        <v>37155</v>
      </c>
      <c r="B127" s="18" t="s">
        <v>478</v>
      </c>
      <c r="C127" s="18" t="s">
        <v>228</v>
      </c>
      <c r="D127" s="18" t="s">
        <v>313</v>
      </c>
      <c r="E127" s="18" t="s">
        <v>479</v>
      </c>
      <c r="F127" s="18" t="s">
        <v>260</v>
      </c>
      <c r="G127" s="17" t="s">
        <v>480</v>
      </c>
      <c r="H127" s="17"/>
      <c r="I127" s="18" t="s">
        <v>235</v>
      </c>
      <c r="J127" s="18" t="s">
        <v>234</v>
      </c>
      <c r="K127" s="18" t="s">
        <v>235</v>
      </c>
      <c r="L127" s="18" t="s">
        <v>456</v>
      </c>
    </row>
    <row r="128" spans="1:12" ht="63.75" x14ac:dyDescent="0.2">
      <c r="A128" s="24">
        <v>37155</v>
      </c>
      <c r="B128" s="18" t="s">
        <v>29</v>
      </c>
      <c r="C128" s="18" t="s">
        <v>228</v>
      </c>
      <c r="D128" s="18" t="s">
        <v>229</v>
      </c>
      <c r="E128" s="18" t="s">
        <v>230</v>
      </c>
      <c r="F128" s="18" t="s">
        <v>231</v>
      </c>
      <c r="G128" s="17" t="s">
        <v>30</v>
      </c>
      <c r="H128" s="18"/>
      <c r="I128" s="18" t="s">
        <v>234</v>
      </c>
      <c r="J128" s="18" t="s">
        <v>234</v>
      </c>
      <c r="K128" s="18" t="s">
        <v>235</v>
      </c>
      <c r="L128" s="18" t="s">
        <v>456</v>
      </c>
    </row>
    <row r="129" spans="1:25" ht="38.25" x14ac:dyDescent="0.2">
      <c r="A129" s="24">
        <v>37155</v>
      </c>
      <c r="B129" s="18" t="s">
        <v>31</v>
      </c>
      <c r="C129" s="18" t="s">
        <v>228</v>
      </c>
      <c r="D129" s="18" t="s">
        <v>229</v>
      </c>
      <c r="E129" s="18" t="s">
        <v>230</v>
      </c>
      <c r="F129" s="18" t="s">
        <v>231</v>
      </c>
      <c r="G129" s="17" t="s">
        <v>32</v>
      </c>
      <c r="H129" s="18"/>
      <c r="I129" s="18" t="s">
        <v>234</v>
      </c>
      <c r="J129" s="18" t="s">
        <v>234</v>
      </c>
      <c r="K129" s="18" t="s">
        <v>235</v>
      </c>
      <c r="L129" s="18" t="s">
        <v>456</v>
      </c>
    </row>
    <row r="130" spans="1:25" ht="210" customHeight="1" x14ac:dyDescent="0.2">
      <c r="A130" s="24">
        <v>37155</v>
      </c>
      <c r="B130" s="17" t="s">
        <v>33</v>
      </c>
      <c r="C130" s="18" t="s">
        <v>247</v>
      </c>
      <c r="D130" s="18" t="s">
        <v>248</v>
      </c>
      <c r="E130" s="18" t="s">
        <v>34</v>
      </c>
      <c r="F130" s="18" t="s">
        <v>255</v>
      </c>
      <c r="G130" s="17" t="s">
        <v>529</v>
      </c>
      <c r="H130" s="18"/>
      <c r="I130" s="18" t="s">
        <v>234</v>
      </c>
      <c r="J130" s="18" t="s">
        <v>234</v>
      </c>
      <c r="K130" s="18" t="s">
        <v>234</v>
      </c>
      <c r="L130" s="18" t="s">
        <v>456</v>
      </c>
    </row>
    <row r="131" spans="1:25" ht="24.75" customHeight="1" x14ac:dyDescent="0.2">
      <c r="A131" s="24">
        <v>37154</v>
      </c>
      <c r="B131" s="18" t="s">
        <v>35</v>
      </c>
      <c r="C131" s="18" t="s">
        <v>228</v>
      </c>
      <c r="D131" s="18" t="s">
        <v>311</v>
      </c>
      <c r="E131" s="18" t="s">
        <v>230</v>
      </c>
      <c r="F131" s="18" t="s">
        <v>266</v>
      </c>
      <c r="G131" s="17" t="s">
        <v>36</v>
      </c>
      <c r="H131" s="18"/>
      <c r="I131" s="18" t="s">
        <v>234</v>
      </c>
      <c r="J131" s="18" t="s">
        <v>234</v>
      </c>
      <c r="K131" s="18" t="s">
        <v>235</v>
      </c>
      <c r="L131" s="18" t="s">
        <v>456</v>
      </c>
    </row>
    <row r="132" spans="1:25" ht="38.25" x14ac:dyDescent="0.2">
      <c r="A132" s="24">
        <v>37154</v>
      </c>
      <c r="B132" s="18" t="s">
        <v>295</v>
      </c>
      <c r="C132" s="18" t="s">
        <v>228</v>
      </c>
      <c r="D132" s="18" t="s">
        <v>295</v>
      </c>
      <c r="E132" s="18" t="s">
        <v>230</v>
      </c>
      <c r="F132" s="18" t="s">
        <v>375</v>
      </c>
      <c r="G132" s="17" t="s">
        <v>87</v>
      </c>
      <c r="H132" s="18"/>
      <c r="I132" s="18" t="s">
        <v>234</v>
      </c>
      <c r="J132" s="18" t="s">
        <v>234</v>
      </c>
      <c r="K132" s="18" t="s">
        <v>235</v>
      </c>
      <c r="L132" s="18" t="s">
        <v>456</v>
      </c>
      <c r="M132" s="22"/>
      <c r="N132" s="22"/>
      <c r="O132" s="22"/>
      <c r="P132" s="22"/>
      <c r="Q132" s="22"/>
      <c r="R132" s="22"/>
      <c r="S132" s="22"/>
      <c r="T132" s="22"/>
      <c r="U132" s="22"/>
      <c r="V132" s="22"/>
      <c r="W132" s="22"/>
      <c r="X132" s="22"/>
      <c r="Y132" s="22"/>
    </row>
    <row r="133" spans="1:25" ht="51" x14ac:dyDescent="0.2">
      <c r="A133" s="24">
        <v>37154</v>
      </c>
      <c r="B133" s="17" t="s">
        <v>88</v>
      </c>
      <c r="C133" s="18" t="s">
        <v>228</v>
      </c>
      <c r="D133" s="18" t="s">
        <v>229</v>
      </c>
      <c r="E133" s="18" t="s">
        <v>230</v>
      </c>
      <c r="F133" s="18" t="s">
        <v>231</v>
      </c>
      <c r="G133" s="17" t="s">
        <v>89</v>
      </c>
      <c r="H133" s="18"/>
      <c r="I133" s="18" t="s">
        <v>234</v>
      </c>
      <c r="J133" s="18" t="s">
        <v>234</v>
      </c>
      <c r="K133" s="18" t="s">
        <v>235</v>
      </c>
      <c r="L133" s="18" t="s">
        <v>456</v>
      </c>
      <c r="M133" s="22"/>
      <c r="N133" s="22"/>
      <c r="O133" s="22"/>
      <c r="P133" s="22"/>
      <c r="Q133" s="22"/>
      <c r="R133" s="22"/>
      <c r="S133" s="22"/>
      <c r="T133" s="22"/>
      <c r="U133" s="22"/>
      <c r="V133" s="22"/>
      <c r="W133" s="22"/>
      <c r="X133" s="22"/>
      <c r="Y133" s="22"/>
    </row>
    <row r="134" spans="1:25" ht="51" x14ac:dyDescent="0.2">
      <c r="A134" s="24">
        <v>37153</v>
      </c>
      <c r="B134" s="18" t="s">
        <v>90</v>
      </c>
      <c r="C134" s="18" t="s">
        <v>228</v>
      </c>
      <c r="D134" s="18" t="s">
        <v>229</v>
      </c>
      <c r="E134" s="18" t="s">
        <v>230</v>
      </c>
      <c r="F134" s="18" t="s">
        <v>231</v>
      </c>
      <c r="G134" s="17" t="s">
        <v>91</v>
      </c>
      <c r="H134" s="18"/>
      <c r="I134" s="18" t="s">
        <v>234</v>
      </c>
      <c r="J134" s="18" t="s">
        <v>234</v>
      </c>
      <c r="K134" s="18" t="s">
        <v>235</v>
      </c>
      <c r="L134" s="18" t="s">
        <v>456</v>
      </c>
      <c r="M134" s="22"/>
      <c r="N134" s="22"/>
      <c r="O134" s="22"/>
      <c r="P134" s="22"/>
      <c r="Q134" s="22"/>
      <c r="R134" s="22"/>
      <c r="S134" s="22"/>
      <c r="T134" s="22"/>
      <c r="U134" s="22"/>
      <c r="V134" s="22"/>
      <c r="W134" s="22"/>
      <c r="X134" s="22"/>
      <c r="Y134" s="22"/>
    </row>
    <row r="135" spans="1:25" ht="55.5" customHeight="1" x14ac:dyDescent="0.2">
      <c r="A135" s="24">
        <v>37153</v>
      </c>
      <c r="B135" s="18" t="s">
        <v>418</v>
      </c>
      <c r="C135" s="18" t="s">
        <v>228</v>
      </c>
      <c r="D135" s="18" t="s">
        <v>418</v>
      </c>
      <c r="E135" s="18" t="s">
        <v>230</v>
      </c>
      <c r="F135" s="18" t="s">
        <v>231</v>
      </c>
      <c r="G135" s="17" t="s">
        <v>92</v>
      </c>
      <c r="H135" s="18"/>
      <c r="I135" s="18" t="s">
        <v>234</v>
      </c>
      <c r="J135" s="18" t="s">
        <v>234</v>
      </c>
      <c r="K135" s="18" t="s">
        <v>235</v>
      </c>
      <c r="L135" s="18" t="s">
        <v>456</v>
      </c>
      <c r="M135" s="22"/>
      <c r="N135" s="22"/>
      <c r="O135" s="22"/>
      <c r="P135" s="22"/>
      <c r="Q135" s="22"/>
      <c r="R135" s="22"/>
      <c r="S135" s="22"/>
      <c r="T135" s="22"/>
      <c r="U135" s="22"/>
      <c r="V135" s="22"/>
      <c r="W135" s="22"/>
      <c r="X135" s="22"/>
      <c r="Y135" s="22"/>
    </row>
    <row r="136" spans="1:25" ht="63.75" x14ac:dyDescent="0.2">
      <c r="A136" s="24">
        <v>37152</v>
      </c>
      <c r="B136" s="18" t="s">
        <v>93</v>
      </c>
      <c r="C136" s="18" t="s">
        <v>238</v>
      </c>
      <c r="D136" s="18" t="s">
        <v>94</v>
      </c>
      <c r="E136" s="18" t="s">
        <v>240</v>
      </c>
      <c r="F136" s="18" t="s">
        <v>255</v>
      </c>
      <c r="G136" s="17" t="s">
        <v>95</v>
      </c>
      <c r="H136" s="18"/>
      <c r="I136" s="18" t="s">
        <v>235</v>
      </c>
      <c r="J136" s="18" t="s">
        <v>235</v>
      </c>
      <c r="K136" s="18" t="s">
        <v>234</v>
      </c>
      <c r="L136" s="18" t="s">
        <v>456</v>
      </c>
      <c r="M136" s="22"/>
      <c r="N136" s="22"/>
      <c r="O136" s="22"/>
      <c r="P136" s="22"/>
      <c r="Q136" s="22"/>
      <c r="R136" s="22"/>
      <c r="S136" s="22"/>
      <c r="T136" s="22"/>
      <c r="U136" s="22"/>
      <c r="V136" s="22"/>
      <c r="W136" s="22"/>
      <c r="X136" s="22"/>
      <c r="Y136" s="22"/>
    </row>
    <row r="137" spans="1:25" x14ac:dyDescent="0.2">
      <c r="A137" s="24">
        <v>37152</v>
      </c>
      <c r="B137" s="18" t="s">
        <v>96</v>
      </c>
      <c r="C137" s="18" t="s">
        <v>247</v>
      </c>
      <c r="D137" s="18" t="s">
        <v>248</v>
      </c>
      <c r="E137" s="18" t="s">
        <v>249</v>
      </c>
      <c r="F137" s="18" t="s">
        <v>255</v>
      </c>
      <c r="G137" s="17" t="s">
        <v>97</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x14ac:dyDescent="0.2">
      <c r="A138" s="24">
        <v>37152</v>
      </c>
      <c r="B138" s="18" t="s">
        <v>98</v>
      </c>
      <c r="C138" s="18" t="s">
        <v>247</v>
      </c>
      <c r="D138" s="18" t="s">
        <v>99</v>
      </c>
      <c r="E138" s="18"/>
      <c r="F138" s="18" t="s">
        <v>255</v>
      </c>
      <c r="G138" s="17" t="s">
        <v>100</v>
      </c>
      <c r="H138" s="18"/>
      <c r="I138" s="18" t="s">
        <v>234</v>
      </c>
      <c r="J138" s="18" t="s">
        <v>234</v>
      </c>
      <c r="K138" s="18" t="s">
        <v>234</v>
      </c>
      <c r="L138" s="18" t="s">
        <v>456</v>
      </c>
      <c r="M138" s="22"/>
      <c r="N138" s="22"/>
      <c r="O138" s="22"/>
      <c r="P138" s="22"/>
      <c r="Q138" s="22"/>
      <c r="R138" s="22"/>
      <c r="S138" s="22"/>
      <c r="T138" s="22"/>
      <c r="U138" s="22"/>
      <c r="V138" s="22"/>
      <c r="W138" s="22"/>
      <c r="X138" s="22"/>
      <c r="Y138" s="22"/>
    </row>
    <row r="139" spans="1:25" ht="25.5" x14ac:dyDescent="0.2">
      <c r="A139" s="24">
        <v>37152</v>
      </c>
      <c r="B139" s="17" t="s">
        <v>101</v>
      </c>
      <c r="C139" s="18" t="s">
        <v>247</v>
      </c>
      <c r="D139" s="18"/>
      <c r="E139" s="18" t="s">
        <v>249</v>
      </c>
      <c r="F139" s="18" t="s">
        <v>375</v>
      </c>
      <c r="G139" s="17" t="s">
        <v>102</v>
      </c>
      <c r="H139" s="18"/>
      <c r="I139" s="18" t="s">
        <v>235</v>
      </c>
      <c r="J139" s="18" t="s">
        <v>234</v>
      </c>
      <c r="K139" s="18" t="s">
        <v>235</v>
      </c>
      <c r="L139" s="18" t="s">
        <v>456</v>
      </c>
      <c r="M139" s="22"/>
      <c r="N139" s="22"/>
      <c r="O139" s="22"/>
      <c r="P139" s="22"/>
      <c r="Q139" s="22"/>
      <c r="R139" s="22"/>
      <c r="S139" s="22"/>
      <c r="T139" s="22"/>
      <c r="U139" s="22"/>
      <c r="V139" s="22"/>
      <c r="W139" s="22"/>
      <c r="X139" s="22"/>
      <c r="Y139" s="22"/>
    </row>
    <row r="140" spans="1:25" ht="25.5" x14ac:dyDescent="0.2">
      <c r="A140" s="24">
        <v>37151</v>
      </c>
      <c r="B140" s="18" t="s">
        <v>518</v>
      </c>
      <c r="C140" s="18" t="s">
        <v>247</v>
      </c>
      <c r="D140" s="18" t="s">
        <v>248</v>
      </c>
      <c r="E140" s="18" t="s">
        <v>249</v>
      </c>
      <c r="F140" s="18" t="s">
        <v>255</v>
      </c>
      <c r="G140" s="17" t="s">
        <v>544</v>
      </c>
      <c r="H140" s="18"/>
      <c r="I140" s="18" t="s">
        <v>234</v>
      </c>
      <c r="J140" s="18" t="s">
        <v>234</v>
      </c>
      <c r="K140" s="18" t="s">
        <v>235</v>
      </c>
      <c r="L140" s="18" t="s">
        <v>456</v>
      </c>
      <c r="M140" s="22"/>
      <c r="N140" s="22"/>
      <c r="O140" s="22"/>
      <c r="P140" s="22"/>
      <c r="Q140" s="22"/>
      <c r="R140" s="22"/>
      <c r="S140" s="22"/>
      <c r="T140" s="22"/>
      <c r="U140" s="22"/>
      <c r="V140" s="22"/>
      <c r="W140" s="22"/>
      <c r="X140" s="22"/>
      <c r="Y140" s="22"/>
    </row>
    <row r="141" spans="1:25" ht="25.5" x14ac:dyDescent="0.2">
      <c r="A141" s="24">
        <v>37151</v>
      </c>
      <c r="B141" s="18" t="s">
        <v>486</v>
      </c>
      <c r="C141" s="18" t="s">
        <v>228</v>
      </c>
      <c r="D141" s="18"/>
      <c r="E141" s="18" t="s">
        <v>230</v>
      </c>
      <c r="F141" s="18" t="s">
        <v>255</v>
      </c>
      <c r="G141" s="17" t="s">
        <v>103</v>
      </c>
      <c r="H141" s="18"/>
      <c r="I141" s="18" t="s">
        <v>235</v>
      </c>
      <c r="J141" s="18" t="s">
        <v>234</v>
      </c>
      <c r="K141" s="18" t="s">
        <v>235</v>
      </c>
      <c r="L141" s="18" t="s">
        <v>456</v>
      </c>
      <c r="M141" s="22"/>
      <c r="N141" s="22"/>
      <c r="O141" s="22"/>
      <c r="P141" s="22"/>
      <c r="Q141" s="22"/>
      <c r="R141" s="22"/>
      <c r="S141" s="22"/>
      <c r="T141" s="22"/>
      <c r="U141" s="22"/>
      <c r="V141" s="22"/>
      <c r="W141" s="22"/>
      <c r="X141" s="22"/>
      <c r="Y141" s="22"/>
    </row>
    <row r="142" spans="1:25" ht="38.25" x14ac:dyDescent="0.2">
      <c r="A142" s="24">
        <v>37151</v>
      </c>
      <c r="B142" s="18" t="s">
        <v>418</v>
      </c>
      <c r="C142" s="18" t="s">
        <v>228</v>
      </c>
      <c r="D142" s="18" t="s">
        <v>418</v>
      </c>
      <c r="E142" s="18" t="s">
        <v>230</v>
      </c>
      <c r="F142" s="18" t="s">
        <v>231</v>
      </c>
      <c r="G142" s="17" t="s">
        <v>104</v>
      </c>
      <c r="H142" s="18"/>
      <c r="I142" s="18" t="s">
        <v>234</v>
      </c>
      <c r="J142" s="18" t="s">
        <v>234</v>
      </c>
      <c r="K142" s="18" t="s">
        <v>235</v>
      </c>
      <c r="L142" s="18" t="s">
        <v>456</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423</v>
      </c>
      <c r="B187" s="1" t="s">
        <v>424</v>
      </c>
      <c r="C187" s="4" t="s">
        <v>425</v>
      </c>
      <c r="D187" s="33" t="s">
        <v>426</v>
      </c>
      <c r="E187" s="33" t="s">
        <v>427</v>
      </c>
    </row>
    <row r="188" spans="1:12" x14ac:dyDescent="0.2">
      <c r="A188" s="34" t="s">
        <v>428</v>
      </c>
      <c r="B188" s="35">
        <f t="shared" ref="B188:B196" si="3">C188/$C$197</f>
        <v>0</v>
      </c>
      <c r="C188" s="5">
        <f>'summary 0917'!I24</f>
        <v>0</v>
      </c>
      <c r="D188" s="4">
        <f>33+1+1+1+1+1+8+1+1+1+2+1+2+1+1+1+2+3</f>
        <v>62</v>
      </c>
      <c r="E188" s="36">
        <f t="shared" ref="E188:E195" si="4">(C188/D188)*100</f>
        <v>0</v>
      </c>
    </row>
    <row r="189" spans="1:12" x14ac:dyDescent="0.2">
      <c r="A189" s="34" t="s">
        <v>247</v>
      </c>
      <c r="B189" s="35">
        <f t="shared" si="3"/>
        <v>0.3125</v>
      </c>
      <c r="C189" s="5">
        <f>'summary 0917'!I25</f>
        <v>5</v>
      </c>
      <c r="D189" s="4">
        <f>540+17+1+1+6+10+1+2+12+2+1+1+1+3+4+3+1+1+1+8+2+1+1+6+1+1+2+1+2+1+4+1+1+1+12+4+57</f>
        <v>714</v>
      </c>
      <c r="E189" s="36">
        <f t="shared" si="4"/>
        <v>0.70028011204481799</v>
      </c>
    </row>
    <row r="190" spans="1:12" x14ac:dyDescent="0.2">
      <c r="A190" s="34" t="s">
        <v>228</v>
      </c>
      <c r="B190" s="35">
        <f t="shared" si="3"/>
        <v>0.625</v>
      </c>
      <c r="C190" s="5">
        <f>'summary 0917'!I26</f>
        <v>10</v>
      </c>
      <c r="D190" s="4">
        <f>13+1+1+1+16+10</f>
        <v>42</v>
      </c>
      <c r="E190" s="36">
        <f t="shared" si="4"/>
        <v>23.809523809523807</v>
      </c>
    </row>
    <row r="191" spans="1:12" x14ac:dyDescent="0.2">
      <c r="A191" s="34" t="s">
        <v>429</v>
      </c>
      <c r="B191" s="35">
        <f t="shared" si="3"/>
        <v>0</v>
      </c>
      <c r="C191" s="5">
        <f>'summary 0917'!I27</f>
        <v>0</v>
      </c>
      <c r="D191" s="4">
        <f>36+1+1+2</f>
        <v>40</v>
      </c>
      <c r="E191" s="36">
        <f t="shared" si="4"/>
        <v>0</v>
      </c>
    </row>
    <row r="192" spans="1:12" x14ac:dyDescent="0.2">
      <c r="A192" s="34" t="s">
        <v>430</v>
      </c>
      <c r="B192" s="35">
        <f t="shared" si="3"/>
        <v>0</v>
      </c>
      <c r="C192" s="5">
        <f>'summary 0917'!I28</f>
        <v>0</v>
      </c>
      <c r="D192" s="4">
        <f>288+2+13+2+5+56+59+14+2+3+3+1+4+14</f>
        <v>466</v>
      </c>
      <c r="E192" s="36">
        <f t="shared" si="4"/>
        <v>0</v>
      </c>
    </row>
    <row r="193" spans="1:5" x14ac:dyDescent="0.2">
      <c r="A193" s="34" t="s">
        <v>431</v>
      </c>
      <c r="B193" s="35">
        <f t="shared" si="3"/>
        <v>6.25E-2</v>
      </c>
      <c r="C193" s="5">
        <f>'summary 0917'!I29</f>
        <v>1</v>
      </c>
      <c r="D193" s="4">
        <f>132+2+1+2+7+3+4+2+7+1+3+4</f>
        <v>168</v>
      </c>
      <c r="E193" s="36">
        <f t="shared" si="4"/>
        <v>0.59523809523809523</v>
      </c>
    </row>
    <row r="194" spans="1:5" x14ac:dyDescent="0.2">
      <c r="A194" s="34" t="s">
        <v>291</v>
      </c>
      <c r="B194" s="35">
        <f t="shared" si="3"/>
        <v>0</v>
      </c>
      <c r="C194" s="5">
        <f>'summary 0917'!I30</f>
        <v>0</v>
      </c>
      <c r="D194" s="4">
        <v>9</v>
      </c>
      <c r="E194" s="36">
        <f t="shared" si="4"/>
        <v>0</v>
      </c>
    </row>
    <row r="195" spans="1:5" x14ac:dyDescent="0.2">
      <c r="A195" s="34" t="s">
        <v>393</v>
      </c>
      <c r="B195" s="35">
        <f t="shared" si="3"/>
        <v>0</v>
      </c>
      <c r="C195" s="5">
        <f>'summary 0917'!I31</f>
        <v>0</v>
      </c>
      <c r="D195" s="4">
        <f>10+5+2</f>
        <v>17</v>
      </c>
      <c r="E195" s="36">
        <f t="shared" si="4"/>
        <v>0</v>
      </c>
    </row>
    <row r="196" spans="1:5" x14ac:dyDescent="0.2">
      <c r="A196" s="37" t="s">
        <v>432</v>
      </c>
      <c r="B196" s="35">
        <f t="shared" si="3"/>
        <v>0</v>
      </c>
      <c r="C196" s="5">
        <f>'summary 0917'!I32</f>
        <v>0</v>
      </c>
    </row>
    <row r="197" spans="1:5" x14ac:dyDescent="0.2">
      <c r="A197" s="37" t="s">
        <v>433</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2</f>
        <v>2</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6</f>
        <v>6</v>
      </c>
    </row>
    <row r="13" spans="1:11" x14ac:dyDescent="0.2">
      <c r="A13" s="6" t="s">
        <v>231</v>
      </c>
      <c r="B13" s="7"/>
      <c r="C13" s="7" t="s">
        <v>439</v>
      </c>
      <c r="D13" s="7"/>
      <c r="E13" s="7"/>
      <c r="F13" s="7"/>
      <c r="G13" s="7"/>
      <c r="H13" s="7"/>
      <c r="I13" s="7"/>
      <c r="J13" s="7"/>
      <c r="K13" s="7">
        <f>6</f>
        <v>6</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f>1</f>
        <v>1</v>
      </c>
    </row>
    <row r="18" spans="1:11" x14ac:dyDescent="0.2">
      <c r="A18" s="6" t="s">
        <v>266</v>
      </c>
      <c r="B18" s="7"/>
      <c r="C18" s="7" t="s">
        <v>207</v>
      </c>
      <c r="D18" s="7"/>
      <c r="E18" s="7"/>
      <c r="F18" s="7"/>
      <c r="G18" s="7"/>
      <c r="H18" s="7"/>
      <c r="I18" s="7"/>
      <c r="J18" s="7"/>
      <c r="K18" s="47">
        <f>1</f>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c r="J24" s="31"/>
      <c r="K24" s="31"/>
    </row>
    <row r="25" spans="1:11" x14ac:dyDescent="0.2">
      <c r="A25" s="29" t="s">
        <v>247</v>
      </c>
      <c r="B25" s="17"/>
      <c r="C25" s="17"/>
      <c r="D25" s="32"/>
      <c r="E25" s="31"/>
      <c r="F25" s="32"/>
      <c r="G25" s="32"/>
      <c r="H25" s="31"/>
      <c r="I25" s="6">
        <f>1+1+1+1+1</f>
        <v>5</v>
      </c>
      <c r="J25" s="31"/>
      <c r="K25" s="49"/>
    </row>
    <row r="26" spans="1:11" x14ac:dyDescent="0.2">
      <c r="A26" s="29" t="s">
        <v>228</v>
      </c>
      <c r="B26" s="17"/>
      <c r="C26" s="17"/>
      <c r="D26" s="32"/>
      <c r="E26" s="31"/>
      <c r="F26" s="32"/>
      <c r="G26" s="32"/>
      <c r="H26" s="31"/>
      <c r="I26" s="6">
        <f>1+1+1+1+1+1+1+1+1+1</f>
        <v>10</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c r="J28" s="31"/>
      <c r="K28" s="31"/>
    </row>
    <row r="29" spans="1:11" x14ac:dyDescent="0.2">
      <c r="A29" s="29" t="s">
        <v>431</v>
      </c>
      <c r="B29" s="17"/>
      <c r="C29" s="17"/>
      <c r="D29" s="32"/>
      <c r="E29" s="31"/>
      <c r="F29" s="32"/>
      <c r="G29" s="32"/>
      <c r="H29" s="31"/>
      <c r="I29" s="6">
        <f>1</f>
        <v>1</v>
      </c>
      <c r="J29" s="31"/>
      <c r="K29" s="32"/>
    </row>
    <row r="30" spans="1:11" x14ac:dyDescent="0.2">
      <c r="A30" s="29" t="s">
        <v>291</v>
      </c>
      <c r="B30" s="17"/>
      <c r="C30" s="17"/>
      <c r="D30" s="32"/>
      <c r="E30" s="31"/>
      <c r="F30" s="32"/>
      <c r="G30" s="32"/>
      <c r="H30" s="31"/>
      <c r="I30" s="6"/>
      <c r="J30" s="31"/>
      <c r="K30" s="31"/>
    </row>
    <row r="31" spans="1:11" x14ac:dyDescent="0.2">
      <c r="A31" s="29" t="s">
        <v>393</v>
      </c>
      <c r="B31" s="17"/>
      <c r="C31" s="17"/>
      <c r="D31" s="32"/>
      <c r="E31" s="31"/>
      <c r="F31" s="32"/>
      <c r="G31" s="32"/>
      <c r="H31" s="31"/>
      <c r="I31" s="6"/>
      <c r="J31" s="31"/>
      <c r="K31" s="31"/>
    </row>
    <row r="32" spans="1:11" ht="13.5" thickBot="1" x14ac:dyDescent="0.25">
      <c r="A32" s="50" t="s">
        <v>444</v>
      </c>
      <c r="I32" s="5"/>
      <c r="K32" s="51"/>
    </row>
    <row r="33" spans="1:11" ht="13.5" thickTop="1" x14ac:dyDescent="0.2">
      <c r="A33" s="52" t="s">
        <v>435</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row>
    <row r="2" spans="1:30" x14ac:dyDescent="0.2">
      <c r="A2" s="2" t="s">
        <v>199</v>
      </c>
      <c r="B2" s="3"/>
      <c r="H2" s="4">
        <f>1+1</f>
        <v>2</v>
      </c>
      <c r="J2" s="4">
        <f>1</f>
        <v>1</v>
      </c>
      <c r="K2" s="3"/>
      <c r="L2" s="5"/>
      <c r="M2" s="3"/>
      <c r="N2" s="3"/>
      <c r="P2" s="4">
        <v>1</v>
      </c>
      <c r="AC2" s="4">
        <f>'summary 0910'!K10</f>
        <v>1</v>
      </c>
    </row>
    <row r="3" spans="1:30" x14ac:dyDescent="0.2">
      <c r="A3" s="2" t="s">
        <v>200</v>
      </c>
      <c r="B3" s="5"/>
      <c r="K3" s="5"/>
      <c r="L3" s="5"/>
      <c r="M3" s="5"/>
      <c r="N3" s="6">
        <v>1</v>
      </c>
      <c r="P3" s="4">
        <v>1</v>
      </c>
      <c r="R3" s="4">
        <f>'[7]summary 0625'!K11</f>
        <v>2</v>
      </c>
      <c r="T3" s="4">
        <f>'[7]summary 0709'!K10</f>
        <v>1</v>
      </c>
    </row>
    <row r="4" spans="1:30"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row>
    <row r="5" spans="1:30"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row>
    <row r="6" spans="1:30"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0"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0"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0"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30"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30"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428</v>
      </c>
      <c r="Y15" s="4">
        <f>[8]Aug!$U$24+[8]Aug!$U$9</f>
        <v>3</v>
      </c>
      <c r="Z15" s="4">
        <f>[8]Aug!$AB$27</f>
        <v>1</v>
      </c>
      <c r="AB15" s="4">
        <f>3</f>
        <v>3</v>
      </c>
      <c r="AC15" s="4">
        <f>2</f>
        <v>2</v>
      </c>
      <c r="AD15" s="4" t="s">
        <v>428</v>
      </c>
    </row>
    <row r="16" spans="1:30" x14ac:dyDescent="0.2">
      <c r="A16" s="4" t="s">
        <v>247</v>
      </c>
      <c r="X16" s="4">
        <f>[8]Aug!$N$22+[8]Aug!$N$20+[8]Aug!$N$7+[8]Aug!$N$8</f>
        <v>14</v>
      </c>
      <c r="Y16" s="4">
        <f>[8]Aug!$U$20+[8]Aug!$U$22+[8]Aug!$U$16</f>
        <v>3</v>
      </c>
      <c r="Z16" s="4">
        <f>[8]Aug!$AB$22+[8]Aug!$AB$7+[8]Aug!$AB$8</f>
        <v>8</v>
      </c>
      <c r="AA16" s="4">
        <f>[8]Aug!$AI$16+1</f>
        <v>2</v>
      </c>
      <c r="AB16" s="4">
        <f>1+1+5+2</f>
        <v>9</v>
      </c>
      <c r="AC16" s="4">
        <f>1+4+12</f>
        <v>17</v>
      </c>
      <c r="AD16" s="4" t="s">
        <v>247</v>
      </c>
    </row>
    <row r="17" spans="1:30" x14ac:dyDescent="0.2">
      <c r="A17" s="4" t="s">
        <v>393</v>
      </c>
      <c r="AD17" s="4" t="s">
        <v>393</v>
      </c>
    </row>
    <row r="18" spans="1:30" x14ac:dyDescent="0.2">
      <c r="A18" s="4" t="s">
        <v>228</v>
      </c>
      <c r="AD18" s="4" t="s">
        <v>228</v>
      </c>
    </row>
    <row r="19" spans="1:30" x14ac:dyDescent="0.2">
      <c r="A19" s="4" t="s">
        <v>291</v>
      </c>
      <c r="AD19" s="4" t="s">
        <v>291</v>
      </c>
    </row>
    <row r="20" spans="1:30" x14ac:dyDescent="0.2">
      <c r="A20" s="4" t="s">
        <v>510</v>
      </c>
      <c r="X20" s="4">
        <f>[8]Aug!$N$21+[8]Aug!$N$15</f>
        <v>6</v>
      </c>
      <c r="Y20" s="4">
        <f>[8]Aug!$U$26+[8]Aug!$U$21</f>
        <v>7</v>
      </c>
      <c r="Z20" s="4">
        <f>[8]Aug!$AB$26+[8]Aug!$AB$21</f>
        <v>3</v>
      </c>
      <c r="AA20" s="4">
        <f>[8]Aug!$AI$26+[8]Aug!$AI$21</f>
        <v>11</v>
      </c>
      <c r="AB20" s="4">
        <f>1</f>
        <v>1</v>
      </c>
      <c r="AC20" s="4">
        <f>14+3</f>
        <v>17</v>
      </c>
      <c r="AD20" s="4" t="s">
        <v>510</v>
      </c>
    </row>
    <row r="22" spans="1:30" x14ac:dyDescent="0.2">
      <c r="A22" s="4" t="s">
        <v>507</v>
      </c>
      <c r="X22" s="4">
        <f t="shared" ref="X22:AC22" si="2">SUM(X15:X20)</f>
        <v>20</v>
      </c>
      <c r="Y22" s="4">
        <f t="shared" si="2"/>
        <v>13</v>
      </c>
      <c r="Z22" s="4">
        <f t="shared" si="2"/>
        <v>12</v>
      </c>
      <c r="AA22" s="4">
        <f t="shared" si="2"/>
        <v>13</v>
      </c>
      <c r="AB22" s="4">
        <f t="shared" si="2"/>
        <v>13</v>
      </c>
      <c r="AC22" s="4">
        <f t="shared" si="2"/>
        <v>36</v>
      </c>
      <c r="AD22" s="4" t="s">
        <v>511</v>
      </c>
    </row>
    <row r="24" spans="1:30" x14ac:dyDescent="0.2">
      <c r="A24" s="4" t="s">
        <v>508</v>
      </c>
      <c r="AD24" s="4" t="s">
        <v>508</v>
      </c>
    </row>
    <row r="98" spans="1:12" x14ac:dyDescent="0.2">
      <c r="A98" s="10" t="s">
        <v>505</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210</v>
      </c>
      <c r="B100" s="11"/>
      <c r="C100" s="11"/>
      <c r="D100" s="11"/>
      <c r="E100" s="11"/>
      <c r="F100" s="12"/>
      <c r="G100" s="11"/>
      <c r="H100" s="11"/>
      <c r="I100" s="12"/>
      <c r="J100" s="12"/>
      <c r="K100" s="12"/>
      <c r="L100" s="11"/>
    </row>
    <row r="101" spans="1:12" x14ac:dyDescent="0.2">
      <c r="A101" s="11" t="s">
        <v>445</v>
      </c>
      <c r="B101" s="11"/>
      <c r="C101" s="11"/>
      <c r="D101" s="11"/>
      <c r="E101" s="11"/>
      <c r="F101" s="12"/>
      <c r="G101" s="11"/>
      <c r="H101" s="11"/>
      <c r="I101" s="12"/>
      <c r="J101" s="12"/>
      <c r="K101" s="12"/>
      <c r="L101" s="11"/>
    </row>
    <row r="102" spans="1:12" x14ac:dyDescent="0.2">
      <c r="A102" s="11" t="s">
        <v>446</v>
      </c>
      <c r="B102" s="11"/>
      <c r="C102" s="11"/>
      <c r="D102" s="11"/>
      <c r="E102" s="11"/>
      <c r="F102" s="12"/>
      <c r="G102" s="11"/>
      <c r="H102" s="11"/>
      <c r="I102" s="12"/>
      <c r="J102" s="12"/>
      <c r="K102" s="12"/>
      <c r="L102" s="11"/>
    </row>
    <row r="103" spans="1:12" x14ac:dyDescent="0.2">
      <c r="A103" s="11" t="s">
        <v>447</v>
      </c>
      <c r="B103" s="11"/>
      <c r="C103" s="11"/>
      <c r="D103" s="11"/>
      <c r="E103" s="11"/>
      <c r="F103" s="12"/>
      <c r="G103" s="11"/>
      <c r="H103" s="11"/>
      <c r="I103" s="12"/>
      <c r="J103" s="12"/>
      <c r="K103" s="12"/>
      <c r="L103" s="11"/>
    </row>
    <row r="104" spans="1:12" x14ac:dyDescent="0.2">
      <c r="A104" s="11" t="s">
        <v>448</v>
      </c>
      <c r="B104" s="11"/>
      <c r="C104" s="11"/>
      <c r="D104" s="11"/>
      <c r="E104" s="11"/>
      <c r="F104" s="12"/>
      <c r="G104" s="11"/>
      <c r="H104" s="11"/>
      <c r="I104" s="12"/>
      <c r="J104" s="12"/>
      <c r="K104" s="12"/>
      <c r="L104" s="11"/>
    </row>
    <row r="105" spans="1:12" x14ac:dyDescent="0.2">
      <c r="A105" s="11" t="s">
        <v>449</v>
      </c>
      <c r="B105" s="11"/>
      <c r="C105" s="11"/>
      <c r="D105" s="11"/>
      <c r="E105" s="11"/>
      <c r="F105" s="12"/>
      <c r="G105" s="11"/>
      <c r="H105" s="11"/>
      <c r="I105" s="12"/>
      <c r="J105" s="12"/>
      <c r="K105" s="12"/>
      <c r="L105" s="11"/>
    </row>
    <row r="106" spans="1:12" x14ac:dyDescent="0.2">
      <c r="A106" s="11" t="s">
        <v>450</v>
      </c>
      <c r="B106" s="11"/>
      <c r="C106" s="11"/>
      <c r="D106" s="11"/>
      <c r="E106" s="11"/>
      <c r="F106" s="12"/>
      <c r="G106" s="11"/>
      <c r="H106" s="11"/>
      <c r="I106" s="12"/>
      <c r="J106" s="12"/>
      <c r="K106" s="12"/>
      <c r="L106" s="11"/>
    </row>
    <row r="107" spans="1:12" x14ac:dyDescent="0.2">
      <c r="A107" s="11" t="s">
        <v>451</v>
      </c>
      <c r="B107" s="11"/>
      <c r="C107" s="11"/>
      <c r="D107" s="11"/>
      <c r="E107" s="11"/>
      <c r="F107" s="12"/>
      <c r="G107" s="11"/>
      <c r="H107" s="11"/>
      <c r="I107" s="12"/>
      <c r="J107" s="12"/>
      <c r="K107" s="12"/>
      <c r="L107" s="11"/>
    </row>
    <row r="108" spans="1:12" x14ac:dyDescent="0.2">
      <c r="A108" s="11" t="s">
        <v>452</v>
      </c>
      <c r="B108" s="11"/>
      <c r="C108" s="11"/>
      <c r="D108" s="11"/>
      <c r="E108" s="11"/>
      <c r="F108" s="12"/>
      <c r="G108" s="11"/>
      <c r="H108" s="11"/>
      <c r="I108" s="12"/>
      <c r="J108" s="12"/>
      <c r="K108" s="12"/>
      <c r="L108" s="11"/>
    </row>
    <row r="109" spans="1:12" x14ac:dyDescent="0.2">
      <c r="A109" s="11" t="s">
        <v>453</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211</v>
      </c>
      <c r="F111" s="14"/>
      <c r="G111" s="14"/>
      <c r="H111" s="14"/>
      <c r="I111" s="14" t="s">
        <v>212</v>
      </c>
      <c r="J111" s="14" t="s">
        <v>213</v>
      </c>
      <c r="K111" s="14" t="s">
        <v>214</v>
      </c>
      <c r="L111" s="14" t="s">
        <v>215</v>
      </c>
    </row>
    <row r="112" spans="1:12" x14ac:dyDescent="0.2">
      <c r="A112" s="14" t="s">
        <v>216</v>
      </c>
      <c r="B112" s="14" t="s">
        <v>217</v>
      </c>
      <c r="C112" s="14" t="s">
        <v>218</v>
      </c>
      <c r="D112" s="14" t="s">
        <v>219</v>
      </c>
      <c r="E112" s="14" t="s">
        <v>220</v>
      </c>
      <c r="F112" s="14" t="s">
        <v>210</v>
      </c>
      <c r="G112" s="14" t="s">
        <v>221</v>
      </c>
      <c r="H112" s="14" t="s">
        <v>222</v>
      </c>
      <c r="I112" s="14" t="s">
        <v>223</v>
      </c>
      <c r="J112" s="14" t="s">
        <v>224</v>
      </c>
      <c r="K112" s="14" t="s">
        <v>225</v>
      </c>
      <c r="L112" s="14" t="s">
        <v>226</v>
      </c>
    </row>
    <row r="113" spans="1:25" x14ac:dyDescent="0.2">
      <c r="A113" s="14"/>
      <c r="B113" s="14"/>
      <c r="C113" s="14"/>
      <c r="D113" s="14"/>
      <c r="E113" s="14"/>
      <c r="F113" s="14"/>
      <c r="G113" s="14"/>
      <c r="H113" s="14"/>
      <c r="I113" s="14"/>
      <c r="J113" s="14"/>
      <c r="K113" s="14"/>
      <c r="L113" s="14"/>
    </row>
    <row r="114" spans="1:25" ht="114.75" x14ac:dyDescent="0.2">
      <c r="A114" s="24">
        <v>37148</v>
      </c>
      <c r="B114" s="17" t="s">
        <v>2</v>
      </c>
      <c r="C114" s="18" t="s">
        <v>247</v>
      </c>
      <c r="D114" s="18" t="s">
        <v>460</v>
      </c>
      <c r="E114" s="18" t="s">
        <v>249</v>
      </c>
      <c r="F114" s="18" t="s">
        <v>241</v>
      </c>
      <c r="G114" s="17" t="s">
        <v>3</v>
      </c>
      <c r="H114" s="18"/>
      <c r="I114" s="18" t="s">
        <v>235</v>
      </c>
      <c r="J114" s="18" t="s">
        <v>234</v>
      </c>
      <c r="K114" s="18" t="s">
        <v>234</v>
      </c>
      <c r="L114" s="16" t="s">
        <v>456</v>
      </c>
    </row>
    <row r="115" spans="1:25" ht="38.25" x14ac:dyDescent="0.2">
      <c r="A115" s="24">
        <v>37148</v>
      </c>
      <c r="B115" s="18" t="s">
        <v>4</v>
      </c>
      <c r="C115" s="18" t="s">
        <v>428</v>
      </c>
      <c r="D115" s="18" t="s">
        <v>5</v>
      </c>
      <c r="E115" s="18" t="s">
        <v>6</v>
      </c>
      <c r="F115" s="18" t="s">
        <v>255</v>
      </c>
      <c r="G115" s="17" t="s">
        <v>7</v>
      </c>
      <c r="H115" s="18"/>
      <c r="I115" s="18" t="s">
        <v>235</v>
      </c>
      <c r="J115" s="18" t="s">
        <v>234</v>
      </c>
      <c r="K115" s="18" t="s">
        <v>235</v>
      </c>
      <c r="L115" s="16" t="s">
        <v>456</v>
      </c>
    </row>
    <row r="116" spans="1:25" ht="25.5" x14ac:dyDescent="0.2">
      <c r="A116" s="24">
        <v>37148</v>
      </c>
      <c r="B116" s="18" t="s">
        <v>468</v>
      </c>
      <c r="C116" s="18" t="s">
        <v>428</v>
      </c>
      <c r="D116" s="18" t="s">
        <v>469</v>
      </c>
      <c r="E116" s="18" t="s">
        <v>470</v>
      </c>
      <c r="F116" s="18" t="s">
        <v>375</v>
      </c>
      <c r="G116" s="17" t="s">
        <v>8</v>
      </c>
      <c r="H116" s="18"/>
      <c r="I116" s="18" t="s">
        <v>234</v>
      </c>
      <c r="J116" s="18" t="s">
        <v>234</v>
      </c>
      <c r="K116" s="18" t="s">
        <v>234</v>
      </c>
      <c r="L116" s="16" t="s">
        <v>456</v>
      </c>
    </row>
    <row r="117" spans="1:25" ht="63.75" x14ac:dyDescent="0.2">
      <c r="A117" s="24">
        <v>37148</v>
      </c>
      <c r="B117" s="17" t="s">
        <v>9</v>
      </c>
      <c r="C117" s="18" t="s">
        <v>291</v>
      </c>
      <c r="D117" s="18" t="s">
        <v>498</v>
      </c>
      <c r="E117" s="18" t="s">
        <v>293</v>
      </c>
      <c r="F117" s="18" t="s">
        <v>255</v>
      </c>
      <c r="G117" s="17" t="s">
        <v>10</v>
      </c>
      <c r="H117" s="18"/>
      <c r="I117" s="18" t="s">
        <v>234</v>
      </c>
      <c r="J117" s="18" t="s">
        <v>235</v>
      </c>
      <c r="K117" s="18" t="s">
        <v>235</v>
      </c>
      <c r="L117" s="16" t="s">
        <v>456</v>
      </c>
    </row>
    <row r="118" spans="1:25" ht="24.75" customHeight="1" x14ac:dyDescent="0.2">
      <c r="A118" s="24">
        <v>37148</v>
      </c>
      <c r="B118" s="18" t="s">
        <v>11</v>
      </c>
      <c r="C118" s="18"/>
      <c r="D118" s="18"/>
      <c r="E118" s="18" t="s">
        <v>12</v>
      </c>
      <c r="F118" s="18" t="s">
        <v>361</v>
      </c>
      <c r="G118" s="17" t="s">
        <v>13</v>
      </c>
      <c r="H118" s="18"/>
      <c r="I118" s="18" t="s">
        <v>234</v>
      </c>
      <c r="J118" s="18" t="s">
        <v>235</v>
      </c>
      <c r="K118" s="18" t="s">
        <v>235</v>
      </c>
      <c r="L118" s="16" t="s">
        <v>456</v>
      </c>
    </row>
    <row r="119" spans="1:25" ht="25.5" x14ac:dyDescent="0.2">
      <c r="A119" s="24">
        <v>37148</v>
      </c>
      <c r="B119" s="17" t="s">
        <v>14</v>
      </c>
      <c r="C119" s="18" t="s">
        <v>247</v>
      </c>
      <c r="D119" s="18" t="s">
        <v>15</v>
      </c>
      <c r="E119" s="18" t="s">
        <v>16</v>
      </c>
      <c r="F119" s="18" t="s">
        <v>255</v>
      </c>
      <c r="G119" s="17" t="s">
        <v>17</v>
      </c>
      <c r="H119" s="17"/>
      <c r="I119" s="18" t="s">
        <v>234</v>
      </c>
      <c r="J119" s="18" t="s">
        <v>234</v>
      </c>
      <c r="K119" s="18" t="s">
        <v>234</v>
      </c>
      <c r="L119" s="18" t="s">
        <v>456</v>
      </c>
      <c r="M119" s="22"/>
      <c r="N119" s="22"/>
      <c r="O119" s="22"/>
      <c r="P119" s="22"/>
      <c r="Q119" s="22"/>
      <c r="R119" s="22"/>
      <c r="S119" s="22"/>
      <c r="T119" s="22"/>
      <c r="U119" s="22"/>
      <c r="V119" s="22"/>
      <c r="W119" s="22"/>
      <c r="X119" s="22"/>
      <c r="Y119" s="22"/>
    </row>
    <row r="120" spans="1:25" ht="25.5" x14ac:dyDescent="0.2">
      <c r="A120" s="24">
        <v>37147</v>
      </c>
      <c r="B120" s="17" t="s">
        <v>18</v>
      </c>
      <c r="C120" s="18" t="s">
        <v>238</v>
      </c>
      <c r="D120" s="18" t="s">
        <v>19</v>
      </c>
      <c r="E120" s="18" t="s">
        <v>20</v>
      </c>
      <c r="F120" s="18" t="s">
        <v>255</v>
      </c>
      <c r="G120" s="17" t="s">
        <v>21</v>
      </c>
      <c r="H120" s="17"/>
      <c r="I120" s="18" t="s">
        <v>234</v>
      </c>
      <c r="J120" s="18" t="s">
        <v>235</v>
      </c>
      <c r="K120" s="18" t="s">
        <v>235</v>
      </c>
      <c r="L120" s="18" t="s">
        <v>456</v>
      </c>
      <c r="M120" s="22"/>
      <c r="N120" s="22"/>
      <c r="O120" s="22"/>
      <c r="P120" s="22"/>
      <c r="Q120" s="22"/>
      <c r="R120" s="22"/>
      <c r="S120" s="22"/>
      <c r="T120" s="22"/>
      <c r="U120" s="22"/>
      <c r="V120" s="22"/>
      <c r="W120" s="22"/>
      <c r="X120" s="22"/>
      <c r="Y120" s="22"/>
    </row>
    <row r="121" spans="1:25" ht="63.75" x14ac:dyDescent="0.2">
      <c r="A121" s="24">
        <v>37147</v>
      </c>
      <c r="B121" s="18" t="s">
        <v>466</v>
      </c>
      <c r="C121" s="18" t="s">
        <v>228</v>
      </c>
      <c r="D121" s="18" t="s">
        <v>22</v>
      </c>
      <c r="E121" s="18" t="s">
        <v>23</v>
      </c>
      <c r="F121" s="18" t="s">
        <v>231</v>
      </c>
      <c r="G121" s="17" t="s">
        <v>24</v>
      </c>
      <c r="H121" s="17"/>
      <c r="I121" s="18" t="s">
        <v>235</v>
      </c>
      <c r="J121" s="18" t="s">
        <v>235</v>
      </c>
      <c r="K121" s="18" t="s">
        <v>235</v>
      </c>
      <c r="L121" s="18" t="s">
        <v>456</v>
      </c>
      <c r="M121" s="22"/>
      <c r="N121" s="22"/>
      <c r="O121" s="22"/>
      <c r="P121" s="22"/>
      <c r="Q121" s="22"/>
      <c r="R121" s="22"/>
      <c r="S121" s="22"/>
      <c r="T121" s="22"/>
      <c r="U121" s="22"/>
      <c r="V121" s="22"/>
      <c r="W121" s="22"/>
      <c r="X121" s="22"/>
      <c r="Y121" s="22"/>
    </row>
    <row r="122" spans="1:25" ht="55.5" customHeight="1" x14ac:dyDescent="0.2">
      <c r="A122" s="24">
        <v>37147</v>
      </c>
      <c r="B122" s="18" t="s">
        <v>418</v>
      </c>
      <c r="C122" s="18" t="s">
        <v>228</v>
      </c>
      <c r="D122" s="18" t="s">
        <v>418</v>
      </c>
      <c r="E122" s="18" t="s">
        <v>230</v>
      </c>
      <c r="F122" s="18" t="s">
        <v>375</v>
      </c>
      <c r="G122" s="17" t="s">
        <v>25</v>
      </c>
      <c r="H122" s="17"/>
      <c r="I122" s="18" t="s">
        <v>234</v>
      </c>
      <c r="J122" s="18" t="s">
        <v>234</v>
      </c>
      <c r="K122" s="18" t="s">
        <v>235</v>
      </c>
      <c r="L122" s="18" t="s">
        <v>456</v>
      </c>
      <c r="M122" s="22"/>
      <c r="N122" s="22"/>
      <c r="O122" s="22"/>
      <c r="P122" s="22"/>
      <c r="Q122" s="22"/>
      <c r="R122" s="22"/>
      <c r="S122" s="22"/>
      <c r="T122" s="22"/>
      <c r="U122" s="22"/>
      <c r="V122" s="22"/>
      <c r="W122" s="22"/>
      <c r="X122" s="22"/>
      <c r="Y122" s="22"/>
    </row>
    <row r="123" spans="1:25" ht="76.5" x14ac:dyDescent="0.2">
      <c r="A123" s="24">
        <v>37146</v>
      </c>
      <c r="B123" s="18" t="s">
        <v>418</v>
      </c>
      <c r="C123" s="18" t="s">
        <v>228</v>
      </c>
      <c r="D123" s="18" t="s">
        <v>418</v>
      </c>
      <c r="E123" s="18" t="s">
        <v>230</v>
      </c>
      <c r="F123" s="18" t="s">
        <v>231</v>
      </c>
      <c r="G123" s="17" t="s">
        <v>26</v>
      </c>
      <c r="H123" s="17"/>
      <c r="I123" s="18" t="s">
        <v>235</v>
      </c>
      <c r="J123" s="18" t="s">
        <v>235</v>
      </c>
      <c r="K123" s="18" t="s">
        <v>235</v>
      </c>
      <c r="L123" s="18" t="s">
        <v>456</v>
      </c>
      <c r="M123" s="22"/>
      <c r="N123" s="22"/>
      <c r="O123" s="22"/>
      <c r="P123" s="22"/>
      <c r="Q123" s="22"/>
      <c r="R123" s="22"/>
      <c r="S123" s="22"/>
      <c r="T123" s="22"/>
      <c r="U123" s="22"/>
      <c r="V123" s="22"/>
      <c r="W123" s="22"/>
      <c r="X123" s="22"/>
      <c r="Y123" s="22"/>
    </row>
    <row r="124" spans="1:25" ht="38.25" x14ac:dyDescent="0.2">
      <c r="A124" s="24">
        <v>37144</v>
      </c>
      <c r="B124" s="60" t="s">
        <v>27</v>
      </c>
      <c r="C124" s="18" t="s">
        <v>228</v>
      </c>
      <c r="D124" s="18" t="s">
        <v>229</v>
      </c>
      <c r="E124" s="18" t="s">
        <v>230</v>
      </c>
      <c r="F124" s="18" t="s">
        <v>231</v>
      </c>
      <c r="G124" s="60" t="s">
        <v>28</v>
      </c>
      <c r="H124" s="60"/>
      <c r="I124" s="18" t="s">
        <v>234</v>
      </c>
      <c r="J124" s="18" t="s">
        <v>234</v>
      </c>
      <c r="K124" s="18" t="s">
        <v>234</v>
      </c>
      <c r="L124" s="18" t="s">
        <v>456</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423</v>
      </c>
      <c r="B174" s="1" t="s">
        <v>424</v>
      </c>
      <c r="C174" s="4" t="s">
        <v>425</v>
      </c>
      <c r="D174" s="33" t="s">
        <v>426</v>
      </c>
      <c r="E174" s="33" t="s">
        <v>427</v>
      </c>
    </row>
    <row r="175" spans="1:12" x14ac:dyDescent="0.2">
      <c r="A175" s="34" t="s">
        <v>428</v>
      </c>
      <c r="B175" s="35">
        <f t="shared" ref="B175:B183" si="3">C175/$C$184</f>
        <v>0.18181818181818182</v>
      </c>
      <c r="C175" s="5">
        <f>'summary 0910'!I24</f>
        <v>2</v>
      </c>
      <c r="D175" s="4">
        <f>33+1+1+1+1+1+8+1+1+1+2+1+2+1+1+1+2</f>
        <v>59</v>
      </c>
      <c r="E175" s="36">
        <f t="shared" ref="E175:E182" si="4">(C175/D175)*100</f>
        <v>3.3898305084745761</v>
      </c>
    </row>
    <row r="176" spans="1:12" x14ac:dyDescent="0.2">
      <c r="A176" s="34" t="s">
        <v>247</v>
      </c>
      <c r="B176" s="35">
        <f t="shared" si="3"/>
        <v>0.18181818181818182</v>
      </c>
      <c r="C176" s="5">
        <f>'summary 0910'!I25</f>
        <v>2</v>
      </c>
      <c r="D176" s="4">
        <f>540+17+1+1+6+10+1+2+12+2+1+1+1+3+4+3+1+1+1+8+2+1+1+6+1+1+2+1+2+1+4+1+1+1+12+4</f>
        <v>657</v>
      </c>
      <c r="E176" s="36">
        <f t="shared" si="4"/>
        <v>0.30441400304414001</v>
      </c>
    </row>
    <row r="177" spans="1:5" x14ac:dyDescent="0.2">
      <c r="A177" s="34" t="s">
        <v>228</v>
      </c>
      <c r="B177" s="35">
        <f t="shared" si="3"/>
        <v>0.36363636363636365</v>
      </c>
      <c r="C177" s="5">
        <f>'summary 0910'!I26</f>
        <v>4</v>
      </c>
      <c r="D177" s="4">
        <f>13+1+1+1+16+10</f>
        <v>42</v>
      </c>
      <c r="E177" s="36">
        <f t="shared" si="4"/>
        <v>9.5238095238095237</v>
      </c>
    </row>
    <row r="178" spans="1:5" x14ac:dyDescent="0.2">
      <c r="A178" s="34" t="s">
        <v>429</v>
      </c>
      <c r="B178" s="35">
        <f t="shared" si="3"/>
        <v>0</v>
      </c>
      <c r="C178" s="5">
        <f>'summary 0910'!I27</f>
        <v>0</v>
      </c>
      <c r="D178" s="4">
        <f>36+1+1</f>
        <v>38</v>
      </c>
      <c r="E178" s="36">
        <f t="shared" si="4"/>
        <v>0</v>
      </c>
    </row>
    <row r="179" spans="1:5" x14ac:dyDescent="0.2">
      <c r="A179" s="34" t="s">
        <v>430</v>
      </c>
      <c r="B179" s="35">
        <f t="shared" si="3"/>
        <v>9.0909090909090912E-2</v>
      </c>
      <c r="C179" s="5">
        <f>'summary 0910'!I28</f>
        <v>1</v>
      </c>
      <c r="D179" s="4">
        <f>288+2+13+2+5+56+59+14+2+3+3+1+4+14</f>
        <v>466</v>
      </c>
      <c r="E179" s="36">
        <f t="shared" si="4"/>
        <v>0.21459227467811159</v>
      </c>
    </row>
    <row r="180" spans="1:5" x14ac:dyDescent="0.2">
      <c r="A180" s="34" t="s">
        <v>431</v>
      </c>
      <c r="B180" s="35">
        <f t="shared" si="3"/>
        <v>0</v>
      </c>
      <c r="C180" s="5">
        <f>'summary 0910'!I29</f>
        <v>0</v>
      </c>
      <c r="D180" s="4">
        <f>132+2+1+2+7+3+4+2+7+1+3</f>
        <v>164</v>
      </c>
      <c r="E180" s="36">
        <f t="shared" si="4"/>
        <v>0</v>
      </c>
    </row>
    <row r="181" spans="1:5" x14ac:dyDescent="0.2">
      <c r="A181" s="34" t="s">
        <v>291</v>
      </c>
      <c r="B181" s="35">
        <f t="shared" si="3"/>
        <v>9.0909090909090912E-2</v>
      </c>
      <c r="C181" s="5">
        <f>'summary 0910'!I30</f>
        <v>1</v>
      </c>
      <c r="D181" s="4">
        <v>9</v>
      </c>
      <c r="E181" s="36">
        <f t="shared" si="4"/>
        <v>11.111111111111111</v>
      </c>
    </row>
    <row r="182" spans="1:5" x14ac:dyDescent="0.2">
      <c r="A182" s="34" t="s">
        <v>393</v>
      </c>
      <c r="B182" s="35">
        <f t="shared" si="3"/>
        <v>0</v>
      </c>
      <c r="C182" s="5">
        <f>'summary 0910'!I31</f>
        <v>0</v>
      </c>
      <c r="D182" s="4">
        <f>10+5+2</f>
        <v>17</v>
      </c>
      <c r="E182" s="36">
        <f t="shared" si="4"/>
        <v>0</v>
      </c>
    </row>
    <row r="183" spans="1:5" x14ac:dyDescent="0.2">
      <c r="A183" s="37" t="s">
        <v>432</v>
      </c>
      <c r="B183" s="35">
        <f t="shared" si="3"/>
        <v>9.0909090909090912E-2</v>
      </c>
      <c r="C183" s="5">
        <f>'summary 0910'!I32</f>
        <v>1</v>
      </c>
    </row>
    <row r="184" spans="1:5" x14ac:dyDescent="0.2">
      <c r="A184" s="37" t="s">
        <v>433</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Graph Data Oct 08</vt:lpstr>
      <vt:lpstr>summary 1008</vt: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Oct 08'!Print_Area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2001-10-16T16:00:27Z</cp:lastPrinted>
  <dcterms:created xsi:type="dcterms:W3CDTF">2001-08-28T13:25:14Z</dcterms:created>
  <dcterms:modified xsi:type="dcterms:W3CDTF">2023-09-17T16:05:29Z</dcterms:modified>
</cp:coreProperties>
</file>