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595E8D6-5C9B-4134-8131-8260E895C683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Daily Position" sheetId="3" r:id="rId2"/>
    <sheet name="Stock Prices" sheetId="2" r:id="rId3"/>
    <sheet name="Private Values" sheetId="8" r:id="rId4"/>
    <sheet name="Private Cash" sheetId="9" r:id="rId5"/>
    <sheet name="Financials" sheetId="4" r:id="rId6"/>
    <sheet name="Cash-Int-Trans" sheetId="6" r:id="rId7"/>
    <sheet name="Amort" sheetId="5" r:id="rId8"/>
    <sheet name="MRP Raptor" sheetId="7" r:id="rId9"/>
  </sheets>
  <definedNames>
    <definedName name="_xlnm._FilterDatabase" localSheetId="2" hidden="1">'Stock Prices'!$C$5:$C$27</definedName>
    <definedName name="acpw">'Stock Prices'!$G$5:$H$375</definedName>
    <definedName name="Amort">Amort!$A$10:$G$20</definedName>
    <definedName name="avci">'Stock Prices'!$E$5:$F$375</definedName>
    <definedName name="cabau">'Stock Prices'!$K$5:$L$375</definedName>
    <definedName name="cabou">'Stock Prices'!$U$5:$V$375</definedName>
    <definedName name="cadex">'Stock Prices'!$C$5:$D$375</definedName>
    <definedName name="caplg">'Stock Prices'!$I$5:$J$375</definedName>
    <definedName name="ene">'Stock Prices'!$A$5:$B$375</definedName>
    <definedName name="kwk">'Stock Prices'!$Y$5:$Z$375</definedName>
    <definedName name="Loan">Amort!$A$42:$I$52</definedName>
    <definedName name="LoanPeriod">Amort!$B$42:$I$52</definedName>
    <definedName name="LSIP">'Stock Prices'!#REF!</definedName>
    <definedName name="MPRR">'MRP Raptor'!$E$3:$CM$140</definedName>
    <definedName name="Note">Amort!$A$10:$I$20</definedName>
    <definedName name="NotePeriod">Amort!$B$10:$I$20</definedName>
    <definedName name="pgeo">'Stock Prices'!$W$5:$X$375</definedName>
    <definedName name="_xlnm.Print_Area" localSheetId="0">Summary!$A$1:$F$25</definedName>
    <definedName name="Privates">'Private Values'!$A$4:$AH$374</definedName>
    <definedName name="prs">'Stock Prices'!$I$5:$J$375</definedName>
    <definedName name="qsri">'Stock Prices'!$M$5:$N$375</definedName>
    <definedName name="ttene">'Stock Prices'!$S$5:$T$375</definedName>
    <definedName name="wcrzo">'Stock Prices'!$O$5:$P$375</definedName>
    <definedName name="wtten">'Stock Prices'!$Q$5:$R$375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A66" i="5"/>
  <c r="E66" i="5"/>
  <c r="A67" i="5"/>
  <c r="D67" i="5"/>
  <c r="E67" i="5"/>
  <c r="E68" i="5"/>
  <c r="A70" i="5"/>
  <c r="D70" i="5"/>
  <c r="E70" i="5"/>
  <c r="B4" i="6"/>
  <c r="B6" i="6"/>
  <c r="B8" i="6"/>
  <c r="B9" i="6"/>
  <c r="D9" i="6"/>
  <c r="B11" i="6"/>
  <c r="B12" i="6"/>
  <c r="D12" i="6"/>
  <c r="B15" i="6"/>
  <c r="B16" i="6"/>
  <c r="B18" i="6"/>
  <c r="B19" i="6"/>
  <c r="D19" i="6"/>
  <c r="B23" i="6"/>
  <c r="B25" i="6"/>
  <c r="B26" i="6"/>
  <c r="A27" i="6"/>
  <c r="B27" i="6"/>
  <c r="B30" i="6"/>
  <c r="B31" i="6"/>
  <c r="B32" i="6"/>
  <c r="B33" i="6"/>
  <c r="B35" i="6"/>
  <c r="B36" i="6"/>
  <c r="B38" i="6"/>
  <c r="D38" i="6"/>
  <c r="B41" i="6"/>
  <c r="B45" i="6"/>
  <c r="B46" i="6"/>
  <c r="B47" i="6"/>
  <c r="F47" i="6"/>
  <c r="B49" i="6"/>
  <c r="B51" i="6"/>
  <c r="B52" i="6"/>
  <c r="F52" i="6"/>
  <c r="B53" i="6"/>
  <c r="B55" i="6"/>
  <c r="B57" i="6"/>
  <c r="B58" i="6"/>
  <c r="F58" i="6"/>
  <c r="B59" i="6"/>
  <c r="B62" i="6"/>
  <c r="B64" i="6"/>
  <c r="B68" i="6"/>
  <c r="B69" i="6"/>
  <c r="B70" i="6"/>
  <c r="B71" i="6"/>
  <c r="B73" i="6"/>
  <c r="B74" i="6"/>
  <c r="B75" i="6"/>
  <c r="B76" i="6"/>
  <c r="B77" i="6"/>
  <c r="B81" i="6"/>
  <c r="D82" i="6"/>
  <c r="D83" i="6"/>
  <c r="B84" i="6"/>
  <c r="D84" i="6"/>
  <c r="D85" i="6"/>
  <c r="I4" i="3"/>
  <c r="J4" i="3"/>
  <c r="K4" i="3"/>
  <c r="L4" i="3"/>
  <c r="N4" i="3"/>
  <c r="P4" i="3"/>
  <c r="Q4" i="3"/>
  <c r="S4" i="3"/>
  <c r="G5" i="3"/>
  <c r="I5" i="3"/>
  <c r="J5" i="3"/>
  <c r="K5" i="3"/>
  <c r="L5" i="3"/>
  <c r="N5" i="3"/>
  <c r="P5" i="3"/>
  <c r="Q5" i="3"/>
  <c r="S5" i="3"/>
  <c r="I6" i="3"/>
  <c r="J6" i="3"/>
  <c r="K6" i="3"/>
  <c r="L6" i="3"/>
  <c r="N6" i="3"/>
  <c r="P6" i="3"/>
  <c r="Q6" i="3"/>
  <c r="S6" i="3"/>
  <c r="I7" i="3"/>
  <c r="J7" i="3"/>
  <c r="K7" i="3"/>
  <c r="L7" i="3"/>
  <c r="N7" i="3"/>
  <c r="P7" i="3"/>
  <c r="Q7" i="3"/>
  <c r="S7" i="3"/>
  <c r="I8" i="3"/>
  <c r="J8" i="3"/>
  <c r="K8" i="3"/>
  <c r="L8" i="3"/>
  <c r="N8" i="3"/>
  <c r="P8" i="3"/>
  <c r="Q8" i="3"/>
  <c r="S8" i="3"/>
  <c r="I9" i="3"/>
  <c r="J9" i="3"/>
  <c r="K9" i="3"/>
  <c r="L9" i="3"/>
  <c r="N9" i="3"/>
  <c r="P9" i="3"/>
  <c r="Q9" i="3"/>
  <c r="S9" i="3"/>
  <c r="G10" i="3"/>
  <c r="H10" i="3"/>
  <c r="I10" i="3"/>
  <c r="J10" i="3"/>
  <c r="K10" i="3"/>
  <c r="L10" i="3"/>
  <c r="N10" i="3"/>
  <c r="P10" i="3"/>
  <c r="Q10" i="3"/>
  <c r="S10" i="3"/>
  <c r="I11" i="3"/>
  <c r="J11" i="3"/>
  <c r="K11" i="3"/>
  <c r="L11" i="3"/>
  <c r="N11" i="3"/>
  <c r="P11" i="3"/>
  <c r="Q11" i="3"/>
  <c r="S11" i="3"/>
  <c r="J14" i="3"/>
  <c r="K14" i="3"/>
  <c r="L14" i="3"/>
  <c r="N14" i="3"/>
  <c r="P14" i="3"/>
  <c r="Q14" i="3"/>
  <c r="S14" i="3"/>
  <c r="J15" i="3"/>
  <c r="K15" i="3"/>
  <c r="L15" i="3"/>
  <c r="N15" i="3"/>
  <c r="P15" i="3"/>
  <c r="Q15" i="3"/>
  <c r="R15" i="3"/>
  <c r="S15" i="3"/>
  <c r="J16" i="3"/>
  <c r="K16" i="3"/>
  <c r="L16" i="3"/>
  <c r="N16" i="3"/>
  <c r="P16" i="3"/>
  <c r="Q16" i="3"/>
  <c r="R16" i="3"/>
  <c r="S16" i="3"/>
  <c r="J17" i="3"/>
  <c r="K17" i="3"/>
  <c r="L17" i="3"/>
  <c r="N17" i="3"/>
  <c r="P17" i="3"/>
  <c r="Q17" i="3"/>
  <c r="R17" i="3"/>
  <c r="S17" i="3"/>
  <c r="I18" i="3"/>
  <c r="J18" i="3"/>
  <c r="K18" i="3"/>
  <c r="L18" i="3"/>
  <c r="M18" i="3"/>
  <c r="N18" i="3"/>
  <c r="O18" i="3"/>
  <c r="P18" i="3"/>
  <c r="Q18" i="3"/>
  <c r="R18" i="3"/>
  <c r="S18" i="3"/>
  <c r="I19" i="3"/>
  <c r="J19" i="3"/>
  <c r="K19" i="3"/>
  <c r="L19" i="3"/>
  <c r="N19" i="3"/>
  <c r="P19" i="3"/>
  <c r="Q19" i="3"/>
  <c r="R19" i="3"/>
  <c r="S19" i="3"/>
  <c r="J20" i="3"/>
  <c r="K20" i="3"/>
  <c r="L20" i="3"/>
  <c r="N20" i="3"/>
  <c r="P20" i="3"/>
  <c r="Q20" i="3"/>
  <c r="R20" i="3"/>
  <c r="S20" i="3"/>
  <c r="I21" i="3"/>
  <c r="J21" i="3"/>
  <c r="K21" i="3"/>
  <c r="L21" i="3"/>
  <c r="N21" i="3"/>
  <c r="P21" i="3"/>
  <c r="Q21" i="3"/>
  <c r="R21" i="3"/>
  <c r="S21" i="3"/>
  <c r="J22" i="3"/>
  <c r="K22" i="3"/>
  <c r="L22" i="3"/>
  <c r="N22" i="3"/>
  <c r="P22" i="3"/>
  <c r="Q22" i="3"/>
  <c r="R22" i="3"/>
  <c r="S22" i="3"/>
  <c r="I23" i="3"/>
  <c r="J23" i="3"/>
  <c r="K23" i="3"/>
  <c r="L23" i="3"/>
  <c r="N23" i="3"/>
  <c r="P23" i="3"/>
  <c r="Q23" i="3"/>
  <c r="R23" i="3"/>
  <c r="S23" i="3"/>
  <c r="J24" i="3"/>
  <c r="K24" i="3"/>
  <c r="L24" i="3"/>
  <c r="N24" i="3"/>
  <c r="P24" i="3"/>
  <c r="Q24" i="3"/>
  <c r="R24" i="3"/>
  <c r="S24" i="3"/>
  <c r="J25" i="3"/>
  <c r="K25" i="3"/>
  <c r="L25" i="3"/>
  <c r="N25" i="3"/>
  <c r="P25" i="3"/>
  <c r="Q25" i="3"/>
  <c r="R25" i="3"/>
  <c r="S25" i="3"/>
  <c r="J26" i="3"/>
  <c r="K26" i="3"/>
  <c r="L26" i="3"/>
  <c r="N26" i="3"/>
  <c r="P26" i="3"/>
  <c r="Q26" i="3"/>
  <c r="R26" i="3"/>
  <c r="S26" i="3"/>
  <c r="J27" i="3"/>
  <c r="K27" i="3"/>
  <c r="L27" i="3"/>
  <c r="N27" i="3"/>
  <c r="P27" i="3"/>
  <c r="Q27" i="3"/>
  <c r="R27" i="3"/>
  <c r="S27" i="3"/>
  <c r="J28" i="3"/>
  <c r="K28" i="3"/>
  <c r="L28" i="3"/>
  <c r="N28" i="3"/>
  <c r="P28" i="3"/>
  <c r="Q28" i="3"/>
  <c r="R28" i="3"/>
  <c r="S28" i="3"/>
  <c r="J29" i="3"/>
  <c r="K29" i="3"/>
  <c r="L29" i="3"/>
  <c r="N29" i="3"/>
  <c r="P29" i="3"/>
  <c r="Q29" i="3"/>
  <c r="R29" i="3"/>
  <c r="S29" i="3"/>
  <c r="J30" i="3"/>
  <c r="K30" i="3"/>
  <c r="L30" i="3"/>
  <c r="N30" i="3"/>
  <c r="P30" i="3"/>
  <c r="Q30" i="3"/>
  <c r="R30" i="3"/>
  <c r="S30" i="3"/>
  <c r="J31" i="3"/>
  <c r="K31" i="3"/>
  <c r="L31" i="3"/>
  <c r="N31" i="3"/>
  <c r="P31" i="3"/>
  <c r="Q31" i="3"/>
  <c r="R31" i="3"/>
  <c r="S31" i="3"/>
  <c r="J32" i="3"/>
  <c r="K32" i="3"/>
  <c r="L32" i="3"/>
  <c r="N32" i="3"/>
  <c r="P32" i="3"/>
  <c r="Q32" i="3"/>
  <c r="R32" i="3"/>
  <c r="S32" i="3"/>
  <c r="J33" i="3"/>
  <c r="K33" i="3"/>
  <c r="L33" i="3"/>
  <c r="N33" i="3"/>
  <c r="P33" i="3"/>
  <c r="Q33" i="3"/>
  <c r="R33" i="3"/>
  <c r="S33" i="3"/>
  <c r="J34" i="3"/>
  <c r="K34" i="3"/>
  <c r="L34" i="3"/>
  <c r="N34" i="3"/>
  <c r="P34" i="3"/>
  <c r="Q34" i="3"/>
  <c r="R34" i="3"/>
  <c r="S34" i="3"/>
  <c r="J35" i="3"/>
  <c r="K35" i="3"/>
  <c r="L35" i="3"/>
  <c r="N35" i="3"/>
  <c r="P35" i="3"/>
  <c r="Q35" i="3"/>
  <c r="R35" i="3"/>
  <c r="S35" i="3"/>
  <c r="J36" i="3"/>
  <c r="K36" i="3"/>
  <c r="L36" i="3"/>
  <c r="N36" i="3"/>
  <c r="P36" i="3"/>
  <c r="Q36" i="3"/>
  <c r="R36" i="3"/>
  <c r="S36" i="3"/>
  <c r="J37" i="3"/>
  <c r="K37" i="3"/>
  <c r="L37" i="3"/>
  <c r="N37" i="3"/>
  <c r="P37" i="3"/>
  <c r="Q37" i="3"/>
  <c r="R37" i="3"/>
  <c r="S37" i="3"/>
  <c r="J38" i="3"/>
  <c r="K38" i="3"/>
  <c r="L38" i="3"/>
  <c r="N38" i="3"/>
  <c r="P38" i="3"/>
  <c r="Q38" i="3"/>
  <c r="R38" i="3"/>
  <c r="S38" i="3"/>
  <c r="J39" i="3"/>
  <c r="K39" i="3"/>
  <c r="L39" i="3"/>
  <c r="N39" i="3"/>
  <c r="P39" i="3"/>
  <c r="Q39" i="3"/>
  <c r="R39" i="3"/>
  <c r="S39" i="3"/>
  <c r="J40" i="3"/>
  <c r="K40" i="3"/>
  <c r="L40" i="3"/>
  <c r="N40" i="3"/>
  <c r="P40" i="3"/>
  <c r="Q40" i="3"/>
  <c r="R40" i="3"/>
  <c r="S40" i="3"/>
  <c r="J41" i="3"/>
  <c r="K41" i="3"/>
  <c r="L41" i="3"/>
  <c r="N41" i="3"/>
  <c r="P41" i="3"/>
  <c r="Q41" i="3"/>
  <c r="R41" i="3"/>
  <c r="S41" i="3"/>
  <c r="J42" i="3"/>
  <c r="K42" i="3"/>
  <c r="L42" i="3"/>
  <c r="N42" i="3"/>
  <c r="P42" i="3"/>
  <c r="Q42" i="3"/>
  <c r="R42" i="3"/>
  <c r="S42" i="3"/>
  <c r="I43" i="3"/>
  <c r="J43" i="3"/>
  <c r="K43" i="3"/>
  <c r="L43" i="3"/>
  <c r="N43" i="3"/>
  <c r="P43" i="3"/>
  <c r="Q43" i="3"/>
  <c r="R43" i="3"/>
  <c r="S43" i="3"/>
  <c r="I44" i="3"/>
  <c r="J44" i="3"/>
  <c r="K44" i="3"/>
  <c r="L44" i="3"/>
  <c r="N44" i="3"/>
  <c r="P44" i="3"/>
  <c r="Q44" i="3"/>
  <c r="R44" i="3"/>
  <c r="S44" i="3"/>
  <c r="J45" i="3"/>
  <c r="K45" i="3"/>
  <c r="L45" i="3"/>
  <c r="N45" i="3"/>
  <c r="P45" i="3"/>
  <c r="Q45" i="3"/>
  <c r="R45" i="3"/>
  <c r="S45" i="3"/>
  <c r="G48" i="3"/>
  <c r="H48" i="3"/>
  <c r="I48" i="3"/>
  <c r="J48" i="3"/>
  <c r="K48" i="3"/>
  <c r="L48" i="3"/>
  <c r="N48" i="3"/>
  <c r="P48" i="3"/>
  <c r="Q48" i="3"/>
  <c r="S48" i="3"/>
  <c r="G49" i="3"/>
  <c r="H49" i="3"/>
  <c r="I49" i="3"/>
  <c r="J49" i="3"/>
  <c r="K49" i="3"/>
  <c r="L49" i="3"/>
  <c r="N49" i="3"/>
  <c r="P49" i="3"/>
  <c r="Q49" i="3"/>
  <c r="S49" i="3"/>
  <c r="G50" i="3"/>
  <c r="H50" i="3"/>
  <c r="I50" i="3"/>
  <c r="J50" i="3"/>
  <c r="K50" i="3"/>
  <c r="L50" i="3"/>
  <c r="N50" i="3"/>
  <c r="P50" i="3"/>
  <c r="Q50" i="3"/>
  <c r="S50" i="3"/>
  <c r="G51" i="3"/>
  <c r="H51" i="3"/>
  <c r="I51" i="3"/>
  <c r="J51" i="3"/>
  <c r="K51" i="3"/>
  <c r="L51" i="3"/>
  <c r="N51" i="3"/>
  <c r="P51" i="3"/>
  <c r="Q51" i="3"/>
  <c r="S51" i="3"/>
  <c r="I52" i="3"/>
  <c r="J52" i="3"/>
  <c r="K52" i="3"/>
  <c r="L52" i="3"/>
  <c r="N52" i="3"/>
  <c r="P52" i="3"/>
  <c r="Q52" i="3"/>
  <c r="S52" i="3"/>
  <c r="I53" i="3"/>
  <c r="J53" i="3"/>
  <c r="K53" i="3"/>
  <c r="L53" i="3"/>
  <c r="N53" i="3"/>
  <c r="P53" i="3"/>
  <c r="Q53" i="3"/>
  <c r="S53" i="3"/>
  <c r="E59" i="3"/>
  <c r="I59" i="3"/>
  <c r="L59" i="3"/>
  <c r="M59" i="3"/>
  <c r="N59" i="3"/>
  <c r="O59" i="3"/>
  <c r="P59" i="3"/>
  <c r="S59" i="3"/>
  <c r="S61" i="3"/>
  <c r="S62" i="3"/>
  <c r="S63" i="3"/>
  <c r="H2" i="4"/>
  <c r="L2" i="4"/>
  <c r="I5" i="4"/>
  <c r="B6" i="4"/>
  <c r="I6" i="4"/>
  <c r="M6" i="4"/>
  <c r="E7" i="4"/>
  <c r="B8" i="4"/>
  <c r="M8" i="4"/>
  <c r="P8" i="4"/>
  <c r="Q8" i="4"/>
  <c r="E9" i="4"/>
  <c r="M9" i="4"/>
  <c r="P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I14" i="4"/>
  <c r="M14" i="4"/>
  <c r="P14" i="4"/>
  <c r="B15" i="4"/>
  <c r="I15" i="4"/>
  <c r="P15" i="4"/>
  <c r="Q15" i="4"/>
  <c r="B16" i="4"/>
  <c r="I16" i="4"/>
  <c r="B17" i="4"/>
  <c r="I17" i="4"/>
  <c r="P17" i="4"/>
  <c r="B18" i="4"/>
  <c r="M18" i="4"/>
  <c r="O18" i="4"/>
  <c r="P18" i="4"/>
  <c r="I19" i="4"/>
  <c r="M19" i="4"/>
  <c r="O19" i="4"/>
  <c r="P19" i="4"/>
  <c r="I20" i="4"/>
  <c r="P20" i="4"/>
  <c r="E21" i="4"/>
  <c r="I21" i="4"/>
  <c r="P21" i="4"/>
  <c r="P22" i="4"/>
  <c r="E23" i="4"/>
  <c r="I23" i="4"/>
  <c r="P23" i="4"/>
  <c r="E24" i="4"/>
  <c r="P24" i="4"/>
  <c r="E25" i="4"/>
  <c r="P25" i="4"/>
  <c r="E26" i="4"/>
  <c r="P26" i="4"/>
  <c r="I27" i="4"/>
  <c r="E28" i="4"/>
  <c r="I28" i="4"/>
  <c r="E29" i="4"/>
  <c r="I29" i="4"/>
  <c r="E30" i="4"/>
  <c r="M30" i="4"/>
  <c r="I31" i="4"/>
  <c r="M31" i="4"/>
  <c r="I32" i="4"/>
  <c r="M32" i="4"/>
  <c r="I33" i="4"/>
  <c r="M33" i="4"/>
  <c r="I34" i="4"/>
  <c r="M34" i="4"/>
  <c r="I35" i="4"/>
  <c r="M35" i="4"/>
  <c r="I36" i="4"/>
  <c r="M36" i="4"/>
  <c r="M37" i="4"/>
  <c r="M38" i="4"/>
  <c r="N38" i="4"/>
  <c r="H39" i="4"/>
  <c r="H40" i="4"/>
  <c r="M42" i="4"/>
  <c r="N42" i="4"/>
  <c r="AC37" i="9"/>
  <c r="F70" i="9"/>
  <c r="B375" i="9"/>
  <c r="C375" i="9"/>
  <c r="D375" i="9"/>
  <c r="E375" i="9"/>
  <c r="F375" i="9"/>
  <c r="G375" i="9"/>
  <c r="H375" i="9"/>
  <c r="I375" i="9"/>
  <c r="J375" i="9"/>
  <c r="K375" i="9"/>
  <c r="L375" i="9"/>
  <c r="M375" i="9"/>
  <c r="N375" i="9"/>
  <c r="O375" i="9"/>
  <c r="P375" i="9"/>
  <c r="Q375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377" i="9"/>
  <c r="B377" i="9"/>
  <c r="C377" i="9"/>
  <c r="D377" i="9"/>
  <c r="E377" i="9"/>
  <c r="F377" i="9"/>
  <c r="G377" i="9"/>
  <c r="H377" i="9"/>
  <c r="I377" i="9"/>
  <c r="J377" i="9"/>
  <c r="K377" i="9"/>
  <c r="L377" i="9"/>
  <c r="M377" i="9"/>
  <c r="N377" i="9"/>
  <c r="O377" i="9"/>
  <c r="P377" i="9"/>
  <c r="Q377" i="9"/>
  <c r="R377" i="9"/>
  <c r="S377" i="9"/>
  <c r="T377" i="9"/>
  <c r="U377" i="9"/>
  <c r="V377" i="9"/>
  <c r="X377" i="9"/>
  <c r="Y377" i="9"/>
  <c r="Z377" i="9"/>
  <c r="AA377" i="9"/>
  <c r="AB377" i="9"/>
  <c r="AC377" i="9"/>
  <c r="AD377" i="9"/>
  <c r="AE377" i="9"/>
  <c r="AF377" i="9"/>
  <c r="AG377" i="9"/>
  <c r="C378" i="9"/>
  <c r="A379" i="9"/>
  <c r="B379" i="9"/>
  <c r="C379" i="9"/>
  <c r="D379" i="9"/>
  <c r="E379" i="9"/>
  <c r="F379" i="9"/>
  <c r="G379" i="9"/>
  <c r="H379" i="9"/>
  <c r="I379" i="9"/>
  <c r="J379" i="9"/>
  <c r="K379" i="9"/>
  <c r="L379" i="9"/>
  <c r="M379" i="9"/>
  <c r="N379" i="9"/>
  <c r="O379" i="9"/>
  <c r="P379" i="9"/>
  <c r="Q379" i="9"/>
  <c r="R379" i="9"/>
  <c r="S379" i="9"/>
  <c r="T379" i="9"/>
  <c r="U379" i="9"/>
  <c r="V379" i="9"/>
  <c r="X379" i="9"/>
  <c r="Y379" i="9"/>
  <c r="Z379" i="9"/>
  <c r="AA379" i="9"/>
  <c r="AB379" i="9"/>
  <c r="AC379" i="9"/>
  <c r="AD379" i="9"/>
  <c r="AE379" i="9"/>
  <c r="AF379" i="9"/>
  <c r="AG379" i="9"/>
  <c r="A380" i="9"/>
  <c r="B380" i="9"/>
  <c r="C380" i="9"/>
  <c r="D380" i="9"/>
  <c r="E380" i="9"/>
  <c r="F380" i="9"/>
  <c r="G380" i="9"/>
  <c r="H380" i="9"/>
  <c r="I380" i="9"/>
  <c r="J380" i="9"/>
  <c r="K380" i="9"/>
  <c r="L380" i="9"/>
  <c r="M380" i="9"/>
  <c r="N380" i="9"/>
  <c r="O380" i="9"/>
  <c r="P380" i="9"/>
  <c r="Q380" i="9"/>
  <c r="R380" i="9"/>
  <c r="S380" i="9"/>
  <c r="T380" i="9"/>
  <c r="U380" i="9"/>
  <c r="V380" i="9"/>
  <c r="X380" i="9"/>
  <c r="Y380" i="9"/>
  <c r="Z380" i="9"/>
  <c r="AA380" i="9"/>
  <c r="AB380" i="9"/>
  <c r="AC380" i="9"/>
  <c r="AD380" i="9"/>
  <c r="AE380" i="9"/>
  <c r="AF380" i="9"/>
  <c r="AG380" i="9"/>
  <c r="A381" i="9"/>
  <c r="B381" i="9"/>
  <c r="C381" i="9"/>
  <c r="D381" i="9"/>
  <c r="E381" i="9"/>
  <c r="F381" i="9"/>
  <c r="G381" i="9"/>
  <c r="H381" i="9"/>
  <c r="I381" i="9"/>
  <c r="J381" i="9"/>
  <c r="K381" i="9"/>
  <c r="L381" i="9"/>
  <c r="M381" i="9"/>
  <c r="N381" i="9"/>
  <c r="O381" i="9"/>
  <c r="P381" i="9"/>
  <c r="Q381" i="9"/>
  <c r="R381" i="9"/>
  <c r="S381" i="9"/>
  <c r="T381" i="9"/>
  <c r="U381" i="9"/>
  <c r="V381" i="9"/>
  <c r="X381" i="9"/>
  <c r="Y381" i="9"/>
  <c r="Z381" i="9"/>
  <c r="AA381" i="9"/>
  <c r="AB381" i="9"/>
  <c r="AC381" i="9"/>
  <c r="AD381" i="9"/>
  <c r="AE381" i="9"/>
  <c r="AF381" i="9"/>
  <c r="AG381" i="9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376" i="8"/>
  <c r="B376" i="8"/>
  <c r="C376" i="8"/>
  <c r="D376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Y376" i="8"/>
  <c r="Z376" i="8"/>
  <c r="AA376" i="8"/>
  <c r="AB376" i="8"/>
  <c r="AC376" i="8"/>
  <c r="AD376" i="8"/>
  <c r="AE376" i="8"/>
  <c r="AF376" i="8"/>
  <c r="AG376" i="8"/>
  <c r="AH376" i="8"/>
  <c r="A50" i="2"/>
  <c r="C54" i="2"/>
  <c r="F64" i="2"/>
  <c r="B77" i="2"/>
  <c r="J77" i="2"/>
  <c r="J78" i="2"/>
  <c r="A377" i="2"/>
  <c r="C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  <author>Gordon McKillop</author>
  </authors>
  <commentList>
    <comment ref="E42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  <comment ref="B50" authorId="1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Cash Balance at 8/3 after all the transactions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<sst xmlns="http://schemas.openxmlformats.org/spreadsheetml/2006/main" count="1537" uniqueCount="567">
  <si>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</si>
  <si>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</si>
  <si>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</si>
  <si>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</si>
  <si>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</si>
  <si>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</si>
  <si>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</si>
  <si>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</si>
  <si>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</si>
  <si>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</si>
  <si>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</si>
  <si>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</si>
  <si>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</si>
  <si>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Avici Systems</t>
  </si>
  <si>
    <t>AVCI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</si>
  <si>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</si>
  <si>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</si>
  <si>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</si>
  <si>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</si>
  <si>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</si>
  <si>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</si>
  <si>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</si>
  <si>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</si>
  <si>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</si>
  <si>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</si>
  <si>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</si>
  <si>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</si>
  <si>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</si>
  <si>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</si>
  <si>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</si>
  <si>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</si>
  <si>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</si>
  <si>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Talon Balance Sheet as of 4/18/00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</si>
  <si>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</si>
  <si>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</si>
  <si>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</si>
  <si>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</si>
  <si>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</si>
  <si>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</si>
  <si>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</si>
  <si>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</si>
  <si>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</si>
  <si>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</si>
  <si>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</si>
  <si>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</si>
  <si>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</si>
  <si>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</si>
  <si>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</si>
  <si>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</si>
  <si>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</si>
  <si>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</si>
  <si>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</si>
  <si>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</si>
  <si>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</si>
  <si>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</si>
  <si>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</si>
  <si>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</si>
  <si>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</si>
  <si>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</si>
  <si>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</si>
  <si>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</si>
  <si>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</si>
  <si>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</si>
  <si>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</si>
  <si>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</si>
  <si>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</si>
  <si>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</si>
  <si>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</si>
  <si>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</si>
  <si>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</si>
  <si>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</si>
  <si>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</si>
  <si>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</si>
  <si>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</si>
  <si>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</si>
  <si>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</si>
  <si>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</si>
  <si>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</si>
  <si>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</si>
  <si>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</si>
  <si>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</si>
  <si>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</si>
  <si>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</si>
  <si>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</si>
  <si>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</si>
  <si>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</si>
  <si>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</si>
  <si>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</si>
  <si>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Raptor I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</si>
  <si>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</si>
  <si>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</si>
  <si>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</si>
  <si>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</si>
  <si>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</si>
  <si>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</si>
  <si>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</si>
  <si>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</si>
  <si>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</si>
  <si>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</si>
  <si>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</si>
  <si>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</si>
  <si>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</si>
  <si>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</si>
  <si>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</si>
  <si>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</si>
  <si>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</si>
  <si>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</si>
  <si>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</si>
  <si>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</si>
  <si>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</si>
  <si>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</si>
  <si>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</si>
  <si>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</si>
  <si>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</si>
  <si>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</si>
  <si>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</si>
  <si>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</si>
  <si>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</si>
  <si>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</si>
  <si>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</si>
  <si>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</si>
  <si>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</si>
  <si>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</si>
  <si>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</si>
  <si>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</si>
  <si>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</si>
  <si>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</si>
  <si>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</si>
  <si>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Raptor I Daily Position Report &amp; Summary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</si>
  <si>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</si>
  <si>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</si>
  <si>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</si>
  <si>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</si>
  <si>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</si>
  <si>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</si>
  <si>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</si>
  <si>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</si>
  <si>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</si>
  <si>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</si>
  <si>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</si>
  <si>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</si>
  <si>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</si>
  <si>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</si>
  <si>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</si>
  <si>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</si>
  <si>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</si>
  <si>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</si>
  <si>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</si>
  <si>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</si>
  <si>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</si>
  <si>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Plus:  Talon Earnings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</si>
  <si>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</si>
  <si>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</si>
  <si>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</si>
  <si>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</si>
  <si>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</si>
  <si>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</si>
  <si>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</si>
  <si>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</si>
  <si>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</si>
  <si>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</si>
  <si>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</si>
  <si>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</si>
  <si>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</si>
  <si>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</si>
  <si>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</si>
  <si>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</si>
  <si>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Active Power</t>
  </si>
  <si>
    <t>Queen Sands</t>
  </si>
  <si>
    <t>Carrizo Warrants</t>
  </si>
  <si>
    <t>3TEC Warrants</t>
  </si>
  <si>
    <t>Paradigm</t>
  </si>
  <si>
    <t>Quicksilver</t>
  </si>
  <si>
    <t>KWK</t>
  </si>
  <si>
    <t>Rate</t>
  </si>
  <si>
    <t>ACPW</t>
  </si>
  <si>
    <t>CA$:BAU</t>
  </si>
  <si>
    <t>QSRI</t>
  </si>
  <si>
    <t>CRZO</t>
  </si>
  <si>
    <t>TTEN</t>
  </si>
  <si>
    <t>CA:BOU</t>
  </si>
  <si>
    <t>Units</t>
  </si>
  <si>
    <t>PGEO</t>
  </si>
  <si>
    <t>End of Range</t>
  </si>
  <si>
    <t>Canadian Exchange</t>
  </si>
  <si>
    <t>PUBLICS</t>
  </si>
  <si>
    <t>PRIVATES</t>
  </si>
  <si>
    <t>Catalytica</t>
  </si>
  <si>
    <t>Invasion Energy</t>
  </si>
  <si>
    <t>HV Marine Warrants</t>
  </si>
  <si>
    <t>Merlin Credit Derivative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</si>
  <si>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</si>
  <si>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</si>
  <si>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</si>
  <si>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</si>
  <si>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</si>
  <si>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</si>
  <si>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</si>
  <si>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</si>
  <si>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</si>
  <si>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</si>
  <si>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</si>
  <si>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</si>
  <si>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</si>
  <si>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</si>
  <si>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</si>
  <si>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</si>
  <si>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</si>
  <si>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</si>
  <si>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</si>
  <si>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</si>
  <si>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Basic Energy Preferred Raptor I</t>
  </si>
  <si>
    <t>Heartland Steel Common Raptor I</t>
  </si>
  <si>
    <t>Brigham Common Raptor I</t>
  </si>
  <si>
    <t>Inland Common Raptor I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</si>
  <si>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</si>
  <si>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</si>
  <si>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</si>
  <si>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</si>
  <si>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</si>
  <si>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</si>
  <si>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</si>
  <si>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</si>
  <si>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Brigham Warrants Raptor I</t>
  </si>
  <si>
    <t>Venoco Convertible Raptor I</t>
  </si>
  <si>
    <t>Black Bay Raptor I</t>
  </si>
  <si>
    <t>City Forest IPC Raptor I</t>
  </si>
  <si>
    <t>Geo. Pursuit (EBGB) Raptor I</t>
  </si>
  <si>
    <t>Keathley Canyon Raptor I</t>
  </si>
  <si>
    <t>WB Oil &amp; Gas Raptor I</t>
  </si>
  <si>
    <t>Catalytica Raptor I</t>
  </si>
  <si>
    <t>Bonus Resources Common Raptor I</t>
  </si>
  <si>
    <t>Paradigm Common Raptor I</t>
  </si>
  <si>
    <t>Tetonka Drilling Common Raptor I</t>
  </si>
  <si>
    <t>Quicksilver Common Raptor I</t>
  </si>
  <si>
    <t>LSI Preferred Raptor I</t>
  </si>
  <si>
    <t>HV Marine Warrants Raptor I</t>
  </si>
  <si>
    <t>LSI Warrants Raptor I</t>
  </si>
  <si>
    <t>Beau Canada Common Raptor I</t>
  </si>
  <si>
    <t>Ameritex</t>
  </si>
  <si>
    <t>Black Bay</t>
  </si>
  <si>
    <t>Brigham Secured SubDebt</t>
  </si>
  <si>
    <t>City Forest IPC</t>
  </si>
  <si>
    <t>Geo. Pursuit (EBGB)</t>
  </si>
  <si>
    <t>Hughes Rawls Loan</t>
  </si>
  <si>
    <t>Hughes Rawls Note</t>
  </si>
  <si>
    <t>Industrial Holdings</t>
  </si>
  <si>
    <t>Juniper</t>
  </si>
  <si>
    <t>Keathley Canyon</t>
  </si>
  <si>
    <t>LSI Preferred</t>
  </si>
  <si>
    <t>LSI Warrants</t>
  </si>
  <si>
    <t>Oconto Falls Common</t>
  </si>
  <si>
    <t>Texland</t>
  </si>
  <si>
    <t>Price/Value</t>
  </si>
  <si>
    <t>Juniper Committed Exposurer</t>
  </si>
  <si>
    <t>Texland Committed Exposurer</t>
  </si>
  <si>
    <t>Chewco SLP Exposurer</t>
  </si>
  <si>
    <t>CA:BAU</t>
  </si>
  <si>
    <t>Beau Canada in US$</t>
  </si>
  <si>
    <t>Beau Canada in C$</t>
  </si>
  <si>
    <t>Bonus Resources in C$</t>
  </si>
  <si>
    <t>Bonus Resources in US $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</si>
  <si>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</si>
  <si>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</si>
  <si>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</si>
  <si>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</si>
  <si>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</si>
  <si>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</si>
  <si>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</si>
  <si>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</si>
  <si>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</si>
  <si>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</si>
  <si>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</si>
  <si>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</si>
  <si>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</si>
  <si>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</si>
  <si>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</si>
  <si>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</si>
  <si>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</si>
  <si>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</si>
  <si>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</si>
  <si>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</si>
  <si>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</si>
  <si>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</si>
  <si>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</si>
  <si>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</si>
  <si>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</si>
  <si>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</si>
  <si>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</si>
  <si>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</si>
  <si>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</si>
  <si>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</si>
  <si>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</si>
  <si>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</si>
  <si>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</si>
  <si>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</si>
  <si>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</si>
  <si>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</si>
  <si>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</si>
  <si>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</si>
  <si>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</si>
  <si>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</si>
  <si>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</si>
  <si>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</si>
  <si>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</si>
  <si>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</si>
  <si>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</si>
  <si>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</si>
  <si>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</si>
  <si>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</si>
  <si>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</si>
  <si>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</si>
  <si>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</si>
  <si>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</si>
  <si>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</si>
  <si>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</si>
  <si>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</si>
  <si>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</si>
  <si>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</si>
  <si>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</si>
  <si>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</si>
  <si>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</si>
  <si>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</si>
  <si>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</si>
  <si>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</si>
  <si>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</si>
  <si>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</si>
  <si>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</si>
  <si>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</si>
  <si>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</si>
  <si>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</si>
  <si>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</si>
  <si>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</si>
  <si>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</si>
  <si>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</si>
  <si>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</si>
  <si>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</si>
  <si>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</si>
  <si>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</si>
  <si>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</si>
  <si>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</si>
  <si>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</si>
  <si>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</si>
  <si>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</si>
  <si>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</si>
  <si>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</si>
  <si>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</si>
  <si>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</si>
  <si>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Enron Raptor I - Canadian - Public</t>
  </si>
  <si>
    <t>CA;BAU</t>
  </si>
  <si>
    <t>Canadian Energy</t>
  </si>
  <si>
    <t>Public</t>
  </si>
  <si>
    <t>9-10</t>
  </si>
  <si>
    <t>N</t>
  </si>
  <si>
    <t>Enron Raptor I - Canadian - Public Total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</si>
  <si>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</si>
  <si>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</si>
  <si>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</si>
  <si>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</si>
  <si>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</si>
  <si>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</si>
  <si>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</si>
  <si>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</si>
  <si>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</si>
  <si>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</si>
  <si>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</si>
  <si>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</si>
  <si>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</si>
  <si>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</si>
  <si>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</si>
  <si>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</si>
  <si>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</si>
  <si>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</si>
  <si>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</si>
  <si>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</si>
  <si>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</si>
  <si>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</si>
  <si>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</si>
  <si>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</si>
  <si>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</si>
  <si>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</si>
  <si>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</si>
  <si>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</si>
  <si>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</si>
  <si>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Paper</t>
  </si>
  <si>
    <t>2655-3310</t>
  </si>
  <si>
    <t>Paper Raptor Total</t>
  </si>
  <si>
    <t>Portfolio Raptor</t>
  </si>
  <si>
    <t>Maffet</t>
  </si>
  <si>
    <t>713-853-3212</t>
  </si>
  <si>
    <t>Portfolio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</si>
  <si>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</si>
  <si>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</si>
  <si>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</si>
  <si>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</si>
  <si>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</si>
  <si>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</si>
  <si>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Principal Investing</t>
  </si>
  <si>
    <t>Enron Raptor I - US Private</t>
  </si>
  <si>
    <t>Enron Raptor I - US Private Total</t>
  </si>
  <si>
    <t>US;ACPW</t>
  </si>
  <si>
    <t>5942-7905</t>
  </si>
  <si>
    <t>Principal Investing Raptor Total</t>
  </si>
  <si>
    <t>Enron Raptor I - EGF SLP - Canadian Public</t>
  </si>
  <si>
    <t>Producer EGF Raptor</t>
  </si>
  <si>
    <t>Beau Canada Common EGF Raptor I</t>
  </si>
  <si>
    <t>Enron Raptor I - EGF SLP - Canadian Public Total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</si>
  <si>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</si>
  <si>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</si>
  <si>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</si>
  <si>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</si>
  <si>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</si>
  <si>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</si>
  <si>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</si>
  <si>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</si>
  <si>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Quicksilver Common EGF Raptor I</t>
  </si>
  <si>
    <t>US;KWK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</si>
  <si>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</si>
  <si>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</si>
  <si>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</si>
  <si>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</si>
  <si>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</si>
  <si>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</si>
  <si>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</si>
  <si>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</si>
  <si>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</si>
  <si>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</si>
  <si>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172-4909</t>
  </si>
  <si>
    <t>Enron Raptor I - Convertible - Private Total</t>
  </si>
  <si>
    <t>126-153</t>
  </si>
  <si>
    <t>US;BEXP</t>
  </si>
  <si>
    <t>1527-1800</t>
  </si>
  <si>
    <t>US;INLN</t>
  </si>
  <si>
    <t>58-7704</t>
  </si>
  <si>
    <t>82-847</t>
  </si>
  <si>
    <t>Enron Raptor I - US Structured Credit-Book RA</t>
  </si>
  <si>
    <t>1527-2428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</si>
  <si>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</si>
  <si>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</si>
  <si>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</si>
  <si>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</si>
  <si>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</si>
  <si>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</si>
  <si>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</si>
  <si>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</si>
  <si>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</si>
  <si>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</si>
  <si>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</si>
  <si>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</si>
  <si>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</si>
  <si>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1527-2480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</si>
  <si>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</si>
  <si>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</si>
  <si>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</si>
  <si>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</si>
  <si>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</si>
  <si>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</si>
  <si>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</si>
  <si>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</si>
  <si>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</si>
  <si>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108-134</t>
  </si>
  <si>
    <t>21-2320</t>
  </si>
  <si>
    <t>46-54</t>
  </si>
  <si>
    <t>46-846</t>
  </si>
  <si>
    <t>588-639</t>
  </si>
  <si>
    <t>Preferred Equity</t>
  </si>
  <si>
    <t>1588-1862</t>
  </si>
  <si>
    <t>CA;BOU</t>
  </si>
  <si>
    <t>1348-6217</t>
  </si>
  <si>
    <t>US;PGEO</t>
  </si>
  <si>
    <t>75-10364</t>
  </si>
  <si>
    <t>CA;TDI</t>
  </si>
  <si>
    <t>582-632</t>
  </si>
  <si>
    <t>216-259</t>
  </si>
  <si>
    <t>614-665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</si>
  <si>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</si>
  <si>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</si>
  <si>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</si>
  <si>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</si>
  <si>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</si>
  <si>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</si>
  <si>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</si>
  <si>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</si>
  <si>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</si>
  <si>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</t>
  </si>
  <si>
    <t>Place Resources in US$</t>
  </si>
  <si>
    <t>CA:PLG</t>
  </si>
  <si>
    <t>Place Resources in C$</t>
  </si>
  <si>
    <t>Heartland Common (Condor)</t>
  </si>
  <si>
    <t>WB Oil &amp; Gas</t>
  </si>
  <si>
    <t>Venoco Convertible</t>
  </si>
  <si>
    <t>Place Resources Common Raptor I</t>
  </si>
  <si>
    <t>CA;PLG</t>
  </si>
  <si>
    <t>78-99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</si>
  <si>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</si>
  <si>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</si>
  <si>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</si>
  <si>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</si>
  <si>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</si>
  <si>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</si>
  <si>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</si>
  <si>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</si>
  <si>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</si>
  <si>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Place Resources Common ECM Raptor I</t>
  </si>
  <si>
    <t>Basic Energy Preferred</t>
  </si>
  <si>
    <t>Increase (+) Decrease (-)</t>
  </si>
  <si>
    <t>increase to loan is settlement of Put option</t>
  </si>
  <si>
    <t>$400 MM interest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</si>
  <si>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</si>
  <si>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</si>
  <si>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</si>
  <si>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</si>
  <si>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</si>
  <si>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</si>
  <si>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</si>
  <si>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</si>
  <si>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</si>
  <si>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</si>
  <si>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3TEC Warr.- SLP</t>
  </si>
  <si>
    <t>TTENE</t>
  </si>
  <si>
    <t>Heartland Common</t>
  </si>
  <si>
    <t>Heartland Loan</t>
  </si>
  <si>
    <t>Heartland Warrants</t>
  </si>
  <si>
    <t>Vastar</t>
  </si>
  <si>
    <t>Vastar Exposure</t>
  </si>
  <si>
    <t>CTG</t>
  </si>
  <si>
    <t>Not Available</t>
  </si>
  <si>
    <t>Merlin Credit Derivative Raptor I</t>
  </si>
  <si>
    <t>Other</t>
  </si>
  <si>
    <t>4182-5518</t>
  </si>
  <si>
    <t>Ecogas Loan &amp; Equity</t>
  </si>
  <si>
    <t>Oconto Falls IPC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</si>
  <si>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</si>
  <si>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</si>
  <si>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</si>
  <si>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</si>
  <si>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</si>
  <si>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</si>
  <si>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check</t>
  </si>
  <si>
    <t>Column</t>
  </si>
  <si>
    <t>Put</t>
  </si>
  <si>
    <t>Put Option Exposure</t>
  </si>
  <si>
    <t>9/30/00</t>
  </si>
  <si>
    <t>Merlin Credit Derivative Put Premium</t>
  </si>
  <si>
    <t>Merlin Put Premium</t>
  </si>
  <si>
    <t>Reduction to Note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</si>
  <si>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</si>
  <si>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</si>
  <si>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</si>
  <si>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</si>
  <si>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</si>
  <si>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</si>
  <si>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</si>
  <si>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check if sum=0 then ok</t>
  </si>
  <si>
    <t>Option/Put Obligations</t>
  </si>
  <si>
    <t>Permitted Investment</t>
  </si>
  <si>
    <t>Paymentof Interest on Note Receivable</t>
  </si>
  <si>
    <t>DevX Energy Common EGF Raptor I</t>
  </si>
  <si>
    <t>US;DVXE</t>
  </si>
  <si>
    <t>DevX Energy Common Raptor I</t>
  </si>
  <si>
    <t>7340971.2 exchanged for 137635</t>
  </si>
  <si>
    <t>DevX Energy</t>
  </si>
  <si>
    <t>Amerada Hess Exposure Raptor I</t>
  </si>
  <si>
    <t>swap settled</t>
  </si>
  <si>
    <t xml:space="preserve">          ENE share gain (loss) from $70.50 (1)</t>
  </si>
  <si>
    <t>(1) Put at $81 per share and Call at $116 included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</si>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</sst>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  <numFmt numFmtId="187" formatCode="[$CAD]\ #,##0.000_);\([$CAD]\ #,##0.000\)"/>
    <numFmt numFmtId="188" formatCode="[$CAD]\ #,##0.000"/>
    <numFmt numFmtId="190" formatCode="_(* #,##0.0000_);_(* \(#,##0.0000\);_(* &quot;-&quot;??_);_(@_)"/>
    <numFmt numFmtId="191" formatCode="_(* #,##0.00000_);_(* \(#,##0.00000\);_(* &quot;-&quot;??_);_(@_)"/>
    <numFmt numFmtId="198" formatCode="_(* #,##0.0000000_);_(* \(#,##0.0000000\);_(* &quot;-&quot;??_);_(@_)"/>
  </numFmts>
  <fonts count="33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sz val="8.5"/>
      <name val="MS Sans Serif"/>
      <family val="2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2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44" fontId="0" fillId="0" borderId="0" xfId="2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179" fontId="0" fillId="0" borderId="0" xfId="2" applyNumberFormat="1" applyFont="1"/>
    <xf numFmtId="187" fontId="0" fillId="0" borderId="0" xfId="0" applyNumberFormat="1"/>
    <xf numFmtId="187" fontId="21" fillId="0" borderId="30" xfId="2" applyNumberFormat="1" applyFont="1" applyBorder="1" applyAlignment="1">
      <alignment horizontal="center"/>
    </xf>
    <xf numFmtId="188" fontId="0" fillId="0" borderId="0" xfId="0" applyNumberFormat="1"/>
    <xf numFmtId="188" fontId="21" fillId="0" borderId="30" xfId="2" applyNumberFormat="1" applyFont="1" applyBorder="1" applyAlignment="1">
      <alignment horizontal="center"/>
    </xf>
    <xf numFmtId="190" fontId="0" fillId="0" borderId="0" xfId="1" applyNumberFormat="1" applyFont="1"/>
    <xf numFmtId="190" fontId="21" fillId="0" borderId="30" xfId="1" applyNumberFormat="1" applyFont="1" applyBorder="1" applyAlignment="1">
      <alignment horizontal="center"/>
    </xf>
    <xf numFmtId="44" fontId="0" fillId="0" borderId="27" xfId="2" applyFont="1" applyFill="1" applyBorder="1"/>
    <xf numFmtId="167" fontId="21" fillId="0" borderId="0" xfId="2" applyNumberFormat="1" applyFont="1" applyBorder="1" applyAlignment="1">
      <alignment horizontal="center" wrapText="1"/>
    </xf>
    <xf numFmtId="44" fontId="21" fillId="0" borderId="0" xfId="2" applyFont="1" applyBorder="1" applyAlignment="1">
      <alignment horizontal="center" wrapText="1"/>
    </xf>
    <xf numFmtId="165" fontId="21" fillId="0" borderId="0" xfId="1" applyNumberFormat="1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7" fillId="2" borderId="0" xfId="2" applyFont="1" applyFill="1" applyBorder="1" applyAlignment="1">
      <alignment horizontal="center"/>
    </xf>
    <xf numFmtId="43" fontId="25" fillId="0" borderId="0" xfId="1" applyNumberFormat="1" applyFont="1"/>
    <xf numFmtId="43" fontId="0" fillId="0" borderId="0" xfId="1" applyFont="1"/>
    <xf numFmtId="191" fontId="0" fillId="0" borderId="0" xfId="1" applyNumberFormat="1" applyFont="1"/>
    <xf numFmtId="0" fontId="26" fillId="2" borderId="9" xfId="0" applyFont="1" applyFill="1" applyBorder="1" applyAlignment="1">
      <alignment horizontal="left"/>
    </xf>
    <xf numFmtId="0" fontId="26" fillId="2" borderId="31" xfId="0" applyFont="1" applyFill="1" applyBorder="1" applyAlignment="1">
      <alignment horizontal="left"/>
    </xf>
    <xf numFmtId="43" fontId="27" fillId="2" borderId="9" xfId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14" fontId="27" fillId="2" borderId="9" xfId="2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left"/>
    </xf>
    <xf numFmtId="0" fontId="26" fillId="2" borderId="32" xfId="0" applyFont="1" applyFill="1" applyBorder="1" applyAlignment="1">
      <alignment horizontal="left"/>
    </xf>
    <xf numFmtId="43" fontId="27" fillId="2" borderId="0" xfId="1" applyFont="1" applyFill="1" applyBorder="1" applyAlignment="1">
      <alignment horizontal="center"/>
    </xf>
    <xf numFmtId="39" fontId="27" fillId="2" borderId="0" xfId="2" applyNumberFormat="1" applyFont="1" applyFill="1" applyBorder="1" applyAlignment="1">
      <alignment horizontal="center"/>
    </xf>
    <xf numFmtId="14" fontId="27" fillId="2" borderId="0" xfId="2" applyNumberFormat="1" applyFont="1" applyFill="1" applyBorder="1" applyAlignment="1">
      <alignment horizontal="center"/>
    </xf>
    <xf numFmtId="39" fontId="27" fillId="2" borderId="0" xfId="2" quotePrefix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left"/>
    </xf>
    <xf numFmtId="0" fontId="26" fillId="2" borderId="20" xfId="0" applyFont="1" applyFill="1" applyBorder="1" applyAlignment="1">
      <alignment horizontal="left"/>
    </xf>
    <xf numFmtId="43" fontId="27" fillId="2" borderId="5" xfId="1" applyFont="1" applyFill="1" applyBorder="1" applyAlignment="1">
      <alignment horizontal="center"/>
    </xf>
    <xf numFmtId="39" fontId="27" fillId="2" borderId="5" xfId="2" applyNumberFormat="1" applyFont="1" applyFill="1" applyBorder="1" applyAlignment="1">
      <alignment horizontal="center"/>
    </xf>
    <xf numFmtId="14" fontId="27" fillId="2" borderId="5" xfId="2" applyNumberFormat="1" applyFont="1" applyFill="1" applyBorder="1" applyAlignment="1">
      <alignment horizontal="center"/>
    </xf>
    <xf numFmtId="44" fontId="27" fillId="2" borderId="5" xfId="2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8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98" fontId="0" fillId="0" borderId="0" xfId="1" applyNumberFormat="1" applyFont="1"/>
    <xf numFmtId="37" fontId="0" fillId="0" borderId="0" xfId="0" applyNumberFormat="1" applyFill="1" applyBorder="1" applyAlignment="1">
      <alignment horizontal="left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1" fillId="0" borderId="0" xfId="0" applyNumberFormat="1" applyFont="1"/>
    <xf numFmtId="165" fontId="32" fillId="0" borderId="0" xfId="1" applyNumberFormat="1" applyFont="1"/>
    <xf numFmtId="44" fontId="0" fillId="0" borderId="0" xfId="0" applyNumberFormat="1"/>
    <xf numFmtId="165" fontId="27" fillId="2" borderId="9" xfId="1" applyNumberFormat="1" applyFont="1" applyFill="1" applyBorder="1" applyAlignment="1">
      <alignment horizontal="center"/>
    </xf>
    <xf numFmtId="165" fontId="27" fillId="2" borderId="0" xfId="1" applyNumberFormat="1" applyFont="1" applyFill="1" applyBorder="1" applyAlignment="1">
      <alignment horizontal="center"/>
    </xf>
    <xf numFmtId="165" fontId="27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37" fontId="0" fillId="0" borderId="3" xfId="0" applyNumberFormat="1" applyFill="1" applyBorder="1" applyAlignment="1">
      <alignment horizontal="right" wrapText="1"/>
    </xf>
    <xf numFmtId="0" fontId="0" fillId="0" borderId="3" xfId="0" applyFill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165" fontId="29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5" fontId="3" fillId="0" borderId="0" xfId="1" applyNumberFormat="1" applyFont="1" applyFill="1" applyBorder="1" applyAlignment="1"/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7" fillId="2" borderId="35" xfId="2" applyNumberFormat="1" applyFont="1" applyFill="1" applyBorder="1" applyAlignment="1">
      <alignment horizontal="center"/>
    </xf>
    <xf numFmtId="39" fontId="27" fillId="2" borderId="36" xfId="2" applyNumberFormat="1" applyFont="1" applyFill="1" applyBorder="1" applyAlignment="1">
      <alignment horizontal="center"/>
    </xf>
    <xf numFmtId="14" fontId="27" fillId="2" borderId="37" xfId="2" applyNumberFormat="1" applyFont="1" applyFill="1" applyBorder="1" applyAlignment="1">
      <alignment horizontal="center"/>
    </xf>
    <xf numFmtId="44" fontId="27" fillId="2" borderId="38" xfId="2" applyFont="1" applyFill="1" applyBorder="1" applyAlignment="1">
      <alignment horizontal="center"/>
    </xf>
    <xf numFmtId="44" fontId="27" fillId="2" borderId="39" xfId="2" applyFont="1" applyFill="1" applyBorder="1" applyAlignment="1">
      <alignment horizontal="center"/>
    </xf>
    <xf numFmtId="44" fontId="29" fillId="0" borderId="36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43" xfId="0" applyNumberFormat="1" applyFont="1" applyBorder="1" applyAlignment="1">
      <alignment horizontal="center"/>
    </xf>
    <xf numFmtId="172" fontId="0" fillId="0" borderId="0" xfId="2" applyNumberFormat="1" applyFont="1"/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21" fillId="0" borderId="0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43" fontId="0" fillId="0" borderId="0" xfId="1" applyNumberFormat="1" applyFont="1"/>
    <xf numFmtId="165" fontId="0" fillId="0" borderId="0" xfId="1" quotePrefix="1" applyNumberFormat="1" applyFont="1"/>
    <xf numFmtId="172" fontId="0" fillId="0" borderId="0" xfId="1" quotePrefix="1" applyNumberFormat="1" applyFont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88" fontId="21" fillId="0" borderId="15" xfId="2" applyNumberFormat="1" applyFont="1" applyBorder="1" applyAlignment="1">
      <alignment horizontal="center"/>
    </xf>
    <xf numFmtId="188" fontId="21" fillId="0" borderId="16" xfId="2" applyNumberFormat="1" applyFont="1" applyBorder="1" applyAlignment="1">
      <alignment horizontal="center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190" fontId="21" fillId="0" borderId="15" xfId="1" applyNumberFormat="1" applyFont="1" applyBorder="1" applyAlignment="1">
      <alignment horizontal="center"/>
    </xf>
    <xf numFmtId="190" fontId="21" fillId="0" borderId="16" xfId="1" applyNumberFormat="1" applyFont="1" applyBorder="1" applyAlignment="1">
      <alignment horizontal="center"/>
    </xf>
    <xf numFmtId="187" fontId="21" fillId="0" borderId="15" xfId="2" applyNumberFormat="1" applyFont="1" applyBorder="1" applyAlignment="1">
      <alignment horizontal="center"/>
    </xf>
    <xf numFmtId="187" fontId="21" fillId="0" borderId="16" xfId="2" applyNumberFormat="1" applyFont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9" xfId="0" applyNumberFormat="1" applyBorder="1" applyAlignment="1"/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44" fontId="27" fillId="2" borderId="0" xfId="2" applyFont="1" applyFill="1" applyBorder="1" applyAlignment="1">
      <alignment horizontal="center"/>
    </xf>
    <xf numFmtId="44" fontId="27" fillId="2" borderId="8" xfId="2" applyFont="1" applyFill="1" applyBorder="1" applyAlignment="1">
      <alignment horizontal="center"/>
    </xf>
    <xf numFmtId="44" fontId="27" fillId="2" borderId="10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9"/>
      <c r="B1" s="60"/>
      <c r="C1" s="60"/>
      <c r="D1" s="60"/>
      <c r="E1" s="60"/>
      <c r="F1" s="61"/>
    </row>
    <row r="2" spans="1:6" ht="18.75" x14ac:dyDescent="0.3">
      <c r="A2" s="62"/>
      <c r="B2" s="280" t="s">
        <v>128</v>
      </c>
      <c r="C2" s="280"/>
      <c r="D2" s="280"/>
      <c r="E2" s="280"/>
      <c r="F2" s="63"/>
    </row>
    <row r="3" spans="1:6" x14ac:dyDescent="0.25">
      <c r="A3" s="62"/>
      <c r="B3" s="64"/>
      <c r="C3" s="64"/>
      <c r="D3" s="64"/>
      <c r="E3" s="64"/>
      <c r="F3" s="63"/>
    </row>
    <row r="4" spans="1:6" x14ac:dyDescent="0.25">
      <c r="A4" s="62"/>
      <c r="B4" s="76" t="s">
        <v>0</v>
      </c>
      <c r="C4" s="64"/>
      <c r="D4" s="64"/>
      <c r="E4" s="64"/>
      <c r="F4" s="63"/>
    </row>
    <row r="5" spans="1:6" x14ac:dyDescent="0.25">
      <c r="A5" s="62"/>
      <c r="B5" s="64" t="s">
        <v>15</v>
      </c>
      <c r="C5" s="66">
        <f>+'MRP Raptor'!U3</f>
        <v>36850</v>
      </c>
      <c r="D5" s="67" t="s">
        <v>20</v>
      </c>
      <c r="E5" s="68">
        <f>+C5-1</f>
        <v>36849</v>
      </c>
      <c r="F5" s="63"/>
    </row>
    <row r="6" spans="1:6" x14ac:dyDescent="0.25">
      <c r="A6" s="62"/>
      <c r="B6" s="64"/>
      <c r="C6" s="64"/>
      <c r="D6" s="64"/>
      <c r="E6" s="64"/>
      <c r="F6" s="63"/>
    </row>
    <row r="7" spans="1:6" x14ac:dyDescent="0.25">
      <c r="A7" s="62"/>
      <c r="B7" s="64"/>
      <c r="C7" s="64"/>
      <c r="D7" s="64"/>
      <c r="E7" s="64"/>
      <c r="F7" s="63"/>
    </row>
    <row r="8" spans="1:6" x14ac:dyDescent="0.25">
      <c r="A8" s="62"/>
      <c r="B8" s="76" t="s">
        <v>122</v>
      </c>
      <c r="C8" s="64"/>
      <c r="D8" s="64"/>
      <c r="E8" s="64"/>
      <c r="F8" s="63"/>
    </row>
    <row r="9" spans="1:6" x14ac:dyDescent="0.25">
      <c r="A9" s="62"/>
      <c r="B9" s="65"/>
      <c r="C9" s="64"/>
      <c r="D9" s="64"/>
      <c r="E9" s="64"/>
      <c r="F9" s="63"/>
    </row>
    <row r="10" spans="1:6" x14ac:dyDescent="0.25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25">
      <c r="A11" s="62"/>
      <c r="B11" s="64"/>
      <c r="C11" s="70"/>
      <c r="D11" s="70"/>
      <c r="E11" s="70"/>
      <c r="F11" s="63"/>
    </row>
    <row r="12" spans="1:6" x14ac:dyDescent="0.25">
      <c r="A12" s="62"/>
      <c r="B12" s="64" t="s">
        <v>9</v>
      </c>
      <c r="C12" s="71">
        <f>+'Daily Position'!P59</f>
        <v>-186751809.16353804</v>
      </c>
      <c r="D12" s="71">
        <f>+'Daily Position'!O59</f>
        <v>0</v>
      </c>
      <c r="E12" s="71">
        <f>+C12-D12</f>
        <v>-186751809.16353804</v>
      </c>
      <c r="F12" s="63"/>
    </row>
    <row r="13" spans="1:6" x14ac:dyDescent="0.25">
      <c r="A13" s="62"/>
      <c r="B13" s="64" t="s">
        <v>10</v>
      </c>
      <c r="C13" s="56">
        <f>+C15-C12</f>
        <v>-6578628.3400000036</v>
      </c>
      <c r="D13" s="56">
        <f>+D15-D12</f>
        <v>0</v>
      </c>
      <c r="E13" s="56">
        <f>+E15-E12</f>
        <v>-6578628.3400000036</v>
      </c>
      <c r="F13" s="63"/>
    </row>
    <row r="14" spans="1:6" x14ac:dyDescent="0.25">
      <c r="A14" s="62"/>
      <c r="B14" s="64"/>
      <c r="C14" s="71"/>
      <c r="D14" s="71"/>
      <c r="E14" s="71"/>
      <c r="F14" s="63"/>
    </row>
    <row r="15" spans="1:6" ht="16.5" thickBot="1" x14ac:dyDescent="0.3">
      <c r="A15" s="62"/>
      <c r="B15" s="64" t="s">
        <v>11</v>
      </c>
      <c r="C15" s="57">
        <f>+'Daily Position'!N59</f>
        <v>-193330437.50353804</v>
      </c>
      <c r="D15" s="57">
        <f>+'Daily Position'!M59</f>
        <v>0</v>
      </c>
      <c r="E15" s="57">
        <f>+C15-D15</f>
        <v>-193330437.50353804</v>
      </c>
      <c r="F15" s="63"/>
    </row>
    <row r="16" spans="1:6" ht="16.5" thickTop="1" x14ac:dyDescent="0.25">
      <c r="A16" s="62"/>
      <c r="B16" s="64"/>
      <c r="C16" s="71"/>
      <c r="D16" s="71"/>
      <c r="E16" s="71"/>
      <c r="F16" s="63"/>
    </row>
    <row r="17" spans="1:6" x14ac:dyDescent="0.25">
      <c r="A17" s="62"/>
      <c r="B17" s="64"/>
      <c r="C17" s="64"/>
      <c r="D17" s="64"/>
      <c r="E17" s="64"/>
      <c r="F17" s="63"/>
    </row>
    <row r="18" spans="1:6" x14ac:dyDescent="0.25">
      <c r="A18" s="62"/>
      <c r="B18" s="64" t="s">
        <v>3</v>
      </c>
      <c r="C18" s="71" t="str">
        <f>IF(+Financials!P26=0,"No Capacity Available",+Financials!P26)</f>
        <v>No Capacity Available</v>
      </c>
      <c r="D18" s="64"/>
      <c r="E18" s="64"/>
      <c r="F18" s="63"/>
    </row>
    <row r="19" spans="1:6" x14ac:dyDescent="0.25">
      <c r="A19" s="62"/>
      <c r="B19" s="64"/>
      <c r="C19" s="71"/>
      <c r="D19" s="64"/>
      <c r="E19" s="64"/>
      <c r="F19" s="63"/>
    </row>
    <row r="20" spans="1:6" x14ac:dyDescent="0.25">
      <c r="A20" s="62"/>
      <c r="B20" s="64"/>
      <c r="C20" s="71"/>
      <c r="D20" s="64"/>
      <c r="E20" s="64"/>
      <c r="F20" s="63"/>
    </row>
    <row r="21" spans="1:6" x14ac:dyDescent="0.25">
      <c r="A21" s="62"/>
      <c r="B21" s="64" t="s">
        <v>2</v>
      </c>
      <c r="C21" s="71">
        <f>+Financials!I36</f>
        <v>93979176.532411635</v>
      </c>
      <c r="D21" s="64"/>
      <c r="E21" s="64"/>
      <c r="F21" s="63"/>
    </row>
    <row r="22" spans="1:6" x14ac:dyDescent="0.25">
      <c r="A22" s="62"/>
      <c r="B22" s="64"/>
      <c r="C22" s="71"/>
      <c r="D22" s="64"/>
      <c r="E22" s="64"/>
      <c r="F22" s="63"/>
    </row>
    <row r="23" spans="1:6" x14ac:dyDescent="0.25">
      <c r="A23" s="62"/>
      <c r="B23" s="64"/>
      <c r="C23" s="71"/>
      <c r="D23" s="64"/>
      <c r="E23" s="64"/>
      <c r="F23" s="63"/>
    </row>
    <row r="24" spans="1:6" x14ac:dyDescent="0.25">
      <c r="A24" s="62"/>
      <c r="B24" s="72" t="s">
        <v>127</v>
      </c>
      <c r="C24" s="71">
        <f>1500000000-'Daily Position'!I59</f>
        <v>778818270.92999995</v>
      </c>
      <c r="D24" s="64"/>
      <c r="E24" s="64"/>
      <c r="F24" s="63"/>
    </row>
    <row r="25" spans="1:6" ht="16.5" thickBot="1" x14ac:dyDescent="0.3">
      <c r="A25" s="73"/>
      <c r="B25" s="74"/>
      <c r="C25" s="74"/>
      <c r="D25" s="74"/>
      <c r="E25" s="74"/>
      <c r="F25" s="75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U63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5.75" x14ac:dyDescent="0.25"/>
  <cols>
    <col min="1" max="1" width="23.125" customWidth="1"/>
    <col min="2" max="2" width="7.875" style="274" customWidth="1"/>
    <col min="3" max="3" width="10.875" style="274" customWidth="1"/>
    <col min="4" max="4" width="6.5" style="77" customWidth="1"/>
    <col min="5" max="5" width="12.125" style="4" bestFit="1" customWidth="1"/>
    <col min="6" max="6" width="5.875" style="77" customWidth="1"/>
    <col min="7" max="7" width="11.125" style="2" bestFit="1" customWidth="1"/>
    <col min="8" max="8" width="15" style="3" customWidth="1"/>
    <col min="9" max="9" width="15.625" style="4" bestFit="1" customWidth="1"/>
    <col min="10" max="10" width="13.125" customWidth="1"/>
    <col min="11" max="11" width="7.875" style="266" customWidth="1"/>
    <col min="12" max="12" width="14.125" customWidth="1"/>
    <col min="13" max="13" width="11.625" customWidth="1"/>
    <col min="14" max="14" width="14.5" customWidth="1"/>
    <col min="15" max="15" width="12.625" customWidth="1"/>
    <col min="16" max="16" width="13.5" customWidth="1"/>
    <col min="17" max="17" width="13.375" customWidth="1"/>
    <col min="18" max="18" width="7.25" customWidth="1"/>
    <col min="19" max="19" width="14.625" bestFit="1" customWidth="1"/>
    <col min="20" max="20" width="17.625" bestFit="1" customWidth="1"/>
  </cols>
  <sheetData>
    <row r="1" spans="1:21" s="79" customFormat="1" x14ac:dyDescent="0.25">
      <c r="A1" s="79" t="s">
        <v>130</v>
      </c>
      <c r="B1" s="271" t="s">
        <v>131</v>
      </c>
      <c r="C1" s="271" t="s">
        <v>132</v>
      </c>
      <c r="D1" s="79" t="s">
        <v>134</v>
      </c>
      <c r="E1" s="81"/>
      <c r="F1" s="79" t="s">
        <v>136</v>
      </c>
      <c r="G1" s="82" t="s">
        <v>137</v>
      </c>
      <c r="H1" s="283" t="s">
        <v>138</v>
      </c>
      <c r="I1" s="284"/>
      <c r="J1" s="79" t="s">
        <v>139</v>
      </c>
      <c r="K1" s="271"/>
      <c r="L1" s="86" t="s">
        <v>141</v>
      </c>
      <c r="M1" s="90" t="s">
        <v>142</v>
      </c>
      <c r="N1" s="87" t="s">
        <v>143</v>
      </c>
      <c r="O1" s="281" t="s">
        <v>144</v>
      </c>
      <c r="P1" s="282"/>
      <c r="Q1" s="86" t="s">
        <v>144</v>
      </c>
      <c r="R1" s="90"/>
      <c r="S1" s="87"/>
    </row>
    <row r="2" spans="1:21" s="80" customFormat="1" ht="15" customHeight="1" thickBot="1" x14ac:dyDescent="0.3">
      <c r="A2" s="83" t="s">
        <v>145</v>
      </c>
      <c r="B2" s="272" t="s">
        <v>1</v>
      </c>
      <c r="C2" s="272" t="s">
        <v>1</v>
      </c>
      <c r="D2" s="83" t="s">
        <v>133</v>
      </c>
      <c r="E2" s="84" t="s">
        <v>21</v>
      </c>
      <c r="F2" s="83" t="s">
        <v>135</v>
      </c>
      <c r="G2" s="85" t="s">
        <v>48</v>
      </c>
      <c r="H2" s="91" t="s">
        <v>181</v>
      </c>
      <c r="I2" s="244" t="s">
        <v>140</v>
      </c>
      <c r="J2" s="83" t="s">
        <v>253</v>
      </c>
      <c r="K2" s="272" t="s">
        <v>129</v>
      </c>
      <c r="L2" s="88" t="s">
        <v>146</v>
      </c>
      <c r="M2" s="83" t="s">
        <v>146</v>
      </c>
      <c r="N2" s="89" t="s">
        <v>146</v>
      </c>
      <c r="O2" s="88" t="s">
        <v>5</v>
      </c>
      <c r="P2" s="89" t="s">
        <v>7</v>
      </c>
      <c r="Q2" s="83" t="s">
        <v>253</v>
      </c>
      <c r="R2" s="83" t="s">
        <v>539</v>
      </c>
      <c r="S2" s="89" t="s">
        <v>191</v>
      </c>
    </row>
    <row r="3" spans="1:21" s="80" customFormat="1" ht="15" customHeight="1" x14ac:dyDescent="0.25">
      <c r="A3" s="141" t="s">
        <v>185</v>
      </c>
      <c r="B3" s="273"/>
      <c r="C3" s="273"/>
      <c r="E3" s="138"/>
      <c r="G3" s="139"/>
      <c r="H3" s="140"/>
      <c r="I3" s="138"/>
      <c r="K3" s="273"/>
    </row>
    <row r="4" spans="1:21" x14ac:dyDescent="0.25">
      <c r="A4" t="s">
        <v>170</v>
      </c>
      <c r="B4" s="274">
        <v>36741</v>
      </c>
      <c r="C4" s="274">
        <v>37836</v>
      </c>
      <c r="D4" s="77" t="s">
        <v>17</v>
      </c>
      <c r="E4" s="4">
        <v>0</v>
      </c>
      <c r="F4" s="77" t="s">
        <v>18</v>
      </c>
      <c r="G4" s="2">
        <v>1.17868389193476</v>
      </c>
      <c r="H4" s="3">
        <v>78000</v>
      </c>
      <c r="I4" s="4">
        <f t="shared" ref="I4:I11" si="0">ROUND(+G4*H4,2)</f>
        <v>91937.34</v>
      </c>
      <c r="J4" s="69">
        <f>VLOOKUP(+K4,wtten,2)</f>
        <v>1.5840936981110871</v>
      </c>
      <c r="K4" s="266">
        <f>+Summary!$C$5</f>
        <v>36850</v>
      </c>
      <c r="L4" s="4">
        <f>IF(K4&lt;B4,0,ROUND((+J4*H4),2)-I4-M4)</f>
        <v>31621.97</v>
      </c>
      <c r="M4" s="4">
        <v>0</v>
      </c>
      <c r="N4" s="5">
        <f t="shared" ref="N4:N11" si="1">+L4+M4</f>
        <v>31621.97</v>
      </c>
      <c r="O4">
        <v>0</v>
      </c>
      <c r="P4" s="4">
        <f>IF(Summary!$E$5&lt;'Daily Position'!B4,0,ROUND(+Q4*H4,2)-I4)</f>
        <v>38709.47</v>
      </c>
      <c r="Q4" s="2">
        <f>+VLOOKUP(+Summary!$E$5,wtten,2)</f>
        <v>1.6749590795986473</v>
      </c>
      <c r="R4" s="2"/>
      <c r="S4" s="146">
        <f>+J4*H4-'MRP Raptor'!U65</f>
        <v>0</v>
      </c>
    </row>
    <row r="5" spans="1:21" x14ac:dyDescent="0.25">
      <c r="A5" t="s">
        <v>167</v>
      </c>
      <c r="B5" s="274">
        <v>36741</v>
      </c>
      <c r="C5" s="274">
        <v>37836</v>
      </c>
      <c r="D5" s="77" t="s">
        <v>17</v>
      </c>
      <c r="E5" s="4">
        <v>0</v>
      </c>
      <c r="F5" s="77" t="s">
        <v>18</v>
      </c>
      <c r="G5" s="2">
        <f>67648299.25/H5</f>
        <v>53.000000195865972</v>
      </c>
      <c r="H5" s="243">
        <v>1276383</v>
      </c>
      <c r="I5" s="4">
        <f t="shared" si="0"/>
        <v>67648299.25</v>
      </c>
      <c r="J5" s="69">
        <f>VLOOKUP(+K5,acpw,2)</f>
        <v>18</v>
      </c>
      <c r="K5" s="266">
        <f>+Summary!$C$5</f>
        <v>36850</v>
      </c>
      <c r="L5" s="4">
        <f t="shared" ref="L5:L11" si="2">IF(K5&lt;B5,0,ROUND((+J5*H5),2)-I5-M5)</f>
        <v>-44673405.25</v>
      </c>
      <c r="M5" s="4">
        <v>0</v>
      </c>
      <c r="N5" s="5">
        <f t="shared" si="1"/>
        <v>-44673405.25</v>
      </c>
      <c r="O5">
        <v>0</v>
      </c>
      <c r="P5" s="4">
        <f>IF(Summary!$E$5&lt;'Daily Position'!B5,0,ROUND(+Q5*H5,2)-I5)</f>
        <v>-43795891.939999998</v>
      </c>
      <c r="Q5" s="2">
        <f>+VLOOKUP(+Summary!$E$5,acpw,2)</f>
        <v>18.6875</v>
      </c>
      <c r="R5" s="2"/>
      <c r="S5" s="146">
        <f>+J5*H5-'MRP Raptor'!U34</f>
        <v>0</v>
      </c>
      <c r="T5" s="219"/>
    </row>
    <row r="6" spans="1:21" x14ac:dyDescent="0.25">
      <c r="A6" t="s">
        <v>13</v>
      </c>
      <c r="B6" s="274">
        <v>36741</v>
      </c>
      <c r="C6" s="274">
        <v>37836</v>
      </c>
      <c r="D6" s="77" t="s">
        <v>17</v>
      </c>
      <c r="E6" s="4">
        <v>0</v>
      </c>
      <c r="F6" s="77" t="s">
        <v>18</v>
      </c>
      <c r="G6" s="2">
        <v>162.5</v>
      </c>
      <c r="H6" s="3">
        <v>1093426</v>
      </c>
      <c r="I6" s="4">
        <f t="shared" si="0"/>
        <v>177681725</v>
      </c>
      <c r="J6" s="69">
        <f>VLOOKUP(+K6,avci,2)</f>
        <v>24.25</v>
      </c>
      <c r="K6" s="266">
        <f>+Summary!$C$5</f>
        <v>36850</v>
      </c>
      <c r="L6" s="4">
        <f t="shared" si="2"/>
        <v>-151166144.5</v>
      </c>
      <c r="M6" s="4">
        <v>0</v>
      </c>
      <c r="N6" s="5">
        <f>+L6+M6</f>
        <v>-151166144.5</v>
      </c>
      <c r="O6">
        <v>0</v>
      </c>
      <c r="P6" s="4">
        <f>IF(Summary!$E$5&lt;'Daily Position'!B6,0,ROUND(+Q6*H6,2)-I6)</f>
        <v>-146109049.25</v>
      </c>
      <c r="Q6" s="2">
        <f>+VLOOKUP(+Summary!$E$5,avci,2)</f>
        <v>28.875</v>
      </c>
      <c r="R6" s="2"/>
      <c r="S6" s="146">
        <f>+J6*H6-'MRP Raptor'!U10</f>
        <v>0</v>
      </c>
      <c r="T6" s="219"/>
    </row>
    <row r="7" spans="1:21" x14ac:dyDescent="0.25">
      <c r="A7" t="s">
        <v>169</v>
      </c>
      <c r="B7" s="274">
        <v>36741</v>
      </c>
      <c r="C7" s="274">
        <v>37836</v>
      </c>
      <c r="D7" s="77" t="s">
        <v>17</v>
      </c>
      <c r="E7" s="4">
        <v>0</v>
      </c>
      <c r="F7" s="77" t="s">
        <v>18</v>
      </c>
      <c r="G7" s="2">
        <v>4.1954025145547202</v>
      </c>
      <c r="H7" s="3">
        <v>156250</v>
      </c>
      <c r="I7" s="4">
        <f t="shared" si="0"/>
        <v>655531.64</v>
      </c>
      <c r="J7" s="69">
        <f>VLOOKUP(+K7,wcrzo,2)</f>
        <v>5.4251303331928877</v>
      </c>
      <c r="K7" s="266">
        <f>+Summary!$C$5</f>
        <v>36850</v>
      </c>
      <c r="L7" s="4">
        <f t="shared" si="2"/>
        <v>192144.96999999997</v>
      </c>
      <c r="M7" s="4">
        <v>0</v>
      </c>
      <c r="N7" s="5">
        <f t="shared" si="1"/>
        <v>192144.96999999997</v>
      </c>
      <c r="O7">
        <v>0</v>
      </c>
      <c r="P7" s="4">
        <f>IF(Summary!$E$5&lt;'Daily Position'!B7,0,ROUND(+Q7*H7,2)-I7)</f>
        <v>341661.6</v>
      </c>
      <c r="Q7" s="2">
        <f>+VLOOKUP(+Summary!$E$5,wcrzo,2)</f>
        <v>6.3820367416989185</v>
      </c>
      <c r="R7" s="2"/>
      <c r="S7" s="146">
        <f>+J7*H7-'MRP Raptor'!U64</f>
        <v>0</v>
      </c>
      <c r="T7" s="219"/>
    </row>
    <row r="8" spans="1:21" x14ac:dyDescent="0.25">
      <c r="A8" t="s">
        <v>171</v>
      </c>
      <c r="B8" s="274">
        <v>36741</v>
      </c>
      <c r="C8" s="274">
        <v>37836</v>
      </c>
      <c r="D8" s="77" t="s">
        <v>17</v>
      </c>
      <c r="E8" s="4">
        <v>0</v>
      </c>
      <c r="F8" s="77" t="s">
        <v>18</v>
      </c>
      <c r="G8" s="2">
        <v>5.875</v>
      </c>
      <c r="H8" s="3">
        <v>59891</v>
      </c>
      <c r="I8" s="4">
        <f t="shared" si="0"/>
        <v>351859.63</v>
      </c>
      <c r="J8" s="69">
        <f>VLOOKUP(+K8,pgeo,2)</f>
        <v>5.6875</v>
      </c>
      <c r="K8" s="266">
        <f>+Summary!$C$5</f>
        <v>36850</v>
      </c>
      <c r="L8" s="4">
        <f t="shared" si="2"/>
        <v>-11229.570000000007</v>
      </c>
      <c r="M8" s="4">
        <v>0</v>
      </c>
      <c r="N8" s="5">
        <f t="shared" si="1"/>
        <v>-11229.570000000007</v>
      </c>
      <c r="O8">
        <v>0</v>
      </c>
      <c r="P8" s="4">
        <f>IF(Summary!$E$5&lt;'Daily Position'!B8,0,ROUND(+Q8*H8,2)-I8)</f>
        <v>-11229.570000000007</v>
      </c>
      <c r="Q8" s="2">
        <f>+VLOOKUP(+Summary!$E$5,pgeo,2)</f>
        <v>5.6875</v>
      </c>
      <c r="R8" s="2"/>
      <c r="S8" s="146">
        <f>+J8*H8-'MRP Raptor'!U81</f>
        <v>0</v>
      </c>
      <c r="T8" s="219"/>
    </row>
    <row r="9" spans="1:21" x14ac:dyDescent="0.25">
      <c r="A9" t="s">
        <v>484</v>
      </c>
      <c r="B9" s="274">
        <v>36741</v>
      </c>
      <c r="C9" s="274">
        <v>37836</v>
      </c>
      <c r="D9" s="77" t="s">
        <v>17</v>
      </c>
      <c r="E9" s="4">
        <v>0</v>
      </c>
      <c r="F9" s="77" t="s">
        <v>18</v>
      </c>
      <c r="G9" s="2">
        <v>1.6839500000000001</v>
      </c>
      <c r="H9" s="3">
        <v>735000</v>
      </c>
      <c r="I9" s="4">
        <f t="shared" si="0"/>
        <v>1237703.25</v>
      </c>
      <c r="J9" s="69">
        <f>VLOOKUP(+K9,caplg,2)</f>
        <v>1.9379844961240309</v>
      </c>
      <c r="K9" s="266">
        <f>IF(K8&gt;T9,T9,K8)</f>
        <v>36839</v>
      </c>
      <c r="L9" s="4">
        <f t="shared" si="2"/>
        <v>186715.35000000009</v>
      </c>
      <c r="M9" s="4">
        <v>0</v>
      </c>
      <c r="N9" s="5">
        <f t="shared" si="1"/>
        <v>186715.35000000009</v>
      </c>
      <c r="O9">
        <v>0</v>
      </c>
      <c r="P9" s="4">
        <f>IF(Summary!$E$5&lt;'Daily Position'!B9,0,ROUND(+Q9*H9,2)-I9)</f>
        <v>186715.35000000009</v>
      </c>
      <c r="Q9" s="2">
        <f>IF(T9&gt;K8,+VLOOKUP(+Summary!$E$5,caplg,2),+'Stock Prices'!J76)</f>
        <v>1.9379844961240309</v>
      </c>
      <c r="R9" s="2"/>
      <c r="S9" s="146">
        <f>+G9*H9-J9*H9+N9</f>
        <v>-4.6511625405400991E-3</v>
      </c>
      <c r="T9" s="279">
        <v>36839</v>
      </c>
      <c r="U9" t="s">
        <v>566</v>
      </c>
    </row>
    <row r="10" spans="1:21" x14ac:dyDescent="0.25">
      <c r="A10" t="s">
        <v>561</v>
      </c>
      <c r="B10" s="274">
        <v>36741</v>
      </c>
      <c r="C10" s="274">
        <v>37836</v>
      </c>
      <c r="D10" s="77" t="s">
        <v>17</v>
      </c>
      <c r="E10" s="4">
        <v>0</v>
      </c>
      <c r="F10" s="77" t="s">
        <v>18</v>
      </c>
      <c r="G10" s="2">
        <f>IF(T10&lt;Summary!C5,0.09/(229391/12234952),0.09)</f>
        <v>4.8003002733324323</v>
      </c>
      <c r="H10" s="3">
        <f>IF(T10&lt;Summary!C5,7340971.2*(229391/12234952),7340971.2)</f>
        <v>137634.6</v>
      </c>
      <c r="I10" s="4">
        <f t="shared" si="0"/>
        <v>660687.41</v>
      </c>
      <c r="J10" s="69">
        <f>VLOOKUP(+K10,qsri,2)</f>
        <v>7.0625</v>
      </c>
      <c r="K10" s="266">
        <f>+Summary!$C$5</f>
        <v>36850</v>
      </c>
      <c r="L10" s="4">
        <f t="shared" si="2"/>
        <v>311356.94999999995</v>
      </c>
      <c r="M10" s="4">
        <v>0</v>
      </c>
      <c r="N10" s="5">
        <f t="shared" si="1"/>
        <v>311356.94999999995</v>
      </c>
      <c r="O10">
        <v>0</v>
      </c>
      <c r="P10" s="4">
        <f>IF(Summary!$E$5&lt;'Daily Position'!B10,0,ROUND(+Q10*H10,2)-I10)</f>
        <v>311356.94999999995</v>
      </c>
      <c r="Q10" s="2">
        <f>IF(K10=(T10+1),+'Stock Prices'!N65/(229391/12234952),+VLOOKUP(+Summary!$E$5,qsri,2))</f>
        <v>7.0625</v>
      </c>
      <c r="R10" s="2"/>
      <c r="S10" s="146">
        <f>+J10*H10-'MRP Raptor'!U55</f>
        <v>0</v>
      </c>
      <c r="T10" s="279">
        <v>36824</v>
      </c>
      <c r="U10" s="278" t="s">
        <v>560</v>
      </c>
    </row>
    <row r="11" spans="1:21" x14ac:dyDescent="0.25">
      <c r="A11" t="s">
        <v>172</v>
      </c>
      <c r="B11" s="274">
        <v>36741</v>
      </c>
      <c r="C11" s="274">
        <v>37836</v>
      </c>
      <c r="D11" s="77" t="s">
        <v>17</v>
      </c>
      <c r="E11" s="4">
        <v>0</v>
      </c>
      <c r="F11" s="77" t="s">
        <v>18</v>
      </c>
      <c r="G11" s="2">
        <v>7.625</v>
      </c>
      <c r="H11" s="3">
        <v>804243</v>
      </c>
      <c r="I11" s="4">
        <f t="shared" si="0"/>
        <v>6132352.8799999999</v>
      </c>
      <c r="J11" s="69">
        <f>VLOOKUP(+K11,kwk,2)</f>
        <v>8.625</v>
      </c>
      <c r="K11" s="266">
        <f>+Summary!$C$5</f>
        <v>36850</v>
      </c>
      <c r="L11" s="4">
        <f t="shared" si="2"/>
        <v>804243</v>
      </c>
      <c r="M11" s="4">
        <v>0</v>
      </c>
      <c r="N11" s="5">
        <f t="shared" si="1"/>
        <v>804243</v>
      </c>
      <c r="O11">
        <v>0</v>
      </c>
      <c r="P11" s="4">
        <f>IF(Summary!$E$5&lt;'Daily Position'!B11,0,ROUND(+Q11*H11,2)-I11)</f>
        <v>1105834.1200000001</v>
      </c>
      <c r="Q11" s="2">
        <f>+VLOOKUP(+Summary!$E$5,kwk,2)</f>
        <v>9</v>
      </c>
      <c r="R11" s="2"/>
      <c r="S11" s="146">
        <f>+J11*H11-'MRP Raptor'!U83</f>
        <v>0</v>
      </c>
      <c r="T11" s="219"/>
    </row>
    <row r="12" spans="1:21" x14ac:dyDescent="0.25">
      <c r="J12" s="2"/>
      <c r="L12" s="4"/>
      <c r="M12" s="4"/>
      <c r="N12" s="5"/>
      <c r="P12" s="4"/>
      <c r="Q12" s="4"/>
      <c r="R12" s="4"/>
    </row>
    <row r="13" spans="1:21" x14ac:dyDescent="0.25">
      <c r="A13" s="141" t="s">
        <v>186</v>
      </c>
      <c r="J13" s="2"/>
      <c r="L13" s="4"/>
      <c r="M13" s="4"/>
      <c r="N13" s="5"/>
      <c r="P13" s="4"/>
      <c r="Q13" s="4"/>
      <c r="R13" s="4"/>
    </row>
    <row r="14" spans="1:21" x14ac:dyDescent="0.25">
      <c r="A14" s="220" t="s">
        <v>534</v>
      </c>
      <c r="B14" s="274">
        <v>36741</v>
      </c>
      <c r="C14" s="274">
        <v>37836</v>
      </c>
      <c r="D14" s="77" t="s">
        <v>17</v>
      </c>
      <c r="E14" s="4">
        <v>0</v>
      </c>
      <c r="F14" s="77" t="s">
        <v>18</v>
      </c>
      <c r="I14" s="4">
        <v>1250000</v>
      </c>
      <c r="J14" s="4">
        <f>VLOOKUP(+K14,Privates,R14)</f>
        <v>1250000</v>
      </c>
      <c r="K14" s="266">
        <f>+Summary!$C$5</f>
        <v>36850</v>
      </c>
      <c r="L14" s="4">
        <f>IF(K14&lt;B14,0,(+J14-I14-M14))</f>
        <v>0</v>
      </c>
      <c r="M14" s="4">
        <v>0</v>
      </c>
      <c r="N14" s="5">
        <f>+L14+M14</f>
        <v>0</v>
      </c>
      <c r="O14">
        <v>0</v>
      </c>
      <c r="P14" s="4">
        <f>+Q14-I14</f>
        <v>0</v>
      </c>
      <c r="Q14" s="4">
        <f>VLOOKUP(+Summary!$E$5,Privates,R14)</f>
        <v>1250000</v>
      </c>
      <c r="R14" s="238">
        <v>2</v>
      </c>
      <c r="S14" s="146">
        <f>+J14-'MRP Raptor'!U71+'Private Cash'!B375</f>
        <v>0</v>
      </c>
    </row>
    <row r="15" spans="1:21" x14ac:dyDescent="0.25">
      <c r="A15" s="143" t="s">
        <v>239</v>
      </c>
      <c r="B15" s="274">
        <v>36741</v>
      </c>
      <c r="C15" s="274">
        <v>37836</v>
      </c>
      <c r="D15" s="77" t="s">
        <v>17</v>
      </c>
      <c r="E15" s="4">
        <v>0</v>
      </c>
      <c r="F15" s="77" t="s">
        <v>18</v>
      </c>
      <c r="I15" s="4">
        <v>4563600</v>
      </c>
      <c r="J15" s="4">
        <f t="shared" ref="J15:J45" si="3">VLOOKUP(+K15,Privates,R15)</f>
        <v>4563600</v>
      </c>
      <c r="K15" s="266">
        <f>+Summary!$C$5</f>
        <v>36850</v>
      </c>
      <c r="L15" s="4">
        <f t="shared" ref="L15:L45" si="4">IF(K15&lt;B15,0,(+J15-I15-M15))</f>
        <v>0</v>
      </c>
      <c r="M15" s="4">
        <v>0</v>
      </c>
      <c r="N15" s="5">
        <f t="shared" ref="N15:N44" si="5">+L15+M15</f>
        <v>0</v>
      </c>
      <c r="O15">
        <v>0</v>
      </c>
      <c r="P15" s="4">
        <f t="shared" ref="P15:P45" si="6">+Q15-I15</f>
        <v>0</v>
      </c>
      <c r="Q15" s="4">
        <f>VLOOKUP(+Summary!$E$5,Privates,R15)</f>
        <v>4563600</v>
      </c>
      <c r="R15" s="238">
        <f>+R14+1</f>
        <v>3</v>
      </c>
      <c r="S15" s="146">
        <f>+J15-'MRP Raptor'!U13+'Private Cash'!C375</f>
        <v>0</v>
      </c>
    </row>
    <row r="16" spans="1:21" x14ac:dyDescent="0.25">
      <c r="A16" s="143" t="s">
        <v>504</v>
      </c>
      <c r="B16" s="274">
        <v>36741</v>
      </c>
      <c r="C16" s="274">
        <v>37836</v>
      </c>
      <c r="D16" s="77" t="s">
        <v>17</v>
      </c>
      <c r="E16" s="4">
        <v>0</v>
      </c>
      <c r="F16" s="77" t="s">
        <v>18</v>
      </c>
      <c r="I16" s="4">
        <v>2136334</v>
      </c>
      <c r="J16" s="4">
        <f t="shared" si="3"/>
        <v>2136334</v>
      </c>
      <c r="K16" s="266">
        <f>+Summary!$C$5</f>
        <v>36850</v>
      </c>
      <c r="L16" s="4">
        <f t="shared" si="4"/>
        <v>0</v>
      </c>
      <c r="M16" s="4">
        <v>0</v>
      </c>
      <c r="N16" s="5">
        <f>+L16+M16</f>
        <v>0</v>
      </c>
      <c r="O16">
        <v>0</v>
      </c>
      <c r="P16" s="4">
        <f>+Q16-I16</f>
        <v>0</v>
      </c>
      <c r="Q16" s="4">
        <f>VLOOKUP(+Summary!$E$5,Privates,R16)</f>
        <v>2136334</v>
      </c>
      <c r="R16" s="238">
        <f t="shared" ref="R16:R45" si="7">+R15+1</f>
        <v>4</v>
      </c>
      <c r="S16" s="146">
        <f>+J16-'MRP Raptor'!U47+'Private Cash'!D375</f>
        <v>0</v>
      </c>
    </row>
    <row r="17" spans="1:21" x14ac:dyDescent="0.25">
      <c r="A17" s="143" t="s">
        <v>240</v>
      </c>
      <c r="B17" s="274">
        <v>36741</v>
      </c>
      <c r="C17" s="274">
        <v>37836</v>
      </c>
      <c r="D17" s="77" t="s">
        <v>17</v>
      </c>
      <c r="E17" s="4">
        <v>0</v>
      </c>
      <c r="F17" s="77" t="s">
        <v>18</v>
      </c>
      <c r="I17" s="4">
        <v>429975</v>
      </c>
      <c r="J17" s="4">
        <f t="shared" si="3"/>
        <v>429975</v>
      </c>
      <c r="K17" s="266">
        <f>+Summary!$C$5</f>
        <v>36850</v>
      </c>
      <c r="L17" s="4">
        <f t="shared" si="4"/>
        <v>0</v>
      </c>
      <c r="M17" s="4">
        <v>0</v>
      </c>
      <c r="N17" s="5">
        <f t="shared" si="5"/>
        <v>0</v>
      </c>
      <c r="O17">
        <v>0</v>
      </c>
      <c r="P17" s="4">
        <f t="shared" si="6"/>
        <v>0</v>
      </c>
      <c r="Q17" s="4">
        <f>VLOOKUP(+Summary!$E$5,Privates,R17)</f>
        <v>429975</v>
      </c>
      <c r="R17" s="238">
        <f t="shared" si="7"/>
        <v>5</v>
      </c>
      <c r="S17" s="146">
        <f>+J17-'MRP Raptor'!U72+'Private Cash'!E375</f>
        <v>0</v>
      </c>
    </row>
    <row r="18" spans="1:21" x14ac:dyDescent="0.25">
      <c r="A18" s="143" t="s">
        <v>241</v>
      </c>
      <c r="B18" s="274">
        <v>36741</v>
      </c>
      <c r="C18" s="274">
        <v>37836</v>
      </c>
      <c r="D18" s="77" t="s">
        <v>17</v>
      </c>
      <c r="E18" s="4">
        <v>0</v>
      </c>
      <c r="F18" s="77" t="s">
        <v>18</v>
      </c>
      <c r="I18" s="4">
        <f>IF(K18&gt;T18,0,12500000)</f>
        <v>0</v>
      </c>
      <c r="J18" s="4">
        <f t="shared" si="3"/>
        <v>0</v>
      </c>
      <c r="K18" s="266">
        <f>+Summary!$C$5</f>
        <v>36850</v>
      </c>
      <c r="L18" s="4">
        <f t="shared" si="4"/>
        <v>0</v>
      </c>
      <c r="M18" s="4">
        <f>IF(K18&gt;T18,0,0)</f>
        <v>0</v>
      </c>
      <c r="N18" s="5">
        <f t="shared" si="5"/>
        <v>0</v>
      </c>
      <c r="O18" s="4">
        <f>IF(K18&gt;T18,0,0)</f>
        <v>0</v>
      </c>
      <c r="P18" s="4">
        <f>IF(K18&gt;T18,0,+Q18-I18)</f>
        <v>0</v>
      </c>
      <c r="Q18" s="4">
        <f>VLOOKUP(+Summary!$E$5,Privates,R18)</f>
        <v>0</v>
      </c>
      <c r="R18" s="238">
        <f t="shared" si="7"/>
        <v>6</v>
      </c>
      <c r="S18" s="146">
        <f>IF(K18&gt;T18,0,+J18-'MRP Raptor'!U56+'Private Cash'!F375)</f>
        <v>0</v>
      </c>
      <c r="T18" s="1">
        <v>36831</v>
      </c>
      <c r="U18" t="s">
        <v>563</v>
      </c>
    </row>
    <row r="19" spans="1:21" x14ac:dyDescent="0.25">
      <c r="A19" s="143" t="s">
        <v>187</v>
      </c>
      <c r="B19" s="274">
        <v>36741</v>
      </c>
      <c r="C19" s="274">
        <v>37836</v>
      </c>
      <c r="D19" s="77" t="s">
        <v>17</v>
      </c>
      <c r="E19" s="4">
        <v>0</v>
      </c>
      <c r="F19" s="77" t="s">
        <v>18</v>
      </c>
      <c r="G19" s="2">
        <v>3870.5</v>
      </c>
      <c r="H19" s="3">
        <v>30000</v>
      </c>
      <c r="I19" s="4">
        <f>ROUND(+G19*H19,2)</f>
        <v>116115000</v>
      </c>
      <c r="J19" s="4">
        <f t="shared" si="3"/>
        <v>116115000</v>
      </c>
      <c r="K19" s="266">
        <f>+Summary!$C$5</f>
        <v>36850</v>
      </c>
      <c r="L19" s="4">
        <f t="shared" si="4"/>
        <v>0</v>
      </c>
      <c r="M19" s="4">
        <v>0</v>
      </c>
      <c r="N19" s="5">
        <f t="shared" si="5"/>
        <v>0</v>
      </c>
      <c r="O19">
        <v>0</v>
      </c>
      <c r="P19" s="4">
        <f t="shared" si="6"/>
        <v>0</v>
      </c>
      <c r="Q19" s="4">
        <f>VLOOKUP(+Summary!$E$5,Privates,R19)</f>
        <v>116115000</v>
      </c>
      <c r="R19" s="238">
        <f t="shared" si="7"/>
        <v>7</v>
      </c>
      <c r="S19" s="146">
        <f>+J19-'MRP Raptor'!U78+'Private Cash'!G375</f>
        <v>0</v>
      </c>
    </row>
    <row r="20" spans="1:21" x14ac:dyDescent="0.25">
      <c r="A20" s="143" t="s">
        <v>242</v>
      </c>
      <c r="B20" s="274">
        <v>36741</v>
      </c>
      <c r="C20" s="274">
        <v>37836</v>
      </c>
      <c r="D20" s="77" t="s">
        <v>17</v>
      </c>
      <c r="E20" s="4">
        <v>0</v>
      </c>
      <c r="F20" s="77" t="s">
        <v>18</v>
      </c>
      <c r="I20" s="4">
        <v>1663000</v>
      </c>
      <c r="J20" s="4">
        <f t="shared" si="3"/>
        <v>1663000</v>
      </c>
      <c r="K20" s="266">
        <f>+Summary!$C$5</f>
        <v>36850</v>
      </c>
      <c r="L20" s="4">
        <f t="shared" si="4"/>
        <v>0</v>
      </c>
      <c r="M20" s="4">
        <v>0</v>
      </c>
      <c r="N20" s="5">
        <f t="shared" si="5"/>
        <v>0</v>
      </c>
      <c r="O20">
        <v>0</v>
      </c>
      <c r="P20" s="4">
        <f t="shared" si="6"/>
        <v>0</v>
      </c>
      <c r="Q20" s="4">
        <f>VLOOKUP(+Summary!$E$5,Privates,R20)</f>
        <v>1663000</v>
      </c>
      <c r="R20" s="238">
        <f t="shared" si="7"/>
        <v>8</v>
      </c>
      <c r="S20" s="146">
        <f>+J20-'MRP Raptor'!U73+'Private Cash'!H375</f>
        <v>0</v>
      </c>
    </row>
    <row r="21" spans="1:21" x14ac:dyDescent="0.25">
      <c r="A21" t="s">
        <v>530</v>
      </c>
      <c r="B21" s="274">
        <v>36741</v>
      </c>
      <c r="C21" s="274">
        <v>37836</v>
      </c>
      <c r="D21" s="77" t="s">
        <v>17</v>
      </c>
      <c r="E21" s="4">
        <v>0</v>
      </c>
      <c r="F21" s="77" t="s">
        <v>18</v>
      </c>
      <c r="I21" s="4">
        <f>12878050+0</f>
        <v>12878050</v>
      </c>
      <c r="J21" s="4">
        <f t="shared" si="3"/>
        <v>12878050</v>
      </c>
      <c r="K21" s="266">
        <f>+Summary!$C$5</f>
        <v>36850</v>
      </c>
      <c r="L21" s="4">
        <f t="shared" si="4"/>
        <v>0</v>
      </c>
      <c r="M21" s="4">
        <v>0</v>
      </c>
      <c r="N21" s="5">
        <f t="shared" si="5"/>
        <v>0</v>
      </c>
      <c r="O21">
        <v>0</v>
      </c>
      <c r="P21" s="4">
        <f t="shared" si="6"/>
        <v>0</v>
      </c>
      <c r="Q21" s="4">
        <f>VLOOKUP(+Summary!$E$5,Privates,R21)</f>
        <v>12878050</v>
      </c>
      <c r="R21" s="238">
        <f t="shared" si="7"/>
        <v>9</v>
      </c>
      <c r="S21" s="146">
        <f>+J21-'MRP Raptor'!U29+'Private Cash'!I375</f>
        <v>0</v>
      </c>
    </row>
    <row r="22" spans="1:21" x14ac:dyDescent="0.25">
      <c r="A22" s="143" t="s">
        <v>243</v>
      </c>
      <c r="B22" s="274">
        <v>36741</v>
      </c>
      <c r="C22" s="274">
        <v>37836</v>
      </c>
      <c r="D22" s="77" t="s">
        <v>17</v>
      </c>
      <c r="E22" s="4">
        <v>0</v>
      </c>
      <c r="F22" s="77" t="s">
        <v>18</v>
      </c>
      <c r="I22" s="4">
        <v>1012500</v>
      </c>
      <c r="J22" s="4">
        <f t="shared" si="3"/>
        <v>1012500</v>
      </c>
      <c r="K22" s="266">
        <f>+Summary!$C$5</f>
        <v>36850</v>
      </c>
      <c r="L22" s="4">
        <f t="shared" si="4"/>
        <v>0</v>
      </c>
      <c r="M22" s="4">
        <v>0</v>
      </c>
      <c r="N22" s="5">
        <f t="shared" si="5"/>
        <v>0</v>
      </c>
      <c r="O22">
        <v>0</v>
      </c>
      <c r="P22" s="4">
        <f t="shared" si="6"/>
        <v>0</v>
      </c>
      <c r="Q22" s="4">
        <f>VLOOKUP(+Summary!$E$5,Privates,R22)</f>
        <v>1012500</v>
      </c>
      <c r="R22" s="238">
        <f t="shared" si="7"/>
        <v>10</v>
      </c>
      <c r="S22" s="146">
        <f>+J22-'MRP Raptor'!U74+'Private Cash'!J375</f>
        <v>0</v>
      </c>
    </row>
    <row r="23" spans="1:21" x14ac:dyDescent="0.25">
      <c r="A23" s="143" t="s">
        <v>520</v>
      </c>
      <c r="B23" s="274">
        <v>36741</v>
      </c>
      <c r="C23" s="274">
        <v>37836</v>
      </c>
      <c r="D23" s="77" t="s">
        <v>17</v>
      </c>
      <c r="E23" s="4">
        <v>0</v>
      </c>
      <c r="F23" s="77" t="s">
        <v>18</v>
      </c>
      <c r="G23" s="2">
        <v>136.64929576646099</v>
      </c>
      <c r="H23" s="3">
        <v>172031</v>
      </c>
      <c r="I23" s="4">
        <f>ROUND(+G23*H23,2)</f>
        <v>23507915</v>
      </c>
      <c r="J23" s="4">
        <f t="shared" si="3"/>
        <v>23507915.000000112</v>
      </c>
      <c r="K23" s="266">
        <f>+Summary!$C$5</f>
        <v>36850</v>
      </c>
      <c r="L23" s="4">
        <f t="shared" si="4"/>
        <v>1.1175870895385742E-7</v>
      </c>
      <c r="M23" s="4">
        <v>0</v>
      </c>
      <c r="N23" s="5">
        <f t="shared" si="5"/>
        <v>1.1175870895385742E-7</v>
      </c>
      <c r="O23">
        <v>0</v>
      </c>
      <c r="P23" s="4">
        <f t="shared" si="6"/>
        <v>1.0803341865539551E-7</v>
      </c>
      <c r="Q23" s="4">
        <f>VLOOKUP(+Summary!$E$5,Privates,R23)</f>
        <v>23507915.000000108</v>
      </c>
      <c r="R23" s="238">
        <f t="shared" si="7"/>
        <v>11</v>
      </c>
      <c r="S23" s="146">
        <f>+J23-'MRP Raptor'!U49+'Private Cash'!K375</f>
        <v>-3.7252902984619141E-9</v>
      </c>
    </row>
    <row r="24" spans="1:21" x14ac:dyDescent="0.25">
      <c r="A24" s="143" t="s">
        <v>488</v>
      </c>
      <c r="B24" s="274">
        <v>36741</v>
      </c>
      <c r="C24" s="274">
        <v>37836</v>
      </c>
      <c r="D24" s="77" t="s">
        <v>17</v>
      </c>
      <c r="E24" s="4">
        <v>0</v>
      </c>
      <c r="F24" s="77" t="s">
        <v>18</v>
      </c>
      <c r="I24" s="4">
        <v>10372212</v>
      </c>
      <c r="J24" s="4">
        <f t="shared" si="3"/>
        <v>10372212</v>
      </c>
      <c r="K24" s="266">
        <f>+Summary!$C$5</f>
        <v>36850</v>
      </c>
      <c r="L24" s="4">
        <f t="shared" si="4"/>
        <v>0</v>
      </c>
      <c r="M24" s="4">
        <v>0</v>
      </c>
      <c r="N24" s="5">
        <f>+L24+M24</f>
        <v>0</v>
      </c>
      <c r="O24">
        <v>0</v>
      </c>
      <c r="P24" s="4">
        <f t="shared" si="6"/>
        <v>0</v>
      </c>
      <c r="Q24" s="4">
        <f>VLOOKUP(+Summary!$E$5,Privates,R24)</f>
        <v>10372212</v>
      </c>
      <c r="R24" s="238">
        <f t="shared" si="7"/>
        <v>12</v>
      </c>
      <c r="S24" s="146">
        <f>+J24-'MRP Raptor'!U50+'Private Cash'!L375</f>
        <v>0</v>
      </c>
    </row>
    <row r="25" spans="1:21" x14ac:dyDescent="0.25">
      <c r="A25" s="143" t="s">
        <v>521</v>
      </c>
      <c r="B25" s="274">
        <v>36741</v>
      </c>
      <c r="C25" s="274">
        <v>37836</v>
      </c>
      <c r="D25" s="77" t="s">
        <v>17</v>
      </c>
      <c r="E25" s="4">
        <v>0</v>
      </c>
      <c r="F25" s="77" t="s">
        <v>18</v>
      </c>
      <c r="I25" s="4">
        <v>1302980</v>
      </c>
      <c r="J25" s="4">
        <f t="shared" si="3"/>
        <v>1302980</v>
      </c>
      <c r="K25" s="266">
        <f>+Summary!$C$5</f>
        <v>36850</v>
      </c>
      <c r="L25" s="4">
        <f t="shared" si="4"/>
        <v>0</v>
      </c>
      <c r="M25" s="4">
        <v>0</v>
      </c>
      <c r="N25" s="5">
        <f t="shared" si="5"/>
        <v>0</v>
      </c>
      <c r="O25">
        <v>0</v>
      </c>
      <c r="P25" s="4">
        <f t="shared" si="6"/>
        <v>0</v>
      </c>
      <c r="Q25" s="4">
        <f>VLOOKUP(+Summary!$E$5,Privates,R25)</f>
        <v>1302980</v>
      </c>
      <c r="R25" s="238">
        <f t="shared" si="7"/>
        <v>13</v>
      </c>
      <c r="S25" s="146">
        <f>+J25-'MRP Raptor'!U57+'Private Cash'!M375</f>
        <v>0</v>
      </c>
    </row>
    <row r="26" spans="1:21" x14ac:dyDescent="0.25">
      <c r="A26" s="143" t="s">
        <v>522</v>
      </c>
      <c r="B26" s="274">
        <v>36741</v>
      </c>
      <c r="C26" s="274">
        <v>37836</v>
      </c>
      <c r="D26" s="77" t="s">
        <v>17</v>
      </c>
      <c r="E26" s="4">
        <v>0</v>
      </c>
      <c r="F26" s="77" t="s">
        <v>18</v>
      </c>
      <c r="I26" s="4">
        <v>3486752</v>
      </c>
      <c r="J26" s="4">
        <f t="shared" si="3"/>
        <v>3486752</v>
      </c>
      <c r="K26" s="266">
        <f>+Summary!$C$5</f>
        <v>36850</v>
      </c>
      <c r="L26" s="4">
        <f t="shared" si="4"/>
        <v>0</v>
      </c>
      <c r="M26" s="4">
        <v>0</v>
      </c>
      <c r="N26" s="5">
        <f t="shared" si="5"/>
        <v>0</v>
      </c>
      <c r="O26">
        <v>0</v>
      </c>
      <c r="P26" s="4">
        <f t="shared" si="6"/>
        <v>0</v>
      </c>
      <c r="Q26" s="4">
        <f>VLOOKUP(+Summary!$E$5,Privates,R26)</f>
        <v>3486752</v>
      </c>
      <c r="R26" s="238">
        <f t="shared" si="7"/>
        <v>14</v>
      </c>
      <c r="S26" s="146">
        <f>+J26-'MRP Raptor'!U62+'Private Cash'!N375</f>
        <v>0</v>
      </c>
    </row>
    <row r="27" spans="1:21" x14ac:dyDescent="0.25">
      <c r="A27" s="143" t="s">
        <v>244</v>
      </c>
      <c r="B27" s="274">
        <v>36741</v>
      </c>
      <c r="C27" s="274">
        <v>37836</v>
      </c>
      <c r="D27" s="77" t="s">
        <v>17</v>
      </c>
      <c r="E27" s="4">
        <v>0</v>
      </c>
      <c r="F27" s="77" t="s">
        <v>18</v>
      </c>
      <c r="I27" s="4">
        <v>429210</v>
      </c>
      <c r="J27" s="4">
        <f t="shared" si="3"/>
        <v>429210</v>
      </c>
      <c r="K27" s="266">
        <f>+Summary!$C$5</f>
        <v>36850</v>
      </c>
      <c r="L27" s="4">
        <f t="shared" si="4"/>
        <v>0</v>
      </c>
      <c r="M27" s="4">
        <v>0</v>
      </c>
      <c r="N27" s="5">
        <f t="shared" si="5"/>
        <v>0</v>
      </c>
      <c r="O27">
        <v>0</v>
      </c>
      <c r="P27" s="4">
        <f t="shared" si="6"/>
        <v>0</v>
      </c>
      <c r="Q27" s="4">
        <f>VLOOKUP(+Summary!$E$5,Privates,R27)</f>
        <v>429210</v>
      </c>
      <c r="R27" s="238">
        <f t="shared" si="7"/>
        <v>15</v>
      </c>
      <c r="S27" s="146">
        <f>+J27-'MRP Raptor'!U58+'Private Cash'!O375</f>
        <v>0</v>
      </c>
    </row>
    <row r="28" spans="1:21" x14ac:dyDescent="0.25">
      <c r="A28" s="143" t="s">
        <v>245</v>
      </c>
      <c r="B28" s="274">
        <v>36741</v>
      </c>
      <c r="C28" s="274">
        <v>37836</v>
      </c>
      <c r="D28" s="77" t="s">
        <v>17</v>
      </c>
      <c r="E28" s="4">
        <v>0</v>
      </c>
      <c r="F28" s="77" t="s">
        <v>18</v>
      </c>
      <c r="I28" s="4">
        <v>470790</v>
      </c>
      <c r="J28" s="4">
        <f t="shared" si="3"/>
        <v>470790</v>
      </c>
      <c r="K28" s="266">
        <f>+Summary!$C$5</f>
        <v>36850</v>
      </c>
      <c r="L28" s="4">
        <f t="shared" si="4"/>
        <v>0</v>
      </c>
      <c r="M28" s="4">
        <v>0</v>
      </c>
      <c r="N28" s="5">
        <f t="shared" si="5"/>
        <v>0</v>
      </c>
      <c r="O28">
        <v>0</v>
      </c>
      <c r="P28" s="4">
        <f t="shared" si="6"/>
        <v>0</v>
      </c>
      <c r="Q28" s="4">
        <f>VLOOKUP(+Summary!$E$5,Privates,R28)</f>
        <v>470790</v>
      </c>
      <c r="R28" s="238">
        <f t="shared" si="7"/>
        <v>16</v>
      </c>
      <c r="S28" s="146">
        <f>+J28-'MRP Raptor'!U59+'Private Cash'!P375</f>
        <v>0</v>
      </c>
    </row>
    <row r="29" spans="1:21" x14ac:dyDescent="0.25">
      <c r="A29" s="143" t="s">
        <v>189</v>
      </c>
      <c r="B29" s="274">
        <v>36741</v>
      </c>
      <c r="C29" s="274">
        <v>37836</v>
      </c>
      <c r="D29" s="77" t="s">
        <v>17</v>
      </c>
      <c r="E29" s="4">
        <v>0</v>
      </c>
      <c r="F29" s="77" t="s">
        <v>18</v>
      </c>
      <c r="I29" s="4">
        <v>27082500</v>
      </c>
      <c r="J29" s="4">
        <f t="shared" si="3"/>
        <v>27082500</v>
      </c>
      <c r="K29" s="266">
        <f>+Summary!$C$5</f>
        <v>36850</v>
      </c>
      <c r="L29" s="4">
        <f t="shared" si="4"/>
        <v>0</v>
      </c>
      <c r="M29" s="4">
        <v>0</v>
      </c>
      <c r="N29" s="5">
        <f t="shared" si="5"/>
        <v>0</v>
      </c>
      <c r="O29">
        <v>0</v>
      </c>
      <c r="P29" s="4">
        <f t="shared" si="6"/>
        <v>0</v>
      </c>
      <c r="Q29" s="4">
        <f>VLOOKUP(+Summary!$E$5,Privates,R29)</f>
        <v>27082500</v>
      </c>
      <c r="R29" s="238">
        <f t="shared" si="7"/>
        <v>17</v>
      </c>
      <c r="S29" s="146">
        <f>+J29-'MRP Raptor'!U87+'Private Cash'!Q375</f>
        <v>0</v>
      </c>
    </row>
    <row r="30" spans="1:21" x14ac:dyDescent="0.25">
      <c r="A30" s="143" t="s">
        <v>246</v>
      </c>
      <c r="B30" s="274">
        <v>36741</v>
      </c>
      <c r="C30" s="274">
        <v>37836</v>
      </c>
      <c r="D30" s="77" t="s">
        <v>17</v>
      </c>
      <c r="E30" s="4">
        <v>0</v>
      </c>
      <c r="F30" s="77" t="s">
        <v>18</v>
      </c>
      <c r="I30" s="4">
        <v>7121810</v>
      </c>
      <c r="J30" s="4">
        <f t="shared" si="3"/>
        <v>7121810</v>
      </c>
      <c r="K30" s="266">
        <f>+Summary!$C$5</f>
        <v>36850</v>
      </c>
      <c r="L30" s="4">
        <f t="shared" si="4"/>
        <v>0</v>
      </c>
      <c r="M30" s="4">
        <v>0</v>
      </c>
      <c r="N30" s="5">
        <f t="shared" si="5"/>
        <v>0</v>
      </c>
      <c r="O30">
        <v>0</v>
      </c>
      <c r="P30" s="4">
        <f t="shared" si="6"/>
        <v>0</v>
      </c>
      <c r="Q30" s="4">
        <f>VLOOKUP(+Summary!$E$5,Privates,R30)</f>
        <v>7121810</v>
      </c>
      <c r="R30" s="238">
        <f t="shared" si="7"/>
        <v>18</v>
      </c>
      <c r="S30" s="146">
        <f>+J30-'MRP Raptor'!U60+'Private Cash'!R375</f>
        <v>0</v>
      </c>
    </row>
    <row r="31" spans="1:21" x14ac:dyDescent="0.25">
      <c r="A31" s="143" t="s">
        <v>188</v>
      </c>
      <c r="B31" s="274">
        <v>36741</v>
      </c>
      <c r="C31" s="274">
        <v>37836</v>
      </c>
      <c r="D31" s="77" t="s">
        <v>17</v>
      </c>
      <c r="E31" s="4">
        <v>0</v>
      </c>
      <c r="F31" s="77" t="s">
        <v>18</v>
      </c>
      <c r="I31" s="4">
        <v>5644007</v>
      </c>
      <c r="J31" s="4">
        <f t="shared" si="3"/>
        <v>5644007</v>
      </c>
      <c r="K31" s="266">
        <f>+Summary!$C$5</f>
        <v>36850</v>
      </c>
      <c r="L31" s="4">
        <f t="shared" si="4"/>
        <v>0</v>
      </c>
      <c r="M31" s="4">
        <v>0</v>
      </c>
      <c r="N31" s="5">
        <f t="shared" si="5"/>
        <v>0</v>
      </c>
      <c r="O31">
        <v>0</v>
      </c>
      <c r="P31" s="4">
        <f t="shared" si="6"/>
        <v>0</v>
      </c>
      <c r="Q31" s="4">
        <f>VLOOKUP(+Summary!$E$5,Privates,R31)</f>
        <v>5644007</v>
      </c>
      <c r="R31" s="238">
        <f t="shared" si="7"/>
        <v>19</v>
      </c>
      <c r="S31" s="146">
        <f>+J31-'MRP Raptor'!U4+'Private Cash'!S375</f>
        <v>3.3469405025243759E-10</v>
      </c>
    </row>
    <row r="32" spans="1:21" x14ac:dyDescent="0.25">
      <c r="A32" s="143" t="s">
        <v>247</v>
      </c>
      <c r="B32" s="274">
        <v>36741</v>
      </c>
      <c r="C32" s="274">
        <v>37836</v>
      </c>
      <c r="D32" s="77" t="s">
        <v>17</v>
      </c>
      <c r="E32" s="4">
        <v>0</v>
      </c>
      <c r="F32" s="77" t="s">
        <v>18</v>
      </c>
      <c r="I32" s="4">
        <v>20916875</v>
      </c>
      <c r="J32" s="4">
        <f t="shared" si="3"/>
        <v>20916875</v>
      </c>
      <c r="K32" s="266">
        <f>+Summary!$C$5</f>
        <v>36850</v>
      </c>
      <c r="L32" s="4">
        <f t="shared" si="4"/>
        <v>0</v>
      </c>
      <c r="M32" s="4">
        <v>0</v>
      </c>
      <c r="N32" s="5">
        <f t="shared" si="5"/>
        <v>0</v>
      </c>
      <c r="O32">
        <v>0</v>
      </c>
      <c r="P32" s="4">
        <f t="shared" si="6"/>
        <v>0</v>
      </c>
      <c r="Q32" s="4">
        <f>VLOOKUP(+Summary!$E$5,Privates,R32)</f>
        <v>20916875</v>
      </c>
      <c r="R32" s="238">
        <f t="shared" si="7"/>
        <v>20</v>
      </c>
      <c r="S32" s="146">
        <f>+J32-'MRP Raptor'!U14+'Private Cash'!T375</f>
        <v>0</v>
      </c>
    </row>
    <row r="33" spans="1:19" x14ac:dyDescent="0.25">
      <c r="A33" s="143" t="s">
        <v>254</v>
      </c>
      <c r="B33" s="274">
        <v>36741</v>
      </c>
      <c r="C33" s="274">
        <v>37836</v>
      </c>
      <c r="D33" s="77" t="s">
        <v>17</v>
      </c>
      <c r="E33" s="4">
        <v>0</v>
      </c>
      <c r="F33" s="77" t="s">
        <v>18</v>
      </c>
      <c r="I33" s="4">
        <v>2560525</v>
      </c>
      <c r="J33" s="4">
        <f t="shared" si="3"/>
        <v>2560525</v>
      </c>
      <c r="K33" s="266">
        <f>+Summary!$C$5</f>
        <v>36850</v>
      </c>
      <c r="L33" s="4">
        <f t="shared" si="4"/>
        <v>0</v>
      </c>
      <c r="M33" s="4">
        <v>0</v>
      </c>
      <c r="N33" s="5">
        <f>+L33+M33</f>
        <v>0</v>
      </c>
      <c r="O33">
        <v>0</v>
      </c>
      <c r="P33" s="4">
        <f t="shared" si="6"/>
        <v>0</v>
      </c>
      <c r="Q33" s="4">
        <f>VLOOKUP(+Summary!$E$5,Privates,R33)</f>
        <v>2560525</v>
      </c>
      <c r="R33" s="238">
        <f t="shared" si="7"/>
        <v>21</v>
      </c>
      <c r="S33" s="146">
        <f>+J33-'MRP Raptor'!U15+'Private Cash'!U375</f>
        <v>0</v>
      </c>
    </row>
    <row r="34" spans="1:19" x14ac:dyDescent="0.25">
      <c r="A34" s="143" t="s">
        <v>248</v>
      </c>
      <c r="B34" s="274">
        <v>36741</v>
      </c>
      <c r="C34" s="274">
        <v>37836</v>
      </c>
      <c r="D34" s="77" t="s">
        <v>17</v>
      </c>
      <c r="E34" s="4">
        <v>0</v>
      </c>
      <c r="F34" s="77" t="s">
        <v>18</v>
      </c>
      <c r="I34" s="4">
        <v>4774950</v>
      </c>
      <c r="J34" s="4">
        <f t="shared" si="3"/>
        <v>4774950</v>
      </c>
      <c r="K34" s="266">
        <f>+Summary!$C$5</f>
        <v>36850</v>
      </c>
      <c r="L34" s="4">
        <f t="shared" si="4"/>
        <v>0</v>
      </c>
      <c r="M34" s="4">
        <v>0</v>
      </c>
      <c r="N34" s="5">
        <f t="shared" si="5"/>
        <v>0</v>
      </c>
      <c r="O34">
        <v>0</v>
      </c>
      <c r="P34" s="4">
        <f t="shared" si="6"/>
        <v>0</v>
      </c>
      <c r="Q34" s="4">
        <f>VLOOKUP(+Summary!$E$5,Privates,R34)</f>
        <v>4774950</v>
      </c>
      <c r="R34" s="238">
        <f t="shared" si="7"/>
        <v>22</v>
      </c>
      <c r="S34" s="146">
        <f>+J34-'MRP Raptor'!U75+'Private Cash'!V375</f>
        <v>0</v>
      </c>
    </row>
    <row r="35" spans="1:19" x14ac:dyDescent="0.25">
      <c r="A35" s="143" t="s">
        <v>249</v>
      </c>
      <c r="B35" s="274">
        <v>36741</v>
      </c>
      <c r="C35" s="274">
        <v>37836</v>
      </c>
      <c r="D35" s="77" t="s">
        <v>17</v>
      </c>
      <c r="E35" s="4">
        <v>0</v>
      </c>
      <c r="F35" s="77" t="s">
        <v>18</v>
      </c>
      <c r="I35" s="4">
        <v>1822363</v>
      </c>
      <c r="J35" s="4">
        <f t="shared" si="3"/>
        <v>2013591.6599838899</v>
      </c>
      <c r="K35" s="266">
        <f>+Summary!$C$5</f>
        <v>36850</v>
      </c>
      <c r="L35" s="4">
        <f t="shared" si="4"/>
        <v>191228.6599838899</v>
      </c>
      <c r="M35" s="4">
        <v>0</v>
      </c>
      <c r="N35" s="5">
        <f t="shared" si="5"/>
        <v>191228.6599838899</v>
      </c>
      <c r="O35">
        <v>0</v>
      </c>
      <c r="P35" s="4">
        <f t="shared" si="6"/>
        <v>191228.6599838899</v>
      </c>
      <c r="Q35" s="4">
        <f>VLOOKUP(+Summary!$E$5,Privates,R35)</f>
        <v>2013591.6599838899</v>
      </c>
      <c r="R35" s="238">
        <f t="shared" si="7"/>
        <v>23</v>
      </c>
      <c r="S35" s="146">
        <f>+J35-'MRP Raptor'!U85+'Private Cash'!W375</f>
        <v>0</v>
      </c>
    </row>
    <row r="36" spans="1:19" x14ac:dyDescent="0.25">
      <c r="A36" s="143" t="s">
        <v>250</v>
      </c>
      <c r="B36" s="274">
        <v>36741</v>
      </c>
      <c r="C36" s="274">
        <v>37836</v>
      </c>
      <c r="D36" s="77" t="s">
        <v>17</v>
      </c>
      <c r="E36" s="4">
        <v>0</v>
      </c>
      <c r="F36" s="77" t="s">
        <v>18</v>
      </c>
      <c r="I36" s="4">
        <v>1374750</v>
      </c>
      <c r="J36" s="4">
        <f t="shared" si="3"/>
        <v>1374750</v>
      </c>
      <c r="K36" s="266">
        <f>+Summary!$C$5</f>
        <v>36850</v>
      </c>
      <c r="L36" s="4">
        <f t="shared" si="4"/>
        <v>0</v>
      </c>
      <c r="M36" s="4">
        <v>0</v>
      </c>
      <c r="N36" s="5">
        <f t="shared" si="5"/>
        <v>0</v>
      </c>
      <c r="O36">
        <v>0</v>
      </c>
      <c r="P36" s="4">
        <f t="shared" si="6"/>
        <v>0</v>
      </c>
      <c r="Q36" s="4">
        <f>VLOOKUP(+Summary!$E$5,Privates,R36)</f>
        <v>1374750</v>
      </c>
      <c r="R36" s="238">
        <f t="shared" si="7"/>
        <v>24</v>
      </c>
      <c r="S36" s="146">
        <f>+J36-'MRP Raptor'!U88+'Private Cash'!X375</f>
        <v>0</v>
      </c>
    </row>
    <row r="37" spans="1:19" x14ac:dyDescent="0.25">
      <c r="A37" s="143" t="s">
        <v>251</v>
      </c>
      <c r="B37" s="274">
        <v>36741</v>
      </c>
      <c r="C37" s="274">
        <v>37836</v>
      </c>
      <c r="D37" s="77" t="s">
        <v>17</v>
      </c>
      <c r="E37" s="4">
        <v>0</v>
      </c>
      <c r="F37" s="77" t="s">
        <v>18</v>
      </c>
      <c r="I37" s="4">
        <v>1803840</v>
      </c>
      <c r="J37" s="4">
        <f t="shared" si="3"/>
        <v>1803840</v>
      </c>
      <c r="K37" s="266">
        <f>+Summary!$C$5</f>
        <v>36850</v>
      </c>
      <c r="L37" s="4">
        <f t="shared" si="4"/>
        <v>0</v>
      </c>
      <c r="M37" s="4">
        <v>0</v>
      </c>
      <c r="N37" s="5">
        <f t="shared" si="5"/>
        <v>0</v>
      </c>
      <c r="O37">
        <v>0</v>
      </c>
      <c r="P37" s="4">
        <f t="shared" si="6"/>
        <v>0</v>
      </c>
      <c r="Q37" s="4">
        <f>VLOOKUP(+Summary!$E$5,Privates,R37)</f>
        <v>1803840</v>
      </c>
      <c r="R37" s="238">
        <f t="shared" si="7"/>
        <v>25</v>
      </c>
      <c r="S37" s="146">
        <f>+J37-'MRP Raptor'!U25+'Private Cash'!Y375</f>
        <v>0</v>
      </c>
    </row>
    <row r="38" spans="1:19" x14ac:dyDescent="0.25">
      <c r="A38" s="143" t="s">
        <v>531</v>
      </c>
      <c r="B38" s="274">
        <v>36741</v>
      </c>
      <c r="C38" s="274">
        <v>37836</v>
      </c>
      <c r="D38" s="77" t="s">
        <v>17</v>
      </c>
      <c r="E38" s="4">
        <v>0</v>
      </c>
      <c r="F38" s="77" t="s">
        <v>18</v>
      </c>
      <c r="I38" s="4">
        <v>2300803</v>
      </c>
      <c r="J38" s="4">
        <f t="shared" si="3"/>
        <v>2300803</v>
      </c>
      <c r="K38" s="266">
        <f>+Summary!$C$5</f>
        <v>36850</v>
      </c>
      <c r="L38" s="4">
        <f t="shared" si="4"/>
        <v>0</v>
      </c>
      <c r="M38" s="4">
        <v>0</v>
      </c>
      <c r="N38" s="5">
        <f>+L38+M38</f>
        <v>0</v>
      </c>
      <c r="O38">
        <v>0</v>
      </c>
      <c r="P38" s="4">
        <f>+Q38-I38</f>
        <v>0</v>
      </c>
      <c r="Q38" s="4">
        <f>VLOOKUP(+Summary!$E$5,Privates,R38)</f>
        <v>2300803</v>
      </c>
      <c r="R38" s="238">
        <f t="shared" si="7"/>
        <v>26</v>
      </c>
      <c r="S38" s="146">
        <f>+J38-'MRP Raptor'!U26+'Private Cash'!Z375</f>
        <v>0</v>
      </c>
    </row>
    <row r="39" spans="1:19" x14ac:dyDescent="0.25">
      <c r="A39" s="143" t="s">
        <v>252</v>
      </c>
      <c r="B39" s="274">
        <v>36741</v>
      </c>
      <c r="C39" s="274">
        <v>37836</v>
      </c>
      <c r="D39" s="77" t="s">
        <v>17</v>
      </c>
      <c r="E39" s="4">
        <v>0</v>
      </c>
      <c r="F39" s="77" t="s">
        <v>18</v>
      </c>
      <c r="I39" s="4">
        <v>7483750</v>
      </c>
      <c r="J39" s="4">
        <f t="shared" si="3"/>
        <v>7483750</v>
      </c>
      <c r="K39" s="266">
        <f>+Summary!$C$5</f>
        <v>36850</v>
      </c>
      <c r="L39" s="4">
        <f t="shared" si="4"/>
        <v>0</v>
      </c>
      <c r="M39" s="4">
        <v>0</v>
      </c>
      <c r="N39" s="5">
        <f t="shared" si="5"/>
        <v>0</v>
      </c>
      <c r="O39">
        <v>0</v>
      </c>
      <c r="P39" s="4">
        <f t="shared" si="6"/>
        <v>0</v>
      </c>
      <c r="Q39" s="4">
        <f>VLOOKUP(+Summary!$E$5,Privates,R39)</f>
        <v>7483750</v>
      </c>
      <c r="R39" s="238">
        <f t="shared" si="7"/>
        <v>27</v>
      </c>
      <c r="S39" s="146">
        <f>+J39-'MRP Raptor'!U16+'Private Cash'!AA375</f>
        <v>0</v>
      </c>
    </row>
    <row r="40" spans="1:19" x14ac:dyDescent="0.25">
      <c r="A40" s="143" t="s">
        <v>255</v>
      </c>
      <c r="B40" s="274">
        <v>36741</v>
      </c>
      <c r="C40" s="274">
        <v>37836</v>
      </c>
      <c r="D40" s="77" t="s">
        <v>17</v>
      </c>
      <c r="E40" s="4">
        <v>0</v>
      </c>
      <c r="F40" s="77" t="s">
        <v>18</v>
      </c>
      <c r="I40" s="4">
        <v>2343750</v>
      </c>
      <c r="J40" s="4">
        <f t="shared" si="3"/>
        <v>2343750</v>
      </c>
      <c r="K40" s="266">
        <f>+Summary!$C$5</f>
        <v>36850</v>
      </c>
      <c r="L40" s="4">
        <f t="shared" si="4"/>
        <v>0</v>
      </c>
      <c r="M40" s="4">
        <v>0</v>
      </c>
      <c r="N40" s="5">
        <f>+L40+M40</f>
        <v>0</v>
      </c>
      <c r="O40">
        <v>0</v>
      </c>
      <c r="P40" s="4">
        <f t="shared" si="6"/>
        <v>0</v>
      </c>
      <c r="Q40" s="4">
        <f>VLOOKUP(+Summary!$E$5,Privates,R40)</f>
        <v>2343750</v>
      </c>
      <c r="R40" s="238">
        <f t="shared" si="7"/>
        <v>28</v>
      </c>
      <c r="S40" s="146">
        <f>+J40-'MRP Raptor'!U17+'Private Cash'!AB375</f>
        <v>0</v>
      </c>
    </row>
    <row r="41" spans="1:19" x14ac:dyDescent="0.25">
      <c r="A41" t="s">
        <v>523</v>
      </c>
      <c r="B41" s="274">
        <v>36741</v>
      </c>
      <c r="C41" s="274">
        <v>37836</v>
      </c>
      <c r="D41" s="77" t="s">
        <v>17</v>
      </c>
      <c r="E41" s="4">
        <v>0</v>
      </c>
      <c r="F41" s="77" t="s">
        <v>18</v>
      </c>
      <c r="I41" s="4">
        <v>16316247</v>
      </c>
      <c r="J41" s="4">
        <f t="shared" si="3"/>
        <v>16316247</v>
      </c>
      <c r="K41" s="266">
        <f>+Summary!$C$5</f>
        <v>36850</v>
      </c>
      <c r="L41" s="4">
        <f t="shared" si="4"/>
        <v>0</v>
      </c>
      <c r="M41" s="4">
        <v>0</v>
      </c>
      <c r="N41" s="5">
        <f>+L41+M41</f>
        <v>0</v>
      </c>
      <c r="O41">
        <v>0</v>
      </c>
      <c r="P41" s="4">
        <f>+Q41-I41</f>
        <v>0</v>
      </c>
      <c r="Q41" s="4">
        <f>VLOOKUP(+Summary!$E$5,Privates,R41)</f>
        <v>16316247</v>
      </c>
      <c r="R41" s="238">
        <f t="shared" si="7"/>
        <v>29</v>
      </c>
      <c r="S41" s="146">
        <f>+J41-'MRP Raptor'!U18+'Private Cash'!AC375</f>
        <v>0</v>
      </c>
    </row>
    <row r="42" spans="1:19" x14ac:dyDescent="0.25">
      <c r="A42" t="s">
        <v>524</v>
      </c>
      <c r="B42" s="274">
        <v>36741</v>
      </c>
      <c r="C42" s="274">
        <v>37836</v>
      </c>
      <c r="D42" s="77" t="s">
        <v>17</v>
      </c>
      <c r="E42" s="4">
        <v>0</v>
      </c>
      <c r="F42" s="77" t="s">
        <v>18</v>
      </c>
      <c r="I42" s="4">
        <v>1050000</v>
      </c>
      <c r="J42" s="4">
        <f t="shared" si="3"/>
        <v>1050000</v>
      </c>
      <c r="K42" s="266">
        <f>+Summary!$C$5</f>
        <v>36850</v>
      </c>
      <c r="L42" s="4">
        <f t="shared" si="4"/>
        <v>0</v>
      </c>
      <c r="M42" s="4">
        <v>0</v>
      </c>
      <c r="N42" s="5">
        <f>+L42+M42</f>
        <v>0</v>
      </c>
      <c r="O42">
        <v>0</v>
      </c>
      <c r="P42" s="4">
        <f>+Q42-I42</f>
        <v>0</v>
      </c>
      <c r="Q42" s="4">
        <f>VLOOKUP(+Summary!$E$5,Privates,R42)</f>
        <v>1050000</v>
      </c>
      <c r="R42" s="238">
        <f t="shared" si="7"/>
        <v>30</v>
      </c>
      <c r="S42" s="146">
        <f>+J42-'MRP Raptor'!U19+'Private Cash'!AD375</f>
        <v>0</v>
      </c>
    </row>
    <row r="43" spans="1:19" x14ac:dyDescent="0.25">
      <c r="A43" s="143" t="s">
        <v>490</v>
      </c>
      <c r="B43" s="274">
        <v>36741</v>
      </c>
      <c r="C43" s="274">
        <v>37836</v>
      </c>
      <c r="D43" s="77" t="s">
        <v>17</v>
      </c>
      <c r="E43" s="4">
        <v>0</v>
      </c>
      <c r="F43" s="77" t="s">
        <v>18</v>
      </c>
      <c r="G43" s="2">
        <v>217.28</v>
      </c>
      <c r="H43" s="3">
        <v>375000</v>
      </c>
      <c r="I43" s="4">
        <f>ROUND(+G43*H43,2)</f>
        <v>81480000</v>
      </c>
      <c r="J43" s="4">
        <f t="shared" si="3"/>
        <v>81480000</v>
      </c>
      <c r="K43" s="266">
        <f>+Summary!$C$5</f>
        <v>36850</v>
      </c>
      <c r="L43" s="4">
        <f t="shared" si="4"/>
        <v>0</v>
      </c>
      <c r="M43" s="4">
        <v>0</v>
      </c>
      <c r="N43" s="5">
        <f t="shared" si="5"/>
        <v>0</v>
      </c>
      <c r="O43">
        <v>0</v>
      </c>
      <c r="P43" s="4">
        <f t="shared" si="6"/>
        <v>0</v>
      </c>
      <c r="Q43" s="4">
        <f>VLOOKUP(+Summary!$E$5,Privates,R43)</f>
        <v>81480000</v>
      </c>
      <c r="R43" s="238">
        <f t="shared" si="7"/>
        <v>31</v>
      </c>
      <c r="S43" s="146">
        <f>+J43-'MRP Raptor'!U69+'Private Cash'!AE375</f>
        <v>4.1909515857696533E-9</v>
      </c>
    </row>
    <row r="44" spans="1:19" x14ac:dyDescent="0.25">
      <c r="A44" s="143" t="s">
        <v>489</v>
      </c>
      <c r="B44" s="274">
        <v>36741</v>
      </c>
      <c r="C44" s="274">
        <v>37836</v>
      </c>
      <c r="D44" s="77" t="s">
        <v>17</v>
      </c>
      <c r="E44" s="4">
        <v>0</v>
      </c>
      <c r="F44" s="77" t="s">
        <v>18</v>
      </c>
      <c r="G44" s="2">
        <v>1360</v>
      </c>
      <c r="H44" s="3">
        <v>1000</v>
      </c>
      <c r="I44" s="4">
        <f>ROUND(+G44*H44,2)</f>
        <v>1360000</v>
      </c>
      <c r="J44" s="4">
        <f t="shared" si="3"/>
        <v>1360000</v>
      </c>
      <c r="K44" s="266">
        <f>+Summary!$C$5</f>
        <v>36850</v>
      </c>
      <c r="L44" s="4">
        <f t="shared" si="4"/>
        <v>0</v>
      </c>
      <c r="M44" s="4">
        <v>0</v>
      </c>
      <c r="N44" s="5">
        <f t="shared" si="5"/>
        <v>0</v>
      </c>
      <c r="O44">
        <v>0</v>
      </c>
      <c r="P44" s="4">
        <f t="shared" si="6"/>
        <v>0</v>
      </c>
      <c r="Q44" s="4">
        <f>VLOOKUP(+Summary!$E$5,Privates,R44)</f>
        <v>1360000</v>
      </c>
      <c r="R44" s="238">
        <f t="shared" si="7"/>
        <v>32</v>
      </c>
      <c r="S44" s="146">
        <f>+J44-'MRP Raptor'!U77+'Private Cash'!AF375</f>
        <v>0</v>
      </c>
    </row>
    <row r="45" spans="1:19" x14ac:dyDescent="0.25">
      <c r="A45" s="143" t="s">
        <v>190</v>
      </c>
      <c r="B45" s="274">
        <v>36741</v>
      </c>
      <c r="C45" s="274">
        <v>37836</v>
      </c>
      <c r="D45" s="77" t="s">
        <v>540</v>
      </c>
      <c r="E45" s="4">
        <v>36066314</v>
      </c>
      <c r="F45" s="77" t="s">
        <v>18</v>
      </c>
      <c r="I45" s="4">
        <v>93746590</v>
      </c>
      <c r="J45" s="4">
        <f t="shared" si="3"/>
        <v>93746588.676477998</v>
      </c>
      <c r="K45" s="266">
        <f>+Summary!$C$5</f>
        <v>36850</v>
      </c>
      <c r="L45" s="4">
        <f t="shared" si="4"/>
        <v>-1.3235220015048981</v>
      </c>
      <c r="M45" s="4">
        <v>0</v>
      </c>
      <c r="N45" s="5">
        <f>+L45+M45</f>
        <v>-1.3235220015048981</v>
      </c>
      <c r="O45">
        <v>0</v>
      </c>
      <c r="P45" s="4">
        <f t="shared" si="6"/>
        <v>-1.3235220015048981</v>
      </c>
      <c r="Q45" s="4">
        <f>VLOOKUP(+Summary!$E$5,Privates,R45)</f>
        <v>93746588.676477998</v>
      </c>
      <c r="R45" s="238">
        <f t="shared" si="7"/>
        <v>33</v>
      </c>
      <c r="S45" s="146">
        <f>+J45-'MRP Raptor'!U30+'Private Cash'!AG375</f>
        <v>0</v>
      </c>
    </row>
    <row r="46" spans="1:19" x14ac:dyDescent="0.25">
      <c r="A46" s="143"/>
      <c r="J46" s="4"/>
      <c r="L46" s="4"/>
      <c r="M46" s="4"/>
      <c r="N46" s="5"/>
      <c r="P46" s="4"/>
      <c r="Q46" s="4"/>
      <c r="R46" s="238"/>
      <c r="S46" s="146"/>
    </row>
    <row r="47" spans="1:19" x14ac:dyDescent="0.25">
      <c r="A47" s="143" t="s">
        <v>256</v>
      </c>
      <c r="J47" s="4"/>
      <c r="L47" s="4"/>
      <c r="M47" s="4"/>
      <c r="N47" s="5"/>
      <c r="P47" s="4"/>
      <c r="Q47" s="4"/>
      <c r="R47" s="238"/>
      <c r="S47" s="146"/>
    </row>
    <row r="48" spans="1:19" x14ac:dyDescent="0.25">
      <c r="A48" t="s">
        <v>170</v>
      </c>
      <c r="B48" s="274">
        <v>36741</v>
      </c>
      <c r="C48" s="274">
        <v>37836</v>
      </c>
      <c r="D48" s="77" t="s">
        <v>17</v>
      </c>
      <c r="E48" s="4">
        <v>0</v>
      </c>
      <c r="F48" s="77" t="s">
        <v>18</v>
      </c>
      <c r="G48" s="2">
        <f>+G4</f>
        <v>1.17868389193476</v>
      </c>
      <c r="H48" s="3">
        <f>ROUND(+H4/0.6*0.3612,2)</f>
        <v>46956</v>
      </c>
      <c r="I48" s="4">
        <f>ROUND(+G48*H48,2)</f>
        <v>55346.28</v>
      </c>
      <c r="J48" s="69">
        <f>+J4</f>
        <v>1.5840936981110871</v>
      </c>
      <c r="K48" s="266">
        <f>+Summary!$C$5</f>
        <v>36850</v>
      </c>
      <c r="L48" s="4">
        <f>IF(K48&lt;B48,0,ROUND((+J48*H48),2)-I48-M48)</f>
        <v>19036.419999999998</v>
      </c>
      <c r="M48" s="4">
        <v>0</v>
      </c>
      <c r="N48" s="5">
        <f t="shared" ref="N48:N53" si="8">+L48+M48</f>
        <v>19036.419999999998</v>
      </c>
      <c r="O48">
        <v>0</v>
      </c>
      <c r="P48" s="4">
        <f>IF(Summary!$E$5&lt;'Daily Position'!B48,0,ROUND(+Q48*H48,2)-I48)</f>
        <v>23303.100000000006</v>
      </c>
      <c r="Q48" s="69">
        <f>+Q4</f>
        <v>1.6749590795986473</v>
      </c>
      <c r="R48" s="2"/>
      <c r="S48" s="146">
        <f>+J48*H48-'MRP Raptor'!U22</f>
        <v>0</v>
      </c>
    </row>
    <row r="49" spans="1:20" x14ac:dyDescent="0.25">
      <c r="A49" t="s">
        <v>484</v>
      </c>
      <c r="B49" s="274">
        <v>36741</v>
      </c>
      <c r="C49" s="274">
        <v>37836</v>
      </c>
      <c r="D49" s="77" t="s">
        <v>17</v>
      </c>
      <c r="E49" s="4">
        <v>0</v>
      </c>
      <c r="F49" s="77" t="s">
        <v>18</v>
      </c>
      <c r="G49" s="2">
        <f>+G9</f>
        <v>1.6839500000000001</v>
      </c>
      <c r="H49" s="3">
        <f>ROUND(+H9/0.6*0.3612,2)</f>
        <v>442470</v>
      </c>
      <c r="I49" s="4">
        <f>ROUND(+G49*H49,2)-2</f>
        <v>745095.36</v>
      </c>
      <c r="J49" s="69">
        <f>+J9</f>
        <v>1.9379844961240309</v>
      </c>
      <c r="K49" s="266">
        <f>+Summary!$C$5</f>
        <v>36850</v>
      </c>
      <c r="L49" s="4">
        <f>IF(K49&lt;B49,0,ROUND((+J49*H49),2)-I49-M49)</f>
        <v>112404.64000000001</v>
      </c>
      <c r="M49" s="4">
        <v>0</v>
      </c>
      <c r="N49" s="5">
        <f t="shared" si="8"/>
        <v>112404.64000000001</v>
      </c>
      <c r="O49">
        <v>0</v>
      </c>
      <c r="P49" s="4">
        <f>IF(Summary!$E$5&lt;'Daily Position'!B49,0,ROUND(+Q49*H49,2)-I49)</f>
        <v>112404.64000000001</v>
      </c>
      <c r="Q49" s="69">
        <f>+Q9</f>
        <v>1.9379844961240309</v>
      </c>
      <c r="R49" s="2"/>
      <c r="S49" s="146">
        <f>+G49*H49-J49*H49+N49</f>
        <v>1.9965000000083819</v>
      </c>
      <c r="T49" s="219"/>
    </row>
    <row r="50" spans="1:20" x14ac:dyDescent="0.25">
      <c r="A50" t="s">
        <v>561</v>
      </c>
      <c r="B50" s="274">
        <v>36741</v>
      </c>
      <c r="C50" s="274">
        <v>37836</v>
      </c>
      <c r="D50" s="77" t="s">
        <v>17</v>
      </c>
      <c r="E50" s="4">
        <v>0</v>
      </c>
      <c r="F50" s="77" t="s">
        <v>18</v>
      </c>
      <c r="G50" s="2">
        <f>+G10</f>
        <v>4.8003002733324323</v>
      </c>
      <c r="H50" s="3">
        <f>ROUND(+H10/0.6*0.3612,4)</f>
        <v>82856.029200000004</v>
      </c>
      <c r="I50" s="4">
        <f>ROUND(+G50*H50,2)</f>
        <v>397733.82</v>
      </c>
      <c r="J50" s="69">
        <f>+J10</f>
        <v>7.0625</v>
      </c>
      <c r="K50" s="266">
        <f>+Summary!$C$5</f>
        <v>36850</v>
      </c>
      <c r="L50" s="4">
        <f>IF(K50&lt;B50,0,ROUND((+J50*H50),2)-I50-M50)</f>
        <v>187436.88999999996</v>
      </c>
      <c r="M50" s="4">
        <v>0</v>
      </c>
      <c r="N50" s="5">
        <f t="shared" si="8"/>
        <v>187436.88999999996</v>
      </c>
      <c r="O50">
        <v>0</v>
      </c>
      <c r="P50" s="4">
        <f>IF(Summary!$E$5&lt;'Daily Position'!B50,0,ROUND(+Q50*H50,2)-I50)</f>
        <v>187436.88999999996</v>
      </c>
      <c r="Q50" s="69">
        <f>+Q10</f>
        <v>7.0625</v>
      </c>
      <c r="R50" s="2"/>
      <c r="S50" s="146">
        <f>+J50*H50-'MRP Raptor'!U41</f>
        <v>0</v>
      </c>
      <c r="T50" s="219"/>
    </row>
    <row r="51" spans="1:20" x14ac:dyDescent="0.25">
      <c r="A51" t="s">
        <v>172</v>
      </c>
      <c r="B51" s="274">
        <v>36741</v>
      </c>
      <c r="C51" s="274">
        <v>37836</v>
      </c>
      <c r="D51" s="77" t="s">
        <v>17</v>
      </c>
      <c r="E51" s="4">
        <v>0</v>
      </c>
      <c r="F51" s="77" t="s">
        <v>18</v>
      </c>
      <c r="G51" s="2">
        <f>+G11</f>
        <v>7.625</v>
      </c>
      <c r="H51" s="3">
        <f>ROUND(+H11/0.6*0.3612,3)</f>
        <v>484154.28600000002</v>
      </c>
      <c r="I51" s="4">
        <f>ROUND(+G51*H51,2)</f>
        <v>3691676.43</v>
      </c>
      <c r="J51" s="69">
        <f>+J11</f>
        <v>8.625</v>
      </c>
      <c r="K51" s="266">
        <f>+Summary!$C$5</f>
        <v>36850</v>
      </c>
      <c r="L51" s="4">
        <f>IF(K51&lt;B51,0,ROUND((+J51*H51),2)-I51-M51)</f>
        <v>484154.29000000004</v>
      </c>
      <c r="M51" s="4">
        <v>0</v>
      </c>
      <c r="N51" s="5">
        <f t="shared" si="8"/>
        <v>484154.29000000004</v>
      </c>
      <c r="O51">
        <v>0</v>
      </c>
      <c r="P51" s="4">
        <f>IF(Summary!$E$5&lt;'Daily Position'!B51,0,ROUND(+Q51*H51,2)-I51)</f>
        <v>665712.14000000013</v>
      </c>
      <c r="Q51" s="69">
        <f>+Q11</f>
        <v>9</v>
      </c>
      <c r="R51" s="2"/>
      <c r="S51" s="146">
        <f>+J51*H51-'MRP Raptor'!U42</f>
        <v>0</v>
      </c>
      <c r="T51" s="219"/>
    </row>
    <row r="52" spans="1:20" x14ac:dyDescent="0.25">
      <c r="A52" s="143" t="s">
        <v>239</v>
      </c>
      <c r="B52" s="274">
        <v>36741</v>
      </c>
      <c r="C52" s="274">
        <v>37836</v>
      </c>
      <c r="D52" s="77" t="s">
        <v>17</v>
      </c>
      <c r="E52" s="4">
        <v>0</v>
      </c>
      <c r="F52" s="77" t="s">
        <v>18</v>
      </c>
      <c r="I52" s="4">
        <f>ROUND(+I15/0.6*0.3612,2)</f>
        <v>2747287.2</v>
      </c>
      <c r="J52" s="4">
        <f>ROUND(+J15/0.6*0.3612,2)</f>
        <v>2747287.2</v>
      </c>
      <c r="K52" s="266">
        <f>+Summary!$C$5</f>
        <v>36850</v>
      </c>
      <c r="L52" s="4">
        <f>IF(K52&lt;B52,0,(+J52-I52-M52))</f>
        <v>0</v>
      </c>
      <c r="M52" s="4">
        <v>0</v>
      </c>
      <c r="N52" s="5">
        <f t="shared" si="8"/>
        <v>0</v>
      </c>
      <c r="O52">
        <v>0</v>
      </c>
      <c r="P52" s="4">
        <f>+Q52-I52</f>
        <v>0</v>
      </c>
      <c r="Q52" s="4">
        <f>ROUND(+Q15/0.6*0.3612,2)</f>
        <v>2747287.2</v>
      </c>
      <c r="R52" s="238"/>
      <c r="S52" s="146">
        <f>+J52-'MRP Raptor'!U39+'Private Cash'!C375/0.6*0.3612</f>
        <v>0.22612000005756272</v>
      </c>
    </row>
    <row r="53" spans="1:20" x14ac:dyDescent="0.25">
      <c r="A53" s="143" t="s">
        <v>245</v>
      </c>
      <c r="B53" s="274">
        <v>36741</v>
      </c>
      <c r="C53" s="274">
        <v>37836</v>
      </c>
      <c r="D53" s="77" t="s">
        <v>17</v>
      </c>
      <c r="E53" s="4">
        <v>0</v>
      </c>
      <c r="F53" s="77" t="s">
        <v>18</v>
      </c>
      <c r="I53" s="4">
        <f>ROUND(+I28/0.6*0.3612,2)</f>
        <v>283415.58</v>
      </c>
      <c r="J53" s="4">
        <f>ROUND(+J28/0.6*0.3612,2)</f>
        <v>283415.58</v>
      </c>
      <c r="K53" s="266">
        <f>+Summary!$C$5</f>
        <v>36850</v>
      </c>
      <c r="L53" s="4">
        <f>IF(K53&lt;B53,0,(+J53-I53-M53))</f>
        <v>0</v>
      </c>
      <c r="M53" s="4">
        <v>0</v>
      </c>
      <c r="N53" s="5">
        <f t="shared" si="8"/>
        <v>0</v>
      </c>
      <c r="O53">
        <v>0</v>
      </c>
      <c r="P53" s="4">
        <f>+Q53-I53</f>
        <v>0</v>
      </c>
      <c r="Q53" s="4">
        <f>ROUND(+Q28/0.6*0.3612,2)</f>
        <v>283415.58</v>
      </c>
      <c r="R53" s="238"/>
      <c r="S53" s="146">
        <f>+J53-'MRP Raptor'!U44+'Private Cash'!P375/0.6*0.3612</f>
        <v>-0.41999999998370185</v>
      </c>
    </row>
    <row r="54" spans="1:20" x14ac:dyDescent="0.25">
      <c r="A54" s="143"/>
      <c r="J54" s="4"/>
      <c r="L54" s="4"/>
      <c r="M54" s="4"/>
      <c r="N54" s="5"/>
      <c r="P54" s="4"/>
      <c r="Q54" s="4"/>
      <c r="R54" s="238"/>
      <c r="S54" s="146"/>
    </row>
    <row r="55" spans="1:20" x14ac:dyDescent="0.25">
      <c r="A55" s="143"/>
      <c r="J55" s="4"/>
      <c r="L55" s="4"/>
      <c r="M55" s="4"/>
      <c r="N55" s="5"/>
      <c r="P55" s="4"/>
      <c r="Q55" s="4"/>
      <c r="R55" s="238"/>
      <c r="S55" s="146"/>
    </row>
    <row r="56" spans="1:20" x14ac:dyDescent="0.25">
      <c r="A56" s="143"/>
      <c r="J56" s="4"/>
      <c r="L56" s="4"/>
      <c r="M56" s="4"/>
      <c r="N56" s="5"/>
      <c r="P56" s="4"/>
      <c r="Q56" s="4"/>
      <c r="R56" s="238"/>
      <c r="S56" s="146"/>
    </row>
    <row r="57" spans="1:20" x14ac:dyDescent="0.25">
      <c r="A57" s="143"/>
      <c r="J57" s="4"/>
      <c r="L57" s="4"/>
      <c r="M57" s="4"/>
      <c r="N57" s="5"/>
      <c r="P57" s="4"/>
      <c r="Q57" s="4"/>
      <c r="R57" s="238"/>
      <c r="S57" s="146"/>
    </row>
    <row r="59" spans="1:20" ht="16.5" thickBot="1" x14ac:dyDescent="0.3">
      <c r="B59" s="275" t="s">
        <v>19</v>
      </c>
      <c r="E59" s="78">
        <f>SUM(E4:E58)</f>
        <v>36066314</v>
      </c>
      <c r="I59" s="245">
        <f>SUM(I3:I58)</f>
        <v>721181729.07000005</v>
      </c>
      <c r="L59" s="78">
        <f>SUM(L3:L58)</f>
        <v>-193330437.50353804</v>
      </c>
      <c r="M59" s="78">
        <f>SUM(M3:M58)</f>
        <v>0</v>
      </c>
      <c r="N59" s="78">
        <f>SUM(N3:N58)</f>
        <v>-193330437.50353804</v>
      </c>
      <c r="O59" s="78">
        <f>SUM(O3:O58)</f>
        <v>0</v>
      </c>
      <c r="P59" s="78">
        <f>SUM(P3:P58)</f>
        <v>-186751809.16353804</v>
      </c>
      <c r="Q59" s="221"/>
      <c r="R59" s="221"/>
      <c r="S59" s="78">
        <f>SUM(S3:S58)</f>
        <v>1.797968838342058</v>
      </c>
    </row>
    <row r="60" spans="1:20" ht="16.5" thickTop="1" x14ac:dyDescent="0.25"/>
    <row r="61" spans="1:20" x14ac:dyDescent="0.25">
      <c r="S61" s="5">
        <f>+I59+L59</f>
        <v>527851291.56646204</v>
      </c>
    </row>
    <row r="62" spans="1:20" x14ac:dyDescent="0.25">
      <c r="S62" s="226">
        <f>+S61-'MRP Raptor'!U92+SUM('Private Cash'!B375:AG375)+(+'Private Cash'!C375+'Private Cash'!P375)/0.6*0.3612-'Private Cash'!F375</f>
        <v>2281918.4064425034</v>
      </c>
    </row>
    <row r="63" spans="1:20" x14ac:dyDescent="0.25">
      <c r="S63" s="233">
        <f>+S62-S59</f>
        <v>2281916.6084736651</v>
      </c>
      <c r="T63" t="s">
        <v>538</v>
      </c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18"/>
  <sheetViews>
    <sheetView workbookViewId="0">
      <pane ySplit="4" topLeftCell="A82" activePane="bottomLeft" state="frozen"/>
      <selection pane="bottomLeft" activeCell="A83" sqref="A83:B83"/>
    </sheetView>
  </sheetViews>
  <sheetFormatPr defaultRowHeight="15.75" x14ac:dyDescent="0.25"/>
  <cols>
    <col min="1" max="1" width="10" style="1" bestFit="1" customWidth="1"/>
    <col min="2" max="2" width="9.75" style="130" bestFit="1" customWidth="1"/>
    <col min="3" max="3" width="9.875" style="266" bestFit="1" customWidth="1"/>
    <col min="4" max="4" width="9.125" style="135" bestFit="1" customWidth="1"/>
    <col min="5" max="5" width="9.875" style="266" bestFit="1" customWidth="1"/>
    <col min="6" max="6" width="9.75" style="130" bestFit="1" customWidth="1"/>
    <col min="7" max="7" width="9.875" style="266" bestFit="1" customWidth="1"/>
    <col min="8" max="8" width="9.125" style="130" bestFit="1" customWidth="1"/>
    <col min="9" max="9" width="9.875" style="266" bestFit="1" customWidth="1"/>
    <col min="10" max="10" width="11.25" style="130" customWidth="1"/>
    <col min="11" max="11" width="9.875" style="266" bestFit="1" customWidth="1"/>
    <col min="12" max="12" width="10.375" style="133" bestFit="1" customWidth="1"/>
    <col min="13" max="13" width="9.875" style="266" bestFit="1" customWidth="1"/>
    <col min="14" max="14" width="9.125" style="130" bestFit="1" customWidth="1"/>
    <col min="15" max="15" width="9.875" style="266" bestFit="1" customWidth="1"/>
    <col min="16" max="16" width="9.125" style="130" bestFit="1" customWidth="1"/>
    <col min="17" max="17" width="9.875" style="266" bestFit="1" customWidth="1"/>
    <col min="18" max="18" width="9.125" style="130" bestFit="1" customWidth="1"/>
    <col min="19" max="19" width="9.875" style="270" bestFit="1" customWidth="1"/>
    <col min="20" max="20" width="9.75" style="130" bestFit="1" customWidth="1"/>
    <col min="21" max="21" width="10" style="266" customWidth="1"/>
    <col min="22" max="22" width="11.375" style="131" bestFit="1" customWidth="1"/>
    <col min="23" max="23" width="9.875" style="266" bestFit="1" customWidth="1"/>
    <col min="24" max="24" width="9.125" style="130" bestFit="1" customWidth="1"/>
    <col min="25" max="25" width="9.875" style="266" bestFit="1" customWidth="1"/>
    <col min="26" max="26" width="9.125" style="130" bestFit="1" customWidth="1"/>
    <col min="28" max="28" width="9.125" style="266" bestFit="1" customWidth="1"/>
    <col min="29" max="29" width="10.125" bestFit="1" customWidth="1"/>
    <col min="30" max="30" width="9.125" style="266" bestFit="1" customWidth="1"/>
    <col min="31" max="31" width="10.75" bestFit="1" customWidth="1"/>
    <col min="32" max="32" width="9.125" style="266" bestFit="1" customWidth="1"/>
    <col min="33" max="33" width="10.625" customWidth="1"/>
  </cols>
  <sheetData>
    <row r="1" spans="1:36" x14ac:dyDescent="0.25">
      <c r="A1" s="267" t="s">
        <v>162</v>
      </c>
      <c r="B1" s="126"/>
      <c r="E1" s="270"/>
      <c r="F1" s="129"/>
    </row>
    <row r="2" spans="1:36" x14ac:dyDescent="0.25">
      <c r="B2" s="127"/>
      <c r="E2" s="270"/>
      <c r="F2" s="129"/>
    </row>
    <row r="3" spans="1:36" x14ac:dyDescent="0.25">
      <c r="A3" s="287" t="s">
        <v>4</v>
      </c>
      <c r="B3" s="288"/>
      <c r="C3" s="289" t="s">
        <v>184</v>
      </c>
      <c r="D3" s="290"/>
      <c r="E3" s="287" t="s">
        <v>13</v>
      </c>
      <c r="F3" s="288"/>
      <c r="G3" s="287" t="s">
        <v>167</v>
      </c>
      <c r="H3" s="288"/>
      <c r="I3" s="287" t="s">
        <v>485</v>
      </c>
      <c r="J3" s="288"/>
      <c r="K3" s="285" t="s">
        <v>258</v>
      </c>
      <c r="L3" s="286"/>
      <c r="M3" s="287" t="s">
        <v>168</v>
      </c>
      <c r="N3" s="288"/>
      <c r="O3" s="287" t="s">
        <v>169</v>
      </c>
      <c r="P3" s="288"/>
      <c r="Q3" s="287" t="s">
        <v>170</v>
      </c>
      <c r="R3" s="288"/>
      <c r="S3" s="287" t="s">
        <v>518</v>
      </c>
      <c r="T3" s="288"/>
      <c r="U3" s="291" t="s">
        <v>261</v>
      </c>
      <c r="V3" s="292"/>
      <c r="W3" s="287" t="s">
        <v>171</v>
      </c>
      <c r="X3" s="288"/>
      <c r="Y3" s="287" t="s">
        <v>172</v>
      </c>
      <c r="Z3" s="288"/>
      <c r="AB3" s="285" t="s">
        <v>259</v>
      </c>
      <c r="AC3" s="286"/>
      <c r="AD3" s="291" t="s">
        <v>260</v>
      </c>
      <c r="AE3" s="292"/>
      <c r="AF3" s="287" t="s">
        <v>487</v>
      </c>
      <c r="AG3" s="288"/>
    </row>
    <row r="4" spans="1:36" x14ac:dyDescent="0.25">
      <c r="A4" s="268" t="s">
        <v>1</v>
      </c>
      <c r="B4" s="128" t="s">
        <v>12</v>
      </c>
      <c r="C4" s="269" t="s">
        <v>1</v>
      </c>
      <c r="D4" s="136" t="s">
        <v>174</v>
      </c>
      <c r="E4" s="269" t="s">
        <v>1</v>
      </c>
      <c r="F4" s="128" t="s">
        <v>14</v>
      </c>
      <c r="G4" s="269" t="s">
        <v>1</v>
      </c>
      <c r="H4" s="128" t="s">
        <v>175</v>
      </c>
      <c r="I4" s="269" t="s">
        <v>1</v>
      </c>
      <c r="J4" s="128" t="s">
        <v>486</v>
      </c>
      <c r="K4" s="269" t="s">
        <v>1</v>
      </c>
      <c r="L4" s="134" t="s">
        <v>257</v>
      </c>
      <c r="M4" s="269" t="s">
        <v>1</v>
      </c>
      <c r="N4" s="128" t="s">
        <v>177</v>
      </c>
      <c r="O4" s="269" t="s">
        <v>1</v>
      </c>
      <c r="P4" s="128" t="s">
        <v>178</v>
      </c>
      <c r="Q4" s="269" t="s">
        <v>1</v>
      </c>
      <c r="R4" s="128" t="s">
        <v>179</v>
      </c>
      <c r="S4" s="269" t="s">
        <v>1</v>
      </c>
      <c r="T4" s="128" t="s">
        <v>519</v>
      </c>
      <c r="U4" s="269" t="s">
        <v>1</v>
      </c>
      <c r="V4" s="132" t="s">
        <v>180</v>
      </c>
      <c r="W4" s="269" t="s">
        <v>1</v>
      </c>
      <c r="X4" s="128" t="s">
        <v>182</v>
      </c>
      <c r="Y4" s="269" t="s">
        <v>1</v>
      </c>
      <c r="Z4" s="128" t="s">
        <v>173</v>
      </c>
      <c r="AB4" s="269" t="s">
        <v>1</v>
      </c>
      <c r="AC4" s="134" t="s">
        <v>176</v>
      </c>
      <c r="AD4" s="269" t="s">
        <v>1</v>
      </c>
      <c r="AE4" s="132" t="s">
        <v>180</v>
      </c>
      <c r="AF4" s="269" t="s">
        <v>1</v>
      </c>
      <c r="AG4" s="128" t="s">
        <v>486</v>
      </c>
    </row>
    <row r="5" spans="1:36" x14ac:dyDescent="0.25">
      <c r="A5" s="1">
        <v>36739</v>
      </c>
      <c r="B5" s="127">
        <v>76</v>
      </c>
      <c r="C5" s="266">
        <v>36739</v>
      </c>
      <c r="D5" s="135">
        <v>1.4882</v>
      </c>
      <c r="E5" s="266">
        <v>36739</v>
      </c>
      <c r="F5" s="129">
        <v>107.5</v>
      </c>
      <c r="G5" s="266">
        <v>36739</v>
      </c>
      <c r="H5" s="130">
        <v>51.766671915874781</v>
      </c>
      <c r="I5" s="266">
        <v>36739</v>
      </c>
      <c r="J5" s="130">
        <v>1.7470770057787932</v>
      </c>
      <c r="K5" s="266">
        <v>36739</v>
      </c>
      <c r="L5" s="130">
        <v>0.83994086816288138</v>
      </c>
      <c r="M5" s="266">
        <v>36739</v>
      </c>
      <c r="N5" s="130">
        <v>9.4E-2</v>
      </c>
      <c r="O5" s="266">
        <v>36739</v>
      </c>
      <c r="P5" s="130">
        <v>3.3478813829999998</v>
      </c>
      <c r="Q5" s="266">
        <v>36739</v>
      </c>
      <c r="R5" s="130">
        <v>1.091023692</v>
      </c>
      <c r="S5" s="266">
        <v>36739</v>
      </c>
      <c r="T5" s="130">
        <v>1.091023692</v>
      </c>
      <c r="U5" s="266">
        <v>36739</v>
      </c>
      <c r="V5" s="130">
        <v>2.0494557183174305</v>
      </c>
      <c r="W5" s="266">
        <v>36739</v>
      </c>
      <c r="X5" s="130">
        <v>6</v>
      </c>
      <c r="Y5" s="266">
        <v>36739</v>
      </c>
      <c r="Z5" s="130">
        <v>7.125</v>
      </c>
      <c r="AB5" s="266">
        <v>36739</v>
      </c>
      <c r="AC5" s="133">
        <v>1.25</v>
      </c>
      <c r="AD5" s="266">
        <v>36739</v>
      </c>
      <c r="AE5" s="131">
        <v>3.05</v>
      </c>
      <c r="AF5" s="266">
        <v>36739</v>
      </c>
      <c r="AG5" s="131">
        <v>2.6</v>
      </c>
      <c r="AH5" s="145"/>
      <c r="AI5" s="145"/>
      <c r="AJ5" s="147"/>
    </row>
    <row r="6" spans="1:36" x14ac:dyDescent="0.25">
      <c r="A6" s="1">
        <v>36740</v>
      </c>
      <c r="B6" s="127">
        <v>77.625</v>
      </c>
      <c r="C6" s="266">
        <v>36740</v>
      </c>
      <c r="D6" s="135">
        <v>1.4810000000000001</v>
      </c>
      <c r="E6" s="266">
        <v>36740</v>
      </c>
      <c r="F6" s="129">
        <v>132</v>
      </c>
      <c r="G6" s="266">
        <v>36740</v>
      </c>
      <c r="H6" s="130">
        <v>51.766671915874781</v>
      </c>
      <c r="I6" s="266">
        <v>36740</v>
      </c>
      <c r="J6" s="130">
        <v>1.7555705604321403</v>
      </c>
      <c r="K6" s="266">
        <v>36740</v>
      </c>
      <c r="L6" s="130">
        <v>0.91154625253207289</v>
      </c>
      <c r="M6" s="266">
        <v>36740</v>
      </c>
      <c r="N6" s="130">
        <v>7.8E-2</v>
      </c>
      <c r="O6" s="266">
        <v>36740</v>
      </c>
      <c r="P6" s="130">
        <v>3.3473850440000001</v>
      </c>
      <c r="Q6" s="266">
        <v>36740</v>
      </c>
      <c r="R6" s="130">
        <v>1.195439165</v>
      </c>
      <c r="S6" s="266">
        <v>36740</v>
      </c>
      <c r="T6" s="130">
        <v>1.195439165</v>
      </c>
      <c r="U6" s="266">
        <v>36740</v>
      </c>
      <c r="V6" s="130">
        <v>2.0594193112761645</v>
      </c>
      <c r="W6" s="266">
        <v>36740</v>
      </c>
      <c r="X6" s="130">
        <v>6</v>
      </c>
      <c r="Y6" s="266">
        <v>36740</v>
      </c>
      <c r="Z6" s="130">
        <v>7.3129999999999997</v>
      </c>
      <c r="AB6" s="266">
        <v>36740</v>
      </c>
      <c r="AC6" s="133">
        <v>1.35</v>
      </c>
      <c r="AD6" s="266">
        <v>36740</v>
      </c>
      <c r="AE6" s="131">
        <v>3.05</v>
      </c>
      <c r="AF6" s="266">
        <v>36740</v>
      </c>
      <c r="AG6" s="131">
        <v>2.6</v>
      </c>
      <c r="AH6" s="145"/>
      <c r="AI6" s="145"/>
      <c r="AJ6" s="147"/>
    </row>
    <row r="7" spans="1:36" x14ac:dyDescent="0.25">
      <c r="A7" s="1">
        <v>36741</v>
      </c>
      <c r="B7" s="127">
        <v>78.016000000000005</v>
      </c>
      <c r="C7" s="266">
        <v>36741</v>
      </c>
      <c r="D7" s="135">
        <v>1.4845999999999999</v>
      </c>
      <c r="E7" s="266">
        <v>36741</v>
      </c>
      <c r="F7" s="129">
        <v>163.5</v>
      </c>
      <c r="G7" s="266">
        <v>36741</v>
      </c>
      <c r="H7" s="130">
        <v>51.766671915874781</v>
      </c>
      <c r="I7" s="266">
        <v>36741</v>
      </c>
      <c r="J7" s="130">
        <v>1.6839552741479187</v>
      </c>
      <c r="K7" s="266">
        <v>36741</v>
      </c>
      <c r="L7" s="130">
        <v>0.94301495352283438</v>
      </c>
      <c r="M7" s="266">
        <v>36741</v>
      </c>
      <c r="N7" s="130">
        <v>9.4E-2</v>
      </c>
      <c r="O7" s="266">
        <v>36741</v>
      </c>
      <c r="P7" s="130">
        <v>4.1954025149999996</v>
      </c>
      <c r="Q7" s="266">
        <v>36741</v>
      </c>
      <c r="R7" s="130">
        <v>1.178683892</v>
      </c>
      <c r="S7" s="266">
        <v>36741</v>
      </c>
      <c r="T7" s="130">
        <v>1.178683892</v>
      </c>
      <c r="U7" s="266">
        <v>36741</v>
      </c>
      <c r="V7" s="130">
        <v>2.0881045399434193</v>
      </c>
      <c r="W7" s="266">
        <v>36741</v>
      </c>
      <c r="X7" s="130">
        <v>5.875</v>
      </c>
      <c r="Y7" s="266">
        <v>36741</v>
      </c>
      <c r="Z7" s="130">
        <v>7.625</v>
      </c>
      <c r="AB7" s="266">
        <v>36741</v>
      </c>
      <c r="AC7" s="133">
        <v>1.4</v>
      </c>
      <c r="AD7" s="266">
        <v>36741</v>
      </c>
      <c r="AE7" s="131">
        <v>3.1</v>
      </c>
      <c r="AF7" s="266">
        <v>36741</v>
      </c>
      <c r="AG7" s="131">
        <v>2.5</v>
      </c>
      <c r="AH7" s="145"/>
      <c r="AI7" s="145"/>
      <c r="AJ7" s="147"/>
    </row>
    <row r="8" spans="1:36" x14ac:dyDescent="0.25">
      <c r="A8" s="1">
        <v>36742</v>
      </c>
      <c r="B8" s="127">
        <v>78</v>
      </c>
      <c r="C8" s="266">
        <v>36742</v>
      </c>
      <c r="D8" s="135">
        <v>1.4895</v>
      </c>
      <c r="E8" s="266">
        <v>36742</v>
      </c>
      <c r="F8" s="129">
        <v>156</v>
      </c>
      <c r="G8" s="266">
        <v>36742</v>
      </c>
      <c r="H8" s="130">
        <v>51.766671915874781</v>
      </c>
      <c r="I8" s="266">
        <v>36742</v>
      </c>
      <c r="J8" s="130">
        <v>1.6784155756965424</v>
      </c>
      <c r="K8" s="266">
        <v>36742</v>
      </c>
      <c r="L8" s="130">
        <v>0.92648539778449135</v>
      </c>
      <c r="M8" s="266">
        <v>36742</v>
      </c>
      <c r="N8" s="130">
        <v>6.3E-2</v>
      </c>
      <c r="O8" s="266">
        <v>36742</v>
      </c>
      <c r="P8" s="130">
        <v>4.2172622339999997</v>
      </c>
      <c r="Q8" s="266">
        <v>36742</v>
      </c>
      <c r="R8" s="130">
        <v>1.1355365209999999</v>
      </c>
      <c r="S8" s="266">
        <v>36742</v>
      </c>
      <c r="T8" s="130">
        <v>1.1355365209999999</v>
      </c>
      <c r="U8" s="266">
        <v>36742</v>
      </c>
      <c r="V8" s="130">
        <v>2.0140986908358509</v>
      </c>
      <c r="W8" s="266">
        <v>36742</v>
      </c>
      <c r="X8" s="130">
        <v>5.625</v>
      </c>
      <c r="Y8" s="266">
        <v>36742</v>
      </c>
      <c r="Z8" s="130">
        <v>7.5</v>
      </c>
      <c r="AB8" s="266">
        <v>36742</v>
      </c>
      <c r="AC8" s="133">
        <v>1.38</v>
      </c>
      <c r="AD8" s="266">
        <v>36742</v>
      </c>
      <c r="AE8" s="131">
        <v>3</v>
      </c>
      <c r="AF8" s="266">
        <v>36742</v>
      </c>
      <c r="AG8" s="131">
        <v>2.5</v>
      </c>
      <c r="AH8" s="145"/>
      <c r="AI8" s="145"/>
      <c r="AJ8" s="147"/>
    </row>
    <row r="9" spans="1:36" x14ac:dyDescent="0.25">
      <c r="A9" s="1">
        <v>36745</v>
      </c>
      <c r="B9" s="127">
        <v>80.266000000000005</v>
      </c>
      <c r="C9" s="266">
        <v>36745</v>
      </c>
      <c r="D9" s="135">
        <v>1.4870000000000001</v>
      </c>
      <c r="E9" s="266">
        <v>36745</v>
      </c>
      <c r="F9" s="129">
        <v>140.625</v>
      </c>
      <c r="G9" s="266">
        <v>36745</v>
      </c>
      <c r="H9" s="130">
        <v>51.766671915874781</v>
      </c>
      <c r="I9" s="266">
        <v>36745</v>
      </c>
      <c r="J9" s="130">
        <v>1.6812373907195695</v>
      </c>
      <c r="K9" s="266">
        <v>36745</v>
      </c>
      <c r="L9" s="130">
        <v>0.92804303967720225</v>
      </c>
      <c r="M9" s="266">
        <v>36745</v>
      </c>
      <c r="N9" s="130">
        <v>6.3E-2</v>
      </c>
      <c r="O9" s="266">
        <v>36745</v>
      </c>
      <c r="P9" s="130">
        <v>4.4795166740000001</v>
      </c>
      <c r="Q9" s="266">
        <v>36745</v>
      </c>
      <c r="R9" s="130">
        <v>1.0992201509999999</v>
      </c>
      <c r="S9" s="266">
        <v>36745</v>
      </c>
      <c r="T9" s="130">
        <v>1.0992201509999999</v>
      </c>
      <c r="U9" s="266">
        <v>36745</v>
      </c>
      <c r="V9" s="130">
        <v>2.0174848688634834</v>
      </c>
      <c r="W9" s="266">
        <v>36745</v>
      </c>
      <c r="X9" s="130">
        <v>5.75</v>
      </c>
      <c r="Y9" s="266">
        <v>36745</v>
      </c>
      <c r="Z9" s="130">
        <v>7.75</v>
      </c>
      <c r="AB9" s="266">
        <v>36745</v>
      </c>
      <c r="AC9" s="133">
        <v>1.38</v>
      </c>
      <c r="AD9" s="266">
        <v>36745</v>
      </c>
      <c r="AE9" s="131">
        <v>3</v>
      </c>
      <c r="AF9" s="266">
        <v>36745</v>
      </c>
      <c r="AG9" s="131">
        <v>2.5</v>
      </c>
      <c r="AH9" s="145"/>
      <c r="AI9" s="145"/>
      <c r="AJ9" s="147"/>
    </row>
    <row r="10" spans="1:36" x14ac:dyDescent="0.25">
      <c r="A10" s="1">
        <v>36746</v>
      </c>
      <c r="B10" s="127">
        <v>82.438000000000002</v>
      </c>
      <c r="C10" s="266">
        <v>36746</v>
      </c>
      <c r="D10" s="135">
        <v>1.4875</v>
      </c>
      <c r="E10" s="266">
        <v>36746</v>
      </c>
      <c r="F10" s="129">
        <v>125.672</v>
      </c>
      <c r="G10" s="266">
        <v>36746</v>
      </c>
      <c r="H10" s="130">
        <v>52.75</v>
      </c>
      <c r="I10" s="266">
        <v>36746</v>
      </c>
      <c r="J10" s="130">
        <v>1.680672268907563</v>
      </c>
      <c r="K10" s="266">
        <v>36746</v>
      </c>
      <c r="L10" s="130">
        <v>0.99495798319327722</v>
      </c>
      <c r="M10" s="266">
        <v>36746</v>
      </c>
      <c r="N10" s="130">
        <v>7.8E-2</v>
      </c>
      <c r="O10" s="266">
        <v>36746</v>
      </c>
      <c r="P10" s="130">
        <v>5.058480426</v>
      </c>
      <c r="Q10" s="266">
        <v>36746</v>
      </c>
      <c r="R10" s="130">
        <v>1.1132443359999999</v>
      </c>
      <c r="S10" s="266">
        <v>36746</v>
      </c>
      <c r="T10" s="130">
        <v>1.1132443359999999</v>
      </c>
      <c r="U10" s="266">
        <v>36746</v>
      </c>
      <c r="V10" s="130">
        <v>2.0840336134453783</v>
      </c>
      <c r="W10" s="266">
        <v>36746</v>
      </c>
      <c r="X10" s="130">
        <v>5.75</v>
      </c>
      <c r="Y10" s="266">
        <v>36746</v>
      </c>
      <c r="Z10" s="130">
        <v>7.6879999999999997</v>
      </c>
      <c r="AB10" s="266">
        <v>36746</v>
      </c>
      <c r="AC10" s="133">
        <v>1.48</v>
      </c>
      <c r="AD10" s="266">
        <v>36746</v>
      </c>
      <c r="AE10" s="131">
        <v>3.1</v>
      </c>
      <c r="AF10" s="266">
        <v>36746</v>
      </c>
      <c r="AG10" s="131">
        <v>2.5</v>
      </c>
      <c r="AH10" s="145"/>
      <c r="AI10" s="145"/>
      <c r="AJ10" s="147"/>
    </row>
    <row r="11" spans="1:36" x14ac:dyDescent="0.25">
      <c r="A11" s="1">
        <v>36747</v>
      </c>
      <c r="B11" s="127">
        <v>82.296999999999997</v>
      </c>
      <c r="C11" s="266">
        <v>36747</v>
      </c>
      <c r="D11" s="135">
        <v>1.4827999999999999</v>
      </c>
      <c r="E11" s="266">
        <v>36747</v>
      </c>
      <c r="F11" s="129">
        <v>138.375</v>
      </c>
      <c r="G11" s="266">
        <v>36747</v>
      </c>
      <c r="H11" s="130">
        <v>52</v>
      </c>
      <c r="I11" s="266">
        <v>36747</v>
      </c>
      <c r="J11" s="130">
        <v>1.6185594820609659</v>
      </c>
      <c r="K11" s="266">
        <v>36747</v>
      </c>
      <c r="L11" s="130">
        <v>0.94415969786889664</v>
      </c>
      <c r="M11" s="266">
        <v>36747</v>
      </c>
      <c r="N11" s="130">
        <v>6.3E-2</v>
      </c>
      <c r="O11" s="266">
        <v>36747</v>
      </c>
      <c r="P11" s="130">
        <v>4.9983845010000003</v>
      </c>
      <c r="Q11" s="266">
        <v>36747</v>
      </c>
      <c r="R11" s="130">
        <v>1.256169847</v>
      </c>
      <c r="S11" s="266">
        <v>36747</v>
      </c>
      <c r="T11" s="130">
        <v>1.256169847</v>
      </c>
      <c r="U11" s="266">
        <v>36747</v>
      </c>
      <c r="V11" s="130">
        <v>2.0906393309954141</v>
      </c>
      <c r="W11" s="266">
        <v>36747</v>
      </c>
      <c r="X11" s="130">
        <v>6.0625</v>
      </c>
      <c r="Y11" s="266">
        <v>36747</v>
      </c>
      <c r="Z11" s="130">
        <v>7.75</v>
      </c>
      <c r="AB11" s="266">
        <v>36747</v>
      </c>
      <c r="AC11" s="133">
        <v>1.4</v>
      </c>
      <c r="AD11" s="266">
        <v>36747</v>
      </c>
      <c r="AE11" s="131">
        <v>3.1</v>
      </c>
      <c r="AF11" s="266">
        <v>36747</v>
      </c>
      <c r="AG11" s="131">
        <v>2.4</v>
      </c>
      <c r="AH11" s="145"/>
      <c r="AI11" s="145"/>
      <c r="AJ11" s="147"/>
    </row>
    <row r="12" spans="1:36" x14ac:dyDescent="0.25">
      <c r="A12" s="1">
        <v>36748</v>
      </c>
      <c r="B12" s="127">
        <v>80.766000000000005</v>
      </c>
      <c r="C12" s="266">
        <v>36748</v>
      </c>
      <c r="D12" s="135">
        <v>1.4824999999999999</v>
      </c>
      <c r="E12" s="266">
        <v>36748</v>
      </c>
      <c r="F12" s="129">
        <v>132.875</v>
      </c>
      <c r="G12" s="266">
        <v>36748</v>
      </c>
      <c r="H12" s="130">
        <v>42.625</v>
      </c>
      <c r="I12" s="266">
        <v>36748</v>
      </c>
      <c r="J12" s="130">
        <v>1.6863406408094437</v>
      </c>
      <c r="K12" s="266">
        <v>36748</v>
      </c>
      <c r="L12" s="130">
        <v>0.94435075885328834</v>
      </c>
      <c r="M12" s="266">
        <v>36748</v>
      </c>
      <c r="N12" s="130">
        <v>7.8E-2</v>
      </c>
      <c r="O12" s="266">
        <v>36748</v>
      </c>
      <c r="P12" s="130">
        <v>5.0553505640000003</v>
      </c>
      <c r="Q12" s="266">
        <v>36748</v>
      </c>
      <c r="R12" s="130">
        <v>1.2723610510000001</v>
      </c>
      <c r="S12" s="266">
        <v>36748</v>
      </c>
      <c r="T12" s="130">
        <v>1.2723610510000001</v>
      </c>
      <c r="U12" s="266">
        <v>36748</v>
      </c>
      <c r="V12" s="130">
        <v>2.0236087689713322</v>
      </c>
      <c r="W12" s="266">
        <v>36748</v>
      </c>
      <c r="X12" s="130">
        <v>5.75</v>
      </c>
      <c r="Y12" s="266">
        <v>36748</v>
      </c>
      <c r="Z12" s="130">
        <v>7.75</v>
      </c>
      <c r="AB12" s="266">
        <v>36748</v>
      </c>
      <c r="AC12" s="133">
        <v>1.4</v>
      </c>
      <c r="AD12" s="266">
        <v>36748</v>
      </c>
      <c r="AE12" s="131">
        <v>3</v>
      </c>
      <c r="AF12" s="266">
        <v>36748</v>
      </c>
      <c r="AG12" s="131">
        <v>2.5</v>
      </c>
      <c r="AH12" s="145"/>
      <c r="AI12" s="145"/>
      <c r="AJ12" s="147"/>
    </row>
    <row r="13" spans="1:36" x14ac:dyDescent="0.25">
      <c r="A13" s="1">
        <v>36749</v>
      </c>
      <c r="B13" s="127">
        <v>80.25</v>
      </c>
      <c r="C13" s="266">
        <v>36749</v>
      </c>
      <c r="D13" s="135">
        <v>1.4830000000000001</v>
      </c>
      <c r="E13" s="266">
        <v>36749</v>
      </c>
      <c r="F13" s="129">
        <v>130.5</v>
      </c>
      <c r="G13" s="266">
        <v>36749</v>
      </c>
      <c r="H13" s="130">
        <v>44.813000000000002</v>
      </c>
      <c r="I13" s="266">
        <v>36749</v>
      </c>
      <c r="J13" s="130">
        <v>1.6250842886041807</v>
      </c>
      <c r="K13" s="266">
        <v>36749</v>
      </c>
      <c r="L13" s="130">
        <v>0.99123398516520556</v>
      </c>
      <c r="M13" s="266">
        <v>36749</v>
      </c>
      <c r="N13" s="130">
        <v>6.3E-2</v>
      </c>
      <c r="O13" s="266">
        <v>36749</v>
      </c>
      <c r="P13" s="130">
        <v>4.8279226250000002</v>
      </c>
      <c r="Q13" s="266">
        <v>36749</v>
      </c>
      <c r="R13" s="130">
        <v>1.3152734960000001</v>
      </c>
      <c r="S13" s="266">
        <v>36749</v>
      </c>
      <c r="T13" s="130">
        <v>1.3152734960000001</v>
      </c>
      <c r="U13" s="266">
        <v>36749</v>
      </c>
      <c r="V13" s="130">
        <v>2.0161834120026971</v>
      </c>
      <c r="W13" s="266">
        <v>36749</v>
      </c>
      <c r="X13" s="130">
        <v>6</v>
      </c>
      <c r="Y13" s="266">
        <v>36749</v>
      </c>
      <c r="Z13" s="130">
        <v>7.875</v>
      </c>
      <c r="AB13" s="266">
        <v>36749</v>
      </c>
      <c r="AC13" s="133">
        <v>1.47</v>
      </c>
      <c r="AD13" s="266">
        <v>36749</v>
      </c>
      <c r="AE13" s="131">
        <v>2.99</v>
      </c>
      <c r="AF13" s="266">
        <v>36749</v>
      </c>
      <c r="AG13" s="131">
        <v>2.41</v>
      </c>
      <c r="AH13" s="145"/>
      <c r="AI13" s="145"/>
      <c r="AJ13" s="147"/>
    </row>
    <row r="14" spans="1:36" x14ac:dyDescent="0.25">
      <c r="A14" s="1">
        <v>36752</v>
      </c>
      <c r="B14" s="127">
        <v>84.25</v>
      </c>
      <c r="C14" s="266">
        <v>36752</v>
      </c>
      <c r="D14" s="135">
        <v>1.4854000000000001</v>
      </c>
      <c r="E14" s="266">
        <v>36752</v>
      </c>
      <c r="F14" s="129">
        <v>128.25</v>
      </c>
      <c r="G14" s="266">
        <v>36752</v>
      </c>
      <c r="H14" s="130">
        <v>47.75</v>
      </c>
      <c r="I14" s="266">
        <v>36752</v>
      </c>
      <c r="J14" s="130">
        <v>1.5820654369193483</v>
      </c>
      <c r="K14" s="266">
        <v>36752</v>
      </c>
      <c r="L14" s="130">
        <v>0.99636461559175971</v>
      </c>
      <c r="M14" s="266">
        <v>36752</v>
      </c>
      <c r="N14" s="130">
        <v>6.3E-2</v>
      </c>
      <c r="O14" s="266">
        <v>36752</v>
      </c>
      <c r="P14" s="130">
        <v>5.2071843949999996</v>
      </c>
      <c r="Q14" s="266">
        <v>36752</v>
      </c>
      <c r="R14" s="130">
        <v>1.4879492990000001</v>
      </c>
      <c r="S14" s="266">
        <v>36752</v>
      </c>
      <c r="T14" s="130">
        <v>1.4879492990000001</v>
      </c>
      <c r="U14" s="266">
        <v>36752</v>
      </c>
      <c r="V14" s="130">
        <v>2.0196580045778916</v>
      </c>
      <c r="W14" s="266">
        <v>36752</v>
      </c>
      <c r="X14" s="130">
        <v>6</v>
      </c>
      <c r="Y14" s="266">
        <v>36752</v>
      </c>
      <c r="Z14" s="130">
        <v>8.1880000000000006</v>
      </c>
      <c r="AB14" s="266">
        <v>36752</v>
      </c>
      <c r="AC14" s="133">
        <v>1.48</v>
      </c>
      <c r="AD14" s="266">
        <v>36752</v>
      </c>
      <c r="AE14" s="131">
        <v>3</v>
      </c>
      <c r="AF14" s="266">
        <v>36752</v>
      </c>
      <c r="AG14" s="131">
        <v>2.35</v>
      </c>
      <c r="AH14" s="145"/>
      <c r="AI14" s="145"/>
      <c r="AJ14" s="147"/>
    </row>
    <row r="15" spans="1:36" x14ac:dyDescent="0.25">
      <c r="A15" s="1">
        <v>36753</v>
      </c>
      <c r="B15" s="127">
        <v>82.125</v>
      </c>
      <c r="C15" s="266">
        <v>36753</v>
      </c>
      <c r="D15" s="135">
        <v>1.4835</v>
      </c>
      <c r="E15" s="266">
        <v>36753</v>
      </c>
      <c r="F15" s="129">
        <v>128.46899999999999</v>
      </c>
      <c r="G15" s="266">
        <v>36753</v>
      </c>
      <c r="H15" s="130">
        <v>45.75</v>
      </c>
      <c r="I15" s="266">
        <v>36753</v>
      </c>
      <c r="J15" s="130">
        <v>1.6177957532861476</v>
      </c>
      <c r="K15" s="266">
        <v>36753</v>
      </c>
      <c r="L15" s="130">
        <v>1.0785305021907652</v>
      </c>
      <c r="M15" s="266">
        <v>36753</v>
      </c>
      <c r="N15" s="130">
        <v>6.3E-2</v>
      </c>
      <c r="O15" s="266">
        <v>36753</v>
      </c>
      <c r="P15" s="130">
        <v>5.8325034799999997</v>
      </c>
      <c r="Q15" s="266">
        <v>36753</v>
      </c>
      <c r="R15" s="130">
        <v>1.7454882570000001</v>
      </c>
      <c r="S15" s="266">
        <v>36753</v>
      </c>
      <c r="T15" s="130">
        <v>1.7454882570000001</v>
      </c>
      <c r="U15" s="266">
        <v>36753</v>
      </c>
      <c r="V15" s="130">
        <v>2.0963936636332994</v>
      </c>
      <c r="W15" s="266">
        <v>36753</v>
      </c>
      <c r="X15" s="130">
        <v>6.0625</v>
      </c>
      <c r="Y15" s="266">
        <v>36753</v>
      </c>
      <c r="Z15" s="130">
        <v>7.9379999999999997</v>
      </c>
      <c r="AB15" s="266">
        <v>36753</v>
      </c>
      <c r="AC15" s="133">
        <v>1.6</v>
      </c>
      <c r="AD15" s="266">
        <v>36753</v>
      </c>
      <c r="AE15" s="131">
        <v>3.11</v>
      </c>
      <c r="AF15" s="266">
        <v>36753</v>
      </c>
      <c r="AG15" s="131">
        <v>2.4</v>
      </c>
      <c r="AH15" s="145"/>
      <c r="AI15" s="145"/>
      <c r="AJ15" s="147"/>
    </row>
    <row r="16" spans="1:36" x14ac:dyDescent="0.25">
      <c r="A16" s="1">
        <v>36754</v>
      </c>
      <c r="B16" s="130">
        <v>84.016000000000005</v>
      </c>
      <c r="C16" s="266">
        <v>36754</v>
      </c>
      <c r="D16" s="135">
        <v>1.4779</v>
      </c>
      <c r="E16" s="266">
        <v>36754</v>
      </c>
      <c r="F16" s="130">
        <v>137.75</v>
      </c>
      <c r="G16" s="266">
        <v>36754</v>
      </c>
      <c r="H16" s="130">
        <v>46.813000000000002</v>
      </c>
      <c r="I16" s="266">
        <v>36754</v>
      </c>
      <c r="J16" s="130">
        <v>1.6374585560592732</v>
      </c>
      <c r="K16" s="266">
        <v>36754</v>
      </c>
      <c r="L16" s="130">
        <v>1.0149536504499628</v>
      </c>
      <c r="M16" s="266">
        <v>36754</v>
      </c>
      <c r="N16" s="130">
        <v>6.3E-2</v>
      </c>
      <c r="O16" s="266">
        <v>36754</v>
      </c>
      <c r="P16" s="130">
        <v>5.4186674110000004</v>
      </c>
      <c r="Q16" s="266">
        <v>36754</v>
      </c>
      <c r="R16" s="130">
        <v>1.7456441</v>
      </c>
      <c r="S16" s="266">
        <v>36754</v>
      </c>
      <c r="T16" s="130">
        <v>1.7456441</v>
      </c>
      <c r="U16" s="266">
        <v>36754</v>
      </c>
      <c r="V16" s="130">
        <v>2.165234454293254</v>
      </c>
      <c r="W16" s="266">
        <v>36754</v>
      </c>
      <c r="X16" s="130">
        <v>5.8125</v>
      </c>
      <c r="Y16" s="266">
        <v>36754</v>
      </c>
      <c r="Z16" s="130">
        <v>7.75</v>
      </c>
      <c r="AB16" s="266">
        <v>36754</v>
      </c>
      <c r="AC16" s="133">
        <v>1.5</v>
      </c>
      <c r="AD16" s="266">
        <v>36754</v>
      </c>
      <c r="AE16" s="131">
        <v>3.2</v>
      </c>
      <c r="AF16" s="266">
        <v>36754</v>
      </c>
      <c r="AG16" s="131">
        <v>2.42</v>
      </c>
      <c r="AH16" s="145"/>
      <c r="AI16" s="145"/>
      <c r="AJ16" s="147"/>
    </row>
    <row r="17" spans="1:36" x14ac:dyDescent="0.25">
      <c r="A17" s="1">
        <v>36755</v>
      </c>
      <c r="B17" s="130">
        <v>90</v>
      </c>
      <c r="C17" s="266">
        <v>36755</v>
      </c>
      <c r="D17" s="135">
        <v>1.4744999999999999</v>
      </c>
      <c r="E17" s="266">
        <v>36755</v>
      </c>
      <c r="F17" s="130">
        <v>153.93799999999999</v>
      </c>
      <c r="G17" s="266">
        <v>36755</v>
      </c>
      <c r="H17" s="130">
        <v>50.719000000000001</v>
      </c>
      <c r="I17" s="266">
        <v>36755</v>
      </c>
      <c r="J17" s="130">
        <v>1.8379111563241777</v>
      </c>
      <c r="K17" s="266">
        <v>36755</v>
      </c>
      <c r="L17" s="130">
        <v>1.0783316378433367</v>
      </c>
      <c r="M17" s="266">
        <v>36755</v>
      </c>
      <c r="N17" s="130">
        <v>7.8E-2</v>
      </c>
      <c r="O17" s="266">
        <v>36755</v>
      </c>
      <c r="P17" s="130">
        <v>5.714406672</v>
      </c>
      <c r="Q17" s="266">
        <v>36755</v>
      </c>
      <c r="R17" s="130">
        <v>1.743570252</v>
      </c>
      <c r="S17" s="266">
        <v>36755</v>
      </c>
      <c r="T17" s="130">
        <v>1.743570252</v>
      </c>
      <c r="U17" s="266">
        <v>36755</v>
      </c>
      <c r="V17" s="130">
        <v>2.1770091556459819</v>
      </c>
      <c r="W17" s="266">
        <v>36755</v>
      </c>
      <c r="X17" s="130">
        <v>5.75</v>
      </c>
      <c r="Y17" s="266">
        <v>36755</v>
      </c>
      <c r="Z17" s="130">
        <v>7.75</v>
      </c>
      <c r="AB17" s="266">
        <v>36755</v>
      </c>
      <c r="AC17" s="133">
        <v>1.59</v>
      </c>
      <c r="AD17" s="266">
        <v>36755</v>
      </c>
      <c r="AE17" s="131">
        <v>3.21</v>
      </c>
      <c r="AF17" s="266">
        <v>36755</v>
      </c>
      <c r="AG17" s="131">
        <v>2.71</v>
      </c>
      <c r="AH17" s="145"/>
      <c r="AI17" s="145"/>
      <c r="AJ17" s="147"/>
    </row>
    <row r="18" spans="1:36" x14ac:dyDescent="0.25">
      <c r="A18" s="1">
        <v>36756</v>
      </c>
      <c r="B18" s="130">
        <v>86.938000000000002</v>
      </c>
      <c r="C18" s="266">
        <v>36756</v>
      </c>
      <c r="D18" s="135">
        <v>1.476</v>
      </c>
      <c r="E18" s="266">
        <v>36756</v>
      </c>
      <c r="F18" s="130">
        <v>152</v>
      </c>
      <c r="G18" s="266">
        <v>36756</v>
      </c>
      <c r="H18" s="130">
        <v>49.125</v>
      </c>
      <c r="I18" s="266">
        <v>36756</v>
      </c>
      <c r="J18" s="130">
        <v>1.8428184281842821</v>
      </c>
      <c r="K18" s="266">
        <v>36756</v>
      </c>
      <c r="L18" s="130">
        <v>1.0501355013550135</v>
      </c>
      <c r="M18" s="266">
        <v>36756</v>
      </c>
      <c r="N18" s="130">
        <v>7.9000000000000001E-2</v>
      </c>
      <c r="O18" s="266">
        <v>36756</v>
      </c>
      <c r="P18" s="130">
        <v>5.2978747479999999</v>
      </c>
      <c r="Q18" s="266">
        <v>36756</v>
      </c>
      <c r="R18" s="130">
        <v>1.7220509530000001</v>
      </c>
      <c r="S18" s="266">
        <v>36756</v>
      </c>
      <c r="T18" s="130">
        <v>1.7220509530000001</v>
      </c>
      <c r="U18" s="266">
        <v>36756</v>
      </c>
      <c r="V18" s="130">
        <v>2.1680216802168024</v>
      </c>
      <c r="W18" s="266">
        <v>36756</v>
      </c>
      <c r="X18" s="130">
        <v>5.75</v>
      </c>
      <c r="Y18" s="266">
        <v>36756</v>
      </c>
      <c r="Z18" s="130">
        <v>7.75</v>
      </c>
      <c r="AB18" s="266">
        <v>36756</v>
      </c>
      <c r="AC18" s="133">
        <v>1.55</v>
      </c>
      <c r="AD18" s="266">
        <v>36756</v>
      </c>
      <c r="AE18" s="131">
        <v>3.2</v>
      </c>
      <c r="AF18" s="266">
        <v>36756</v>
      </c>
      <c r="AG18" s="131">
        <v>2.72</v>
      </c>
      <c r="AH18" s="145"/>
      <c r="AI18" s="145"/>
      <c r="AJ18" s="147"/>
    </row>
    <row r="19" spans="1:36" x14ac:dyDescent="0.25">
      <c r="A19" s="1">
        <v>36759</v>
      </c>
      <c r="B19" s="130">
        <v>87.875</v>
      </c>
      <c r="C19" s="266">
        <v>36759</v>
      </c>
      <c r="D19" s="135">
        <v>1.4750000000000001</v>
      </c>
      <c r="E19" s="266">
        <v>36759</v>
      </c>
      <c r="F19" s="130">
        <v>142</v>
      </c>
      <c r="G19" s="266">
        <v>36759</v>
      </c>
      <c r="H19" s="130">
        <v>48.25</v>
      </c>
      <c r="I19" s="266">
        <v>36759</v>
      </c>
      <c r="J19" s="130">
        <v>1.8101694915254236</v>
      </c>
      <c r="K19" s="266">
        <v>36759</v>
      </c>
      <c r="L19" s="130">
        <v>1.0237288135593219</v>
      </c>
      <c r="M19" s="266">
        <v>36759</v>
      </c>
      <c r="N19" s="130">
        <v>7.9000000000000001E-2</v>
      </c>
      <c r="O19" s="266">
        <v>36759</v>
      </c>
      <c r="P19" s="130">
        <v>6.0969663010000001</v>
      </c>
      <c r="Q19" s="266">
        <v>36759</v>
      </c>
      <c r="R19" s="130">
        <v>1.8724089479999999</v>
      </c>
      <c r="S19" s="266">
        <v>36759</v>
      </c>
      <c r="T19" s="130">
        <v>1.8724089479999999</v>
      </c>
      <c r="U19" s="266">
        <v>36759</v>
      </c>
      <c r="V19" s="130">
        <v>2.2033898305084745</v>
      </c>
      <c r="W19" s="266">
        <v>36759</v>
      </c>
      <c r="X19" s="130">
        <v>5.5625</v>
      </c>
      <c r="Y19" s="266">
        <v>36759</v>
      </c>
      <c r="Z19" s="130">
        <v>8.1875</v>
      </c>
      <c r="AB19" s="266">
        <v>36759</v>
      </c>
      <c r="AC19" s="133">
        <v>1.51</v>
      </c>
      <c r="AD19" s="266">
        <v>36759</v>
      </c>
      <c r="AE19" s="131">
        <v>3.25</v>
      </c>
      <c r="AF19" s="266">
        <v>36759</v>
      </c>
      <c r="AG19" s="131">
        <v>2.67</v>
      </c>
      <c r="AH19" s="145"/>
      <c r="AI19" s="145"/>
      <c r="AJ19" s="147"/>
    </row>
    <row r="20" spans="1:36" x14ac:dyDescent="0.25">
      <c r="A20" s="1">
        <v>36760</v>
      </c>
      <c r="B20" s="130">
        <v>87.5</v>
      </c>
      <c r="C20" s="266">
        <v>36760</v>
      </c>
      <c r="D20" s="135">
        <v>1.4764999999999999</v>
      </c>
      <c r="E20" s="266">
        <v>36760</v>
      </c>
      <c r="F20" s="130">
        <v>131.25</v>
      </c>
      <c r="G20" s="266">
        <v>36760</v>
      </c>
      <c r="H20" s="130">
        <v>45.125</v>
      </c>
      <c r="I20" s="266">
        <v>36760</v>
      </c>
      <c r="J20" s="130">
        <v>1.8286488316965799</v>
      </c>
      <c r="K20" s="266">
        <v>36760</v>
      </c>
      <c r="L20" s="130">
        <v>1.015916017609211</v>
      </c>
      <c r="M20" s="266">
        <v>36760</v>
      </c>
      <c r="N20" s="130">
        <v>6.3E-2</v>
      </c>
      <c r="O20" s="266">
        <v>36760</v>
      </c>
      <c r="P20" s="130">
        <v>7.9353524090000001</v>
      </c>
      <c r="Q20" s="266">
        <v>36760</v>
      </c>
      <c r="R20" s="130">
        <v>1.7781008840000001</v>
      </c>
      <c r="S20" s="266">
        <v>36760</v>
      </c>
      <c r="T20" s="130">
        <v>1.7781008840000001</v>
      </c>
      <c r="U20" s="266">
        <v>36760</v>
      </c>
      <c r="V20" s="130">
        <v>2.1672875042329838</v>
      </c>
      <c r="W20" s="266">
        <v>36760</v>
      </c>
      <c r="X20" s="130">
        <v>5.5625</v>
      </c>
      <c r="Y20" s="266">
        <v>36760</v>
      </c>
      <c r="Z20" s="130">
        <v>8.375</v>
      </c>
      <c r="AB20" s="266">
        <v>36760</v>
      </c>
      <c r="AC20" s="133">
        <v>1.5</v>
      </c>
      <c r="AD20" s="266">
        <v>36760</v>
      </c>
      <c r="AE20" s="131">
        <v>3.2</v>
      </c>
      <c r="AF20" s="266">
        <v>36760</v>
      </c>
      <c r="AG20" s="131">
        <v>2.7</v>
      </c>
    </row>
    <row r="21" spans="1:36" x14ac:dyDescent="0.25">
      <c r="A21" s="1">
        <v>36761</v>
      </c>
      <c r="B21" s="130">
        <v>90</v>
      </c>
      <c r="C21" s="266">
        <v>36761</v>
      </c>
      <c r="D21" s="135">
        <v>1.4844999999999999</v>
      </c>
      <c r="E21" s="266">
        <v>36761</v>
      </c>
      <c r="F21" s="130">
        <v>137.875</v>
      </c>
      <c r="G21" s="266">
        <v>36761</v>
      </c>
      <c r="H21" s="130">
        <v>49.609000000000002</v>
      </c>
      <c r="I21" s="266">
        <v>36761</v>
      </c>
      <c r="J21" s="130">
        <v>1.852475581003705</v>
      </c>
      <c r="K21" s="266">
        <v>36761</v>
      </c>
      <c r="L21" s="130">
        <v>0.99023240148198044</v>
      </c>
      <c r="M21" s="266">
        <v>36761</v>
      </c>
      <c r="N21" s="130">
        <v>6.3E-2</v>
      </c>
      <c r="O21" s="266">
        <v>36761</v>
      </c>
      <c r="P21" s="130">
        <v>7.564614422</v>
      </c>
      <c r="Q21" s="266">
        <v>36761</v>
      </c>
      <c r="R21" s="130">
        <v>1.8840527970000001</v>
      </c>
      <c r="S21" s="266">
        <v>36761</v>
      </c>
      <c r="T21" s="130">
        <v>1.8840527970000001</v>
      </c>
      <c r="U21" s="266">
        <v>36761</v>
      </c>
      <c r="V21" s="130">
        <v>2.1556079488043114</v>
      </c>
      <c r="W21" s="266">
        <v>36761</v>
      </c>
      <c r="X21" s="130">
        <v>5.9690000000000003</v>
      </c>
      <c r="Y21" s="266">
        <v>36761</v>
      </c>
      <c r="Z21" s="130">
        <v>8.3130000000000006</v>
      </c>
      <c r="AB21" s="266">
        <v>36761</v>
      </c>
      <c r="AC21" s="133">
        <v>1.47</v>
      </c>
      <c r="AD21" s="266">
        <v>36761</v>
      </c>
      <c r="AE21" s="131">
        <v>3.2</v>
      </c>
      <c r="AF21" s="266">
        <v>36761</v>
      </c>
      <c r="AG21" s="131">
        <v>2.75</v>
      </c>
    </row>
    <row r="22" spans="1:36" x14ac:dyDescent="0.25">
      <c r="A22" s="1">
        <v>36762</v>
      </c>
      <c r="B22" s="130">
        <v>86</v>
      </c>
      <c r="C22" s="266">
        <v>36762</v>
      </c>
      <c r="D22" s="135">
        <v>1.4870000000000001</v>
      </c>
      <c r="E22" s="266">
        <v>36762</v>
      </c>
      <c r="F22" s="130">
        <v>131</v>
      </c>
      <c r="G22" s="266">
        <v>36762</v>
      </c>
      <c r="H22" s="130">
        <v>49.625</v>
      </c>
      <c r="I22" s="266">
        <v>36762</v>
      </c>
      <c r="J22" s="130">
        <v>1.7888365837256219</v>
      </c>
      <c r="K22" s="266">
        <v>36762</v>
      </c>
      <c r="L22" s="130">
        <v>1.0087424344317417</v>
      </c>
      <c r="M22" s="266">
        <v>36762</v>
      </c>
      <c r="N22" s="130">
        <v>7.0000000000000007E-2</v>
      </c>
      <c r="O22" s="266">
        <v>36762</v>
      </c>
      <c r="P22" s="130">
        <v>7.3167034531508568</v>
      </c>
      <c r="Q22" s="266">
        <v>36762</v>
      </c>
      <c r="R22" s="130">
        <v>1.9692292968718779</v>
      </c>
      <c r="S22" s="266">
        <v>36762</v>
      </c>
      <c r="T22" s="130">
        <v>1.9692292968718779</v>
      </c>
      <c r="U22" s="266">
        <v>36762</v>
      </c>
      <c r="V22" s="130">
        <v>2.1385339609952925</v>
      </c>
      <c r="W22" s="266">
        <v>36762</v>
      </c>
      <c r="X22" s="130">
        <v>5.96875</v>
      </c>
      <c r="Y22" s="266">
        <v>36762</v>
      </c>
      <c r="Z22" s="130">
        <v>8.3125</v>
      </c>
      <c r="AC22" s="133"/>
      <c r="AE22" s="131"/>
      <c r="AF22" s="266">
        <v>36762</v>
      </c>
      <c r="AG22" s="131">
        <v>2.66</v>
      </c>
    </row>
    <row r="23" spans="1:36" x14ac:dyDescent="0.25">
      <c r="A23" s="1">
        <v>36763</v>
      </c>
      <c r="B23" s="130">
        <v>84.875</v>
      </c>
      <c r="C23" s="266">
        <v>36763</v>
      </c>
      <c r="D23" s="135">
        <v>1.4850000000000001</v>
      </c>
      <c r="E23" s="266">
        <v>36763</v>
      </c>
      <c r="F23" s="130">
        <v>133</v>
      </c>
      <c r="G23" s="266">
        <v>36763</v>
      </c>
      <c r="H23" s="130">
        <v>47.75</v>
      </c>
      <c r="I23" s="266">
        <v>36763</v>
      </c>
      <c r="J23" s="130">
        <v>1.7845117845117844</v>
      </c>
      <c r="K23" s="266">
        <v>36763</v>
      </c>
      <c r="L23" s="130">
        <v>0.98989898989898983</v>
      </c>
      <c r="M23" s="266">
        <v>36763</v>
      </c>
      <c r="N23" s="130">
        <v>0.08</v>
      </c>
      <c r="O23" s="266">
        <v>36763</v>
      </c>
      <c r="P23" s="130">
        <v>7.1953257961566939</v>
      </c>
      <c r="Q23" s="266">
        <v>36763</v>
      </c>
      <c r="R23" s="130">
        <v>2.1106960388386247</v>
      </c>
      <c r="S23" s="266">
        <v>36763</v>
      </c>
      <c r="T23" s="130">
        <v>2.1106960388386247</v>
      </c>
      <c r="U23" s="266">
        <v>36763</v>
      </c>
      <c r="V23" s="130">
        <v>2.1414141414141414</v>
      </c>
      <c r="W23" s="266">
        <v>36763</v>
      </c>
      <c r="X23" s="130">
        <v>5.875</v>
      </c>
      <c r="Y23" s="266">
        <v>36763</v>
      </c>
      <c r="Z23" s="130">
        <v>8.25</v>
      </c>
      <c r="AC23" s="135"/>
      <c r="AF23" s="266">
        <v>36763</v>
      </c>
      <c r="AG23" s="131">
        <v>2.65</v>
      </c>
    </row>
    <row r="24" spans="1:36" x14ac:dyDescent="0.25">
      <c r="A24" s="1">
        <v>36766</v>
      </c>
      <c r="B24" s="130">
        <v>86.625</v>
      </c>
      <c r="C24" s="266">
        <v>36766</v>
      </c>
      <c r="D24" s="135">
        <v>1.482</v>
      </c>
      <c r="E24" s="266">
        <v>36766</v>
      </c>
      <c r="F24" s="130">
        <v>133</v>
      </c>
      <c r="G24" s="266">
        <v>36766</v>
      </c>
      <c r="H24" s="130">
        <v>52.75</v>
      </c>
      <c r="I24" s="266">
        <v>36766</v>
      </c>
      <c r="J24" s="130">
        <v>1.6936572199730093</v>
      </c>
      <c r="K24" s="266">
        <v>36766</v>
      </c>
      <c r="L24" s="130">
        <v>0.9919028340080972</v>
      </c>
      <c r="M24" s="266">
        <v>36766</v>
      </c>
      <c r="N24" s="130">
        <v>7.0000000000000007E-2</v>
      </c>
      <c r="O24" s="266">
        <v>36766</v>
      </c>
      <c r="P24" s="130">
        <v>8.047342388567607</v>
      </c>
      <c r="Q24" s="266">
        <v>36766</v>
      </c>
      <c r="R24" s="130">
        <v>2.4858920891218497</v>
      </c>
      <c r="S24" s="266">
        <v>36766</v>
      </c>
      <c r="T24" s="130">
        <v>2.4858920891218497</v>
      </c>
      <c r="U24" s="266">
        <v>36766</v>
      </c>
      <c r="V24" s="130">
        <v>2.0242914979757085</v>
      </c>
      <c r="W24" s="266">
        <v>36766</v>
      </c>
      <c r="X24" s="130">
        <v>6.25</v>
      </c>
      <c r="Y24" s="266">
        <v>36766</v>
      </c>
      <c r="Z24" s="130">
        <v>8.5</v>
      </c>
      <c r="AC24" s="135"/>
      <c r="AF24" s="266">
        <v>36766</v>
      </c>
      <c r="AG24" s="131">
        <v>2.5099999999999998</v>
      </c>
    </row>
    <row r="25" spans="1:36" x14ac:dyDescent="0.25">
      <c r="A25" s="1">
        <v>36767</v>
      </c>
      <c r="B25" s="130">
        <v>86.25</v>
      </c>
      <c r="C25" s="266">
        <v>36767</v>
      </c>
      <c r="D25" s="135">
        <v>1.4856</v>
      </c>
      <c r="E25" s="266">
        <v>36767</v>
      </c>
      <c r="F25" s="130">
        <v>131</v>
      </c>
      <c r="G25" s="266">
        <v>36767</v>
      </c>
      <c r="H25" s="130">
        <v>61.875</v>
      </c>
      <c r="I25" s="266">
        <v>36767</v>
      </c>
      <c r="J25" s="130">
        <v>1.7703284868066773</v>
      </c>
      <c r="K25" s="266">
        <v>36767</v>
      </c>
      <c r="L25" s="130">
        <v>1.0096930533117932</v>
      </c>
      <c r="M25" s="266">
        <v>36767</v>
      </c>
      <c r="N25" s="130">
        <v>7.0000000000000007E-2</v>
      </c>
      <c r="O25" s="266">
        <v>36767</v>
      </c>
      <c r="P25" s="130">
        <v>8.4774343890087049</v>
      </c>
      <c r="Q25" s="266">
        <v>36767</v>
      </c>
      <c r="R25" s="130">
        <v>2.3334306441688892</v>
      </c>
      <c r="S25" s="266">
        <v>36767</v>
      </c>
      <c r="T25" s="130">
        <v>2.3334306441688892</v>
      </c>
      <c r="U25" s="266">
        <v>36767</v>
      </c>
      <c r="V25" s="130">
        <v>2.0866989768443727</v>
      </c>
      <c r="W25" s="266">
        <v>36767</v>
      </c>
      <c r="X25" s="130">
        <v>6.25</v>
      </c>
      <c r="Y25" s="266">
        <v>36767</v>
      </c>
      <c r="Z25" s="130">
        <v>8.5</v>
      </c>
      <c r="AC25" s="135"/>
      <c r="AF25" s="266">
        <v>36767</v>
      </c>
      <c r="AG25" s="131">
        <v>2.63</v>
      </c>
    </row>
    <row r="26" spans="1:36" x14ac:dyDescent="0.25">
      <c r="A26" s="1">
        <v>36768</v>
      </c>
      <c r="B26" s="130">
        <v>84.875</v>
      </c>
      <c r="C26" s="266">
        <v>36768</v>
      </c>
      <c r="D26" s="135">
        <v>1.4770000000000001</v>
      </c>
      <c r="E26" s="266">
        <v>36768</v>
      </c>
      <c r="F26" s="130">
        <v>134.5</v>
      </c>
      <c r="G26" s="266">
        <v>36768</v>
      </c>
      <c r="H26" s="130">
        <v>59.4375</v>
      </c>
      <c r="I26" s="266">
        <v>36768</v>
      </c>
      <c r="J26" s="130">
        <v>1.6993906567366281</v>
      </c>
      <c r="K26" s="266">
        <v>36768</v>
      </c>
      <c r="L26" s="130">
        <v>1.0494245091401488</v>
      </c>
      <c r="M26" s="266">
        <v>36768</v>
      </c>
      <c r="N26" s="130">
        <v>8.5000000000000006E-2</v>
      </c>
      <c r="O26" s="266">
        <v>36768</v>
      </c>
      <c r="P26" s="130">
        <v>7.9887177404242067</v>
      </c>
      <c r="Q26" s="266">
        <v>36768</v>
      </c>
      <c r="R26" s="130">
        <v>2.5114356133082487</v>
      </c>
      <c r="S26" s="266">
        <v>36768</v>
      </c>
      <c r="T26" s="130">
        <v>2.5114356133082487</v>
      </c>
      <c r="U26" s="266">
        <v>36768</v>
      </c>
      <c r="V26" s="130">
        <v>2.2004062288422475</v>
      </c>
      <c r="W26" s="266">
        <v>36768</v>
      </c>
      <c r="X26" s="130">
        <v>6.125</v>
      </c>
      <c r="Y26" s="266">
        <v>36768</v>
      </c>
      <c r="Z26" s="130">
        <v>8.375</v>
      </c>
      <c r="AC26" s="135"/>
      <c r="AG26" s="130"/>
    </row>
    <row r="27" spans="1:36" x14ac:dyDescent="0.25">
      <c r="A27" s="1">
        <v>36769</v>
      </c>
      <c r="B27" s="130">
        <v>84.875</v>
      </c>
      <c r="C27" s="266">
        <v>36769</v>
      </c>
      <c r="D27" s="135">
        <v>1.4715</v>
      </c>
      <c r="E27" s="266">
        <v>36769</v>
      </c>
      <c r="F27" s="130">
        <v>149.8125</v>
      </c>
      <c r="G27" s="266">
        <v>36769</v>
      </c>
      <c r="H27" s="130">
        <v>70.25</v>
      </c>
      <c r="I27" s="266">
        <v>36769</v>
      </c>
      <c r="J27" s="130">
        <v>1.6649677200135917</v>
      </c>
      <c r="K27" s="266">
        <v>36769</v>
      </c>
      <c r="L27" s="130">
        <v>1.0805300713557595</v>
      </c>
      <c r="M27" s="266">
        <v>36769</v>
      </c>
      <c r="N27" s="130">
        <v>0.08</v>
      </c>
      <c r="O27" s="266">
        <v>36769</v>
      </c>
      <c r="P27" s="130">
        <v>7.7954395910271872</v>
      </c>
      <c r="Q27" s="266">
        <v>36769</v>
      </c>
      <c r="R27" s="130">
        <v>2.6833039952854225</v>
      </c>
      <c r="S27" s="266">
        <v>36769</v>
      </c>
      <c r="T27" s="130">
        <v>2.6833039952854225</v>
      </c>
      <c r="U27" s="266">
        <v>36769</v>
      </c>
      <c r="V27" s="130">
        <v>2.1746517159361196</v>
      </c>
      <c r="W27" s="266">
        <v>36769</v>
      </c>
      <c r="X27" s="130">
        <v>5.9375</v>
      </c>
      <c r="Y27" s="266">
        <v>36769</v>
      </c>
      <c r="Z27" s="130">
        <v>8.3125</v>
      </c>
      <c r="AC27" s="135"/>
      <c r="AG27" s="130"/>
    </row>
    <row r="28" spans="1:36" x14ac:dyDescent="0.25">
      <c r="A28" s="1">
        <v>36770</v>
      </c>
      <c r="B28" s="130">
        <v>85.328000000000003</v>
      </c>
      <c r="C28" s="266">
        <v>36770</v>
      </c>
      <c r="D28" s="135">
        <v>1.4726999999999999</v>
      </c>
      <c r="E28" s="266">
        <v>36770</v>
      </c>
      <c r="F28" s="130">
        <v>144</v>
      </c>
      <c r="G28" s="266">
        <v>36770</v>
      </c>
      <c r="H28" s="130">
        <v>64.9375</v>
      </c>
      <c r="I28" s="266">
        <v>36770</v>
      </c>
      <c r="J28" s="130">
        <v>1.7315135465471583</v>
      </c>
      <c r="K28" s="266">
        <v>36770</v>
      </c>
      <c r="L28" s="130">
        <v>1.038908127928295</v>
      </c>
      <c r="M28" s="266">
        <v>36770</v>
      </c>
      <c r="N28" s="130">
        <v>7.4999999999999997E-2</v>
      </c>
      <c r="O28" s="266">
        <v>36770</v>
      </c>
      <c r="P28" s="130">
        <v>7.7864410316933181</v>
      </c>
      <c r="Q28" s="266">
        <v>36770</v>
      </c>
      <c r="R28" s="130">
        <v>2.6691227539925695</v>
      </c>
      <c r="S28" s="266">
        <v>36770</v>
      </c>
      <c r="T28" s="130">
        <v>2.6691227539925695</v>
      </c>
      <c r="U28" s="266">
        <v>36770</v>
      </c>
      <c r="V28" s="130">
        <v>2.0370747606437156</v>
      </c>
      <c r="W28" s="266">
        <v>36770</v>
      </c>
      <c r="X28" s="130">
        <v>5.875</v>
      </c>
      <c r="Y28" s="266">
        <v>36770</v>
      </c>
      <c r="Z28" s="130">
        <v>8.5625</v>
      </c>
      <c r="AC28" s="135"/>
      <c r="AG28" s="130"/>
    </row>
    <row r="29" spans="1:36" x14ac:dyDescent="0.25">
      <c r="A29" s="1">
        <v>36774</v>
      </c>
      <c r="B29" s="130">
        <v>85</v>
      </c>
      <c r="C29" s="266">
        <v>36774</v>
      </c>
      <c r="D29" s="135">
        <v>1.4650000000000001</v>
      </c>
      <c r="E29" s="266">
        <v>36774</v>
      </c>
      <c r="F29" s="130">
        <v>133</v>
      </c>
      <c r="G29" s="266">
        <v>36774</v>
      </c>
      <c r="H29" s="130">
        <v>66</v>
      </c>
      <c r="I29" s="266">
        <v>36774</v>
      </c>
      <c r="J29" s="130">
        <v>1.7406143344709895</v>
      </c>
      <c r="K29" s="266">
        <v>36774</v>
      </c>
      <c r="L29" s="130">
        <v>1.0443686006825939</v>
      </c>
      <c r="M29" s="266">
        <v>36774</v>
      </c>
      <c r="N29" s="130">
        <v>7.0000000000000007E-2</v>
      </c>
      <c r="O29" s="266">
        <v>36774</v>
      </c>
      <c r="P29" s="130">
        <v>7.0569263334672527</v>
      </c>
      <c r="Q29" s="266">
        <v>36774</v>
      </c>
      <c r="R29" s="130">
        <v>2.0248756687309806</v>
      </c>
      <c r="S29" s="266">
        <v>36774</v>
      </c>
      <c r="T29" s="130">
        <v>2.0248756687309806</v>
      </c>
      <c r="U29" s="266">
        <v>36774</v>
      </c>
      <c r="V29" s="130">
        <v>2.1160409556313993</v>
      </c>
      <c r="W29" s="266">
        <v>36774</v>
      </c>
      <c r="X29" s="130">
        <v>5.875</v>
      </c>
      <c r="Y29" s="266">
        <v>36774</v>
      </c>
      <c r="Z29" s="130">
        <v>8.5625</v>
      </c>
      <c r="AC29" s="135"/>
      <c r="AG29" s="130"/>
    </row>
    <row r="30" spans="1:36" x14ac:dyDescent="0.25">
      <c r="A30" s="1">
        <v>36775</v>
      </c>
      <c r="B30" s="130">
        <v>84.375</v>
      </c>
      <c r="C30" s="266">
        <v>36775</v>
      </c>
      <c r="D30" s="135">
        <v>1.4818</v>
      </c>
      <c r="E30" s="266">
        <v>36775</v>
      </c>
      <c r="F30" s="130">
        <v>130.375</v>
      </c>
      <c r="G30" s="266">
        <v>36775</v>
      </c>
      <c r="H30" s="130">
        <v>67</v>
      </c>
      <c r="I30" s="266">
        <v>36775</v>
      </c>
      <c r="J30" s="130">
        <v>1.8221082467269538</v>
      </c>
      <c r="K30" s="266">
        <v>36775</v>
      </c>
      <c r="L30" s="130">
        <v>1.0460251046025104</v>
      </c>
      <c r="M30" s="266">
        <v>36775</v>
      </c>
      <c r="N30" s="130">
        <v>6.9000000000000006E-2</v>
      </c>
      <c r="O30" s="266">
        <v>36775</v>
      </c>
      <c r="P30" s="130">
        <v>7.3609937565012604</v>
      </c>
      <c r="Q30" s="266">
        <v>36775</v>
      </c>
      <c r="R30" s="130">
        <v>2.2939211643713957</v>
      </c>
      <c r="S30" s="266">
        <v>36775</v>
      </c>
      <c r="T30" s="130">
        <v>2.2939211643713957</v>
      </c>
      <c r="U30" s="266">
        <v>36775</v>
      </c>
      <c r="V30" s="130">
        <v>2.2945066810635715</v>
      </c>
      <c r="W30" s="266">
        <v>36775</v>
      </c>
      <c r="X30" s="130">
        <v>6.125</v>
      </c>
      <c r="Y30" s="266">
        <v>36775</v>
      </c>
      <c r="Z30" s="130">
        <v>8.375</v>
      </c>
      <c r="AC30" s="135"/>
      <c r="AG30" s="130"/>
    </row>
    <row r="31" spans="1:36" x14ac:dyDescent="0.25">
      <c r="A31" s="1">
        <v>36776</v>
      </c>
      <c r="B31" s="130">
        <v>83.875</v>
      </c>
      <c r="C31" s="266">
        <v>36776</v>
      </c>
      <c r="D31" s="135">
        <v>1.478</v>
      </c>
      <c r="E31" s="266">
        <v>36776</v>
      </c>
      <c r="F31" s="130">
        <v>136</v>
      </c>
      <c r="G31" s="266">
        <v>36776</v>
      </c>
      <c r="H31" s="130">
        <v>68</v>
      </c>
      <c r="I31" s="266">
        <v>36776</v>
      </c>
      <c r="J31" s="130">
        <v>1.6238159675236805</v>
      </c>
      <c r="K31" s="266">
        <v>36776</v>
      </c>
      <c r="L31" s="130">
        <v>1.0690121786197564</v>
      </c>
      <c r="M31" s="266">
        <v>36776</v>
      </c>
      <c r="N31" s="130">
        <v>6.9000000000000006E-2</v>
      </c>
      <c r="O31" s="266">
        <v>36776</v>
      </c>
      <c r="P31" s="130">
        <v>8.7640182128786499</v>
      </c>
      <c r="Q31" s="266">
        <v>36776</v>
      </c>
      <c r="R31" s="130">
        <v>2.4482673632249905</v>
      </c>
      <c r="S31" s="266">
        <v>36776</v>
      </c>
      <c r="T31" s="130">
        <v>2.4482673632249905</v>
      </c>
      <c r="U31" s="266">
        <v>36776</v>
      </c>
      <c r="V31" s="130">
        <v>2.3004059539918811</v>
      </c>
      <c r="W31" s="266">
        <v>36776</v>
      </c>
      <c r="X31" s="130">
        <v>6</v>
      </c>
      <c r="Y31" s="266">
        <v>36776</v>
      </c>
      <c r="Z31" s="130">
        <v>8.3125</v>
      </c>
      <c r="AC31" s="135"/>
      <c r="AG31" s="130"/>
    </row>
    <row r="32" spans="1:36" x14ac:dyDescent="0.25">
      <c r="A32" s="1">
        <v>36777</v>
      </c>
      <c r="B32" s="130">
        <v>84.218999999999994</v>
      </c>
      <c r="C32" s="266">
        <v>36777</v>
      </c>
      <c r="D32" s="135">
        <v>1.4767999999999999</v>
      </c>
      <c r="E32" s="266">
        <v>36777</v>
      </c>
      <c r="F32" s="130">
        <v>127.390625</v>
      </c>
      <c r="G32" s="266">
        <v>36777</v>
      </c>
      <c r="H32" s="130">
        <v>63.125</v>
      </c>
      <c r="I32" s="266">
        <v>36777</v>
      </c>
      <c r="J32" s="130">
        <v>1.6860780065005421</v>
      </c>
      <c r="K32" s="266">
        <v>36777</v>
      </c>
      <c r="L32" s="130">
        <v>1.0766522210184184</v>
      </c>
      <c r="M32" s="266">
        <v>36777</v>
      </c>
      <c r="N32" s="130">
        <v>6.4000000000000001E-2</v>
      </c>
      <c r="O32" s="266">
        <v>36777</v>
      </c>
      <c r="P32" s="130">
        <v>8.1499511212772475</v>
      </c>
      <c r="Q32" s="266">
        <v>36777</v>
      </c>
      <c r="R32" s="130">
        <v>2.2881773227447089</v>
      </c>
      <c r="S32" s="266">
        <v>36777</v>
      </c>
      <c r="T32" s="130">
        <v>2.2881773227447089</v>
      </c>
      <c r="U32" s="266">
        <v>36777</v>
      </c>
      <c r="V32" s="130">
        <v>2.3022751895991336</v>
      </c>
      <c r="W32" s="266">
        <v>36777</v>
      </c>
      <c r="X32" s="130">
        <v>6</v>
      </c>
      <c r="Y32" s="266">
        <v>36777</v>
      </c>
      <c r="Z32" s="130">
        <v>8.1875</v>
      </c>
      <c r="AC32" s="135"/>
      <c r="AG32" s="130"/>
    </row>
    <row r="33" spans="1:33" x14ac:dyDescent="0.25">
      <c r="A33" s="1">
        <v>36780</v>
      </c>
      <c r="B33" s="130">
        <v>86.016000000000005</v>
      </c>
      <c r="C33" s="266">
        <v>36780</v>
      </c>
      <c r="D33" s="135">
        <v>1.4804999999999999</v>
      </c>
      <c r="E33" s="266">
        <v>36780</v>
      </c>
      <c r="F33" s="130">
        <v>116.0625</v>
      </c>
      <c r="G33" s="266">
        <v>36780</v>
      </c>
      <c r="H33" s="130">
        <v>57.375</v>
      </c>
      <c r="I33" s="266">
        <v>36780</v>
      </c>
      <c r="J33" s="130">
        <v>1.6886187098953058</v>
      </c>
      <c r="K33" s="266">
        <v>36780</v>
      </c>
      <c r="L33" s="130">
        <v>1.0672070246538332</v>
      </c>
      <c r="M33" s="266">
        <v>36780</v>
      </c>
      <c r="N33" s="130">
        <v>0.06</v>
      </c>
      <c r="O33" s="266">
        <v>36780</v>
      </c>
      <c r="P33" s="130">
        <v>9.0073315081374599</v>
      </c>
      <c r="Q33" s="266">
        <v>36780</v>
      </c>
      <c r="R33" s="130">
        <v>2.0410484283914525</v>
      </c>
      <c r="S33" s="266">
        <v>36780</v>
      </c>
      <c r="T33" s="130">
        <v>2.0471069604920809</v>
      </c>
      <c r="U33" s="266">
        <v>36780</v>
      </c>
      <c r="V33" s="130">
        <v>2.2965214454576159</v>
      </c>
      <c r="W33" s="266">
        <v>36780</v>
      </c>
      <c r="X33" s="130">
        <v>6.125</v>
      </c>
      <c r="Y33" s="266">
        <v>36780</v>
      </c>
      <c r="Z33" s="130">
        <v>8.375</v>
      </c>
      <c r="AC33" s="135"/>
      <c r="AG33" s="130"/>
    </row>
    <row r="34" spans="1:33" x14ac:dyDescent="0.25">
      <c r="A34" s="1">
        <v>36781</v>
      </c>
      <c r="B34" s="130">
        <v>86.125</v>
      </c>
      <c r="C34" s="266">
        <v>36781</v>
      </c>
      <c r="D34" s="135">
        <v>1.4810000000000001</v>
      </c>
      <c r="E34" s="266">
        <v>36781</v>
      </c>
      <c r="F34" s="130">
        <v>102</v>
      </c>
      <c r="G34" s="266">
        <v>36781</v>
      </c>
      <c r="H34" s="130">
        <v>65.734375</v>
      </c>
      <c r="I34" s="266">
        <v>36781</v>
      </c>
      <c r="J34" s="130">
        <v>1.6880486158001349</v>
      </c>
      <c r="K34" s="266">
        <v>36781</v>
      </c>
      <c r="L34" s="130">
        <v>1.087103308575287</v>
      </c>
      <c r="M34" s="266">
        <v>36781</v>
      </c>
      <c r="N34" s="130">
        <v>5.5E-2</v>
      </c>
      <c r="O34" s="266">
        <v>36781</v>
      </c>
      <c r="P34" s="130">
        <v>8.0903620256926327</v>
      </c>
      <c r="Q34" s="266">
        <v>36781</v>
      </c>
      <c r="R34" s="130">
        <v>2.1838464359527054</v>
      </c>
      <c r="S34" s="266">
        <v>36781</v>
      </c>
      <c r="T34" s="130">
        <v>2.1901965490408859</v>
      </c>
      <c r="U34" s="266">
        <v>36781</v>
      </c>
      <c r="V34" s="130">
        <v>2.3295070898041863</v>
      </c>
      <c r="W34" s="266">
        <v>36781</v>
      </c>
      <c r="X34" s="130">
        <v>6</v>
      </c>
      <c r="Y34" s="266">
        <v>36781</v>
      </c>
      <c r="Z34" s="130">
        <v>8.375</v>
      </c>
      <c r="AC34" s="135"/>
      <c r="AG34" s="130"/>
    </row>
    <row r="35" spans="1:33" x14ac:dyDescent="0.25">
      <c r="A35" s="1">
        <v>36782</v>
      </c>
      <c r="B35" s="130">
        <v>86.688000000000002</v>
      </c>
      <c r="C35" s="266">
        <v>36782</v>
      </c>
      <c r="D35" s="135">
        <v>1.4824999999999999</v>
      </c>
      <c r="E35" s="266">
        <v>36782</v>
      </c>
      <c r="F35" s="130">
        <v>101.625</v>
      </c>
      <c r="G35" s="266">
        <v>36782</v>
      </c>
      <c r="H35" s="130">
        <v>72.75</v>
      </c>
      <c r="I35" s="266">
        <v>36782</v>
      </c>
      <c r="J35" s="130">
        <v>1.5649241146711634</v>
      </c>
      <c r="K35" s="266">
        <v>36782</v>
      </c>
      <c r="L35" s="130">
        <v>1.1332209106239461</v>
      </c>
      <c r="M35" s="266">
        <v>36782</v>
      </c>
      <c r="N35" s="130">
        <v>0.06</v>
      </c>
      <c r="O35" s="266">
        <v>36782</v>
      </c>
      <c r="P35" s="130">
        <v>8.2060857330679866</v>
      </c>
      <c r="Q35" s="266">
        <v>36782</v>
      </c>
      <c r="R35" s="130">
        <v>2.4274163026304776</v>
      </c>
      <c r="S35" s="266">
        <v>36782</v>
      </c>
      <c r="T35" s="130">
        <v>2.4342420299739884</v>
      </c>
      <c r="U35" s="266">
        <v>36782</v>
      </c>
      <c r="V35" s="130">
        <v>2.2259696458684655</v>
      </c>
      <c r="W35" s="266">
        <v>36782</v>
      </c>
      <c r="X35" s="130">
        <v>6</v>
      </c>
      <c r="Y35" s="266">
        <v>36782</v>
      </c>
      <c r="Z35" s="130">
        <v>8.25</v>
      </c>
      <c r="AC35" s="135"/>
      <c r="AG35" s="130"/>
    </row>
    <row r="36" spans="1:33" x14ac:dyDescent="0.25">
      <c r="A36" s="1">
        <v>36783</v>
      </c>
      <c r="B36" s="130">
        <v>86.703000000000003</v>
      </c>
      <c r="C36" s="266">
        <v>36783</v>
      </c>
      <c r="D36" s="135">
        <v>1.4867999999999999</v>
      </c>
      <c r="E36" s="266">
        <v>36783</v>
      </c>
      <c r="F36" s="130">
        <v>100.125</v>
      </c>
      <c r="G36" s="266">
        <v>36783</v>
      </c>
      <c r="H36" s="130">
        <v>68.5</v>
      </c>
      <c r="I36" s="266">
        <v>36783</v>
      </c>
      <c r="J36" s="130">
        <v>1.6478342749529193</v>
      </c>
      <c r="K36" s="266">
        <v>36783</v>
      </c>
      <c r="L36" s="130">
        <v>1.1702986279257466</v>
      </c>
      <c r="M36" s="266">
        <v>36783</v>
      </c>
      <c r="N36" s="130">
        <v>0.06</v>
      </c>
      <c r="O36" s="266">
        <v>36783</v>
      </c>
      <c r="P36" s="130">
        <v>8.2682113865368265</v>
      </c>
      <c r="Q36" s="266">
        <v>36783</v>
      </c>
      <c r="R36" s="130">
        <v>2.1744383038369914</v>
      </c>
      <c r="S36" s="266">
        <v>36783</v>
      </c>
      <c r="T36" s="130">
        <v>2.1807726778711478</v>
      </c>
      <c r="U36" s="266">
        <v>36783</v>
      </c>
      <c r="V36" s="130">
        <v>2.2531611514662364</v>
      </c>
      <c r="W36" s="266">
        <v>36783</v>
      </c>
      <c r="X36" s="130">
        <v>5.875</v>
      </c>
      <c r="Y36" s="266">
        <v>36783</v>
      </c>
      <c r="Z36" s="130">
        <v>8.375</v>
      </c>
      <c r="AC36" s="135"/>
      <c r="AG36" s="130"/>
    </row>
    <row r="37" spans="1:33" x14ac:dyDescent="0.25">
      <c r="A37" s="1">
        <v>36784</v>
      </c>
      <c r="B37" s="130">
        <v>89.438000000000002</v>
      </c>
      <c r="C37" s="266">
        <v>36784</v>
      </c>
      <c r="D37" s="135">
        <v>1.4830000000000001</v>
      </c>
      <c r="E37" s="266">
        <v>36784</v>
      </c>
      <c r="F37" s="130">
        <v>95.5</v>
      </c>
      <c r="G37" s="266">
        <v>36784</v>
      </c>
      <c r="H37" s="130">
        <v>73.5625</v>
      </c>
      <c r="I37" s="266">
        <v>36784</v>
      </c>
      <c r="J37" s="130">
        <v>1.6520566419420095</v>
      </c>
      <c r="K37" s="266">
        <v>36784</v>
      </c>
      <c r="L37" s="130">
        <v>1.1665542818610923</v>
      </c>
      <c r="M37" s="266">
        <v>36784</v>
      </c>
      <c r="N37" s="130">
        <v>6.2E-2</v>
      </c>
      <c r="O37" s="266">
        <v>36784</v>
      </c>
      <c r="P37" s="130">
        <v>9.0599249893546876</v>
      </c>
      <c r="Q37" s="266">
        <v>36784</v>
      </c>
      <c r="R37" s="130">
        <v>2.1207670955167699</v>
      </c>
      <c r="S37" s="266">
        <v>36784</v>
      </c>
      <c r="T37" s="130">
        <v>2.1269946168917619</v>
      </c>
      <c r="U37" s="266">
        <v>36784</v>
      </c>
      <c r="V37" s="130">
        <v>2.2589345920431558</v>
      </c>
      <c r="W37" s="266">
        <v>36784</v>
      </c>
      <c r="X37" s="130">
        <v>6</v>
      </c>
      <c r="Y37" s="266">
        <v>36784</v>
      </c>
      <c r="Z37" s="130">
        <v>8.625</v>
      </c>
      <c r="AC37" s="135"/>
      <c r="AG37" s="130"/>
    </row>
    <row r="38" spans="1:33" x14ac:dyDescent="0.25">
      <c r="A38" s="1">
        <v>36787</v>
      </c>
      <c r="B38" s="130">
        <v>89.625</v>
      </c>
      <c r="C38" s="266">
        <v>36787</v>
      </c>
      <c r="D38" s="135">
        <v>1.488</v>
      </c>
      <c r="E38" s="266">
        <v>36787</v>
      </c>
      <c r="F38" s="130">
        <v>88.375</v>
      </c>
      <c r="G38" s="266">
        <v>36787</v>
      </c>
      <c r="H38" s="130">
        <v>70.0625</v>
      </c>
      <c r="I38" s="266">
        <v>36787</v>
      </c>
      <c r="J38" s="130">
        <v>1.6465053763440862</v>
      </c>
      <c r="K38" s="266">
        <v>36787</v>
      </c>
      <c r="L38" s="130">
        <v>1.1626344086021505</v>
      </c>
      <c r="M38" s="266">
        <v>36787</v>
      </c>
      <c r="N38" s="130">
        <v>0.06</v>
      </c>
      <c r="O38" s="266">
        <v>36787</v>
      </c>
      <c r="P38" s="130">
        <v>9.9177860307027572</v>
      </c>
      <c r="Q38" s="266">
        <v>36787</v>
      </c>
      <c r="R38" s="130">
        <v>2.0158078390712428</v>
      </c>
      <c r="S38" s="266">
        <v>36787</v>
      </c>
      <c r="T38" s="130">
        <v>2.0218206504632712</v>
      </c>
      <c r="U38" s="266">
        <v>36787</v>
      </c>
      <c r="V38" s="130">
        <v>2.163978494623656</v>
      </c>
      <c r="W38" s="266">
        <v>36787</v>
      </c>
      <c r="X38" s="130">
        <v>6.03125</v>
      </c>
      <c r="Y38" s="266">
        <v>36787</v>
      </c>
      <c r="Z38" s="130">
        <v>8.25</v>
      </c>
      <c r="AC38" s="135"/>
      <c r="AG38" s="130"/>
    </row>
    <row r="39" spans="1:33" x14ac:dyDescent="0.25">
      <c r="A39" s="1">
        <v>36788</v>
      </c>
      <c r="B39" s="130">
        <v>84.875</v>
      </c>
      <c r="C39" s="266">
        <v>36788</v>
      </c>
      <c r="D39" s="135">
        <v>1.482</v>
      </c>
      <c r="E39" s="266">
        <v>36788</v>
      </c>
      <c r="F39" s="130">
        <v>104.1875</v>
      </c>
      <c r="G39" s="266">
        <v>36788</v>
      </c>
      <c r="H39" s="130">
        <v>68.875</v>
      </c>
      <c r="I39" s="266">
        <v>36788</v>
      </c>
      <c r="J39" s="130">
        <v>1.6194331983805668</v>
      </c>
      <c r="K39" s="266">
        <v>36788</v>
      </c>
      <c r="L39" s="130">
        <v>1.2415654520917681</v>
      </c>
      <c r="M39" s="266">
        <v>36788</v>
      </c>
      <c r="N39" s="130">
        <v>0.06</v>
      </c>
      <c r="O39" s="266">
        <v>36788</v>
      </c>
      <c r="P39" s="130">
        <v>9.3691321638103808</v>
      </c>
      <c r="Q39" s="266">
        <v>36788</v>
      </c>
      <c r="R39" s="130">
        <v>2.0184435116186297</v>
      </c>
      <c r="S39" s="266">
        <v>36788</v>
      </c>
      <c r="T39" s="130">
        <v>2.0244597844025094</v>
      </c>
      <c r="U39" s="266">
        <v>36788</v>
      </c>
      <c r="V39" s="130">
        <v>2.1592442645074224</v>
      </c>
      <c r="W39" s="266">
        <v>36788</v>
      </c>
      <c r="X39" s="130">
        <v>6</v>
      </c>
      <c r="Y39" s="266">
        <v>36788</v>
      </c>
      <c r="Z39" s="130">
        <v>8.5</v>
      </c>
    </row>
    <row r="40" spans="1:33" x14ac:dyDescent="0.25">
      <c r="A40" s="1">
        <v>36789</v>
      </c>
      <c r="B40" s="130">
        <v>82.171999999999997</v>
      </c>
      <c r="C40" s="266">
        <v>36789</v>
      </c>
      <c r="D40" s="135">
        <v>1.4832000000000001</v>
      </c>
      <c r="E40" s="266">
        <v>36789</v>
      </c>
      <c r="F40" s="130">
        <v>112.0625</v>
      </c>
      <c r="G40" s="266">
        <v>36789</v>
      </c>
      <c r="H40" s="130">
        <v>67.3125</v>
      </c>
      <c r="I40" s="266">
        <v>36789</v>
      </c>
      <c r="J40" s="130">
        <v>1.5507011866235165</v>
      </c>
      <c r="K40" s="266">
        <v>36789</v>
      </c>
      <c r="L40" s="130">
        <v>1.2338187702265373</v>
      </c>
      <c r="M40" s="266">
        <v>36789</v>
      </c>
      <c r="N40" s="130">
        <v>6.5000000000000002E-2</v>
      </c>
      <c r="O40" s="266">
        <v>36789</v>
      </c>
      <c r="P40" s="130">
        <v>9.0066143450196545</v>
      </c>
      <c r="Q40" s="266">
        <v>36789</v>
      </c>
      <c r="R40" s="130">
        <v>2.0699238479102693</v>
      </c>
      <c r="S40" s="266">
        <v>36789</v>
      </c>
      <c r="T40" s="130">
        <v>2.0760444195115375</v>
      </c>
      <c r="U40" s="266">
        <v>36789</v>
      </c>
      <c r="V40" s="130">
        <v>2.1574973031283711</v>
      </c>
      <c r="W40" s="266">
        <v>36789</v>
      </c>
      <c r="X40" s="130">
        <v>6</v>
      </c>
      <c r="Y40" s="266">
        <v>36789</v>
      </c>
      <c r="Z40" s="130">
        <v>8.625</v>
      </c>
    </row>
    <row r="41" spans="1:33" x14ac:dyDescent="0.25">
      <c r="A41" s="1">
        <v>36790</v>
      </c>
      <c r="B41" s="130">
        <v>80.75</v>
      </c>
      <c r="C41" s="266">
        <v>36790</v>
      </c>
      <c r="D41" s="135">
        <v>1.4871000000000001</v>
      </c>
      <c r="E41" s="266">
        <v>36790</v>
      </c>
      <c r="F41" s="130">
        <v>110.625</v>
      </c>
      <c r="G41" s="266">
        <v>36790</v>
      </c>
      <c r="H41" s="130">
        <v>70</v>
      </c>
      <c r="I41" s="266">
        <v>36790</v>
      </c>
      <c r="J41" s="130">
        <v>1.5130119023602986</v>
      </c>
      <c r="K41" s="266">
        <v>36790</v>
      </c>
      <c r="L41" s="130">
        <v>1.1969605272005917</v>
      </c>
      <c r="M41" s="266">
        <v>36790</v>
      </c>
      <c r="N41" s="130">
        <v>5.5E-2</v>
      </c>
      <c r="O41" s="266">
        <v>36790</v>
      </c>
      <c r="P41" s="130">
        <v>8.1495284877701177</v>
      </c>
      <c r="Q41" s="266">
        <v>36790</v>
      </c>
      <c r="R41" s="130">
        <v>2.0194621249881006</v>
      </c>
      <c r="S41" s="266">
        <v>36790</v>
      </c>
      <c r="T41" s="130">
        <v>2.0254784816739431</v>
      </c>
      <c r="U41" s="266">
        <v>36790</v>
      </c>
      <c r="V41" s="130">
        <v>2.0845941765853002</v>
      </c>
      <c r="W41" s="266">
        <v>36790</v>
      </c>
      <c r="X41" s="130">
        <v>6.875</v>
      </c>
      <c r="Y41" s="266">
        <v>36790</v>
      </c>
      <c r="Z41" s="130">
        <v>8.5</v>
      </c>
      <c r="AC41" s="135"/>
      <c r="AG41" s="130"/>
    </row>
    <row r="42" spans="1:33" x14ac:dyDescent="0.25">
      <c r="A42" s="1">
        <v>36791</v>
      </c>
      <c r="B42" s="130">
        <v>83</v>
      </c>
      <c r="C42" s="266">
        <v>36791</v>
      </c>
      <c r="D42" s="135">
        <v>1.4888999999999999</v>
      </c>
      <c r="E42" s="266">
        <v>36791</v>
      </c>
      <c r="F42" s="130">
        <v>115.5</v>
      </c>
      <c r="G42" s="266">
        <v>36791</v>
      </c>
      <c r="H42" s="130">
        <v>68.625</v>
      </c>
      <c r="I42" s="266">
        <v>36791</v>
      </c>
      <c r="J42" s="130">
        <v>1.5111827523675199</v>
      </c>
      <c r="K42" s="266">
        <v>36791</v>
      </c>
      <c r="L42" s="130">
        <v>1.2089462018940158</v>
      </c>
      <c r="M42" s="266">
        <v>36791</v>
      </c>
      <c r="N42" s="130">
        <v>0.06</v>
      </c>
      <c r="O42" s="266">
        <v>36791</v>
      </c>
      <c r="P42" s="130">
        <v>6.9924366501342829</v>
      </c>
      <c r="Q42" s="266">
        <v>36791</v>
      </c>
      <c r="R42" s="130">
        <v>2.1575212781101847</v>
      </c>
      <c r="S42" s="266">
        <v>36791</v>
      </c>
      <c r="T42" s="130">
        <v>2.1638234427571188</v>
      </c>
      <c r="U42" s="266">
        <v>36791</v>
      </c>
      <c r="V42" s="130">
        <v>2.1156558533145278</v>
      </c>
      <c r="W42" s="266">
        <v>36791</v>
      </c>
      <c r="X42" s="130">
        <v>6.625</v>
      </c>
      <c r="Y42" s="266">
        <v>36791</v>
      </c>
      <c r="Z42" s="130">
        <v>8.75</v>
      </c>
      <c r="AC42" s="135"/>
      <c r="AG42" s="130"/>
    </row>
    <row r="43" spans="1:33" x14ac:dyDescent="0.25">
      <c r="A43" s="1">
        <v>36794</v>
      </c>
      <c r="B43" s="130">
        <v>84.438000000000002</v>
      </c>
      <c r="C43" s="266">
        <v>36794</v>
      </c>
      <c r="D43" s="135">
        <v>1.4865999999999999</v>
      </c>
      <c r="E43" s="266">
        <v>36794</v>
      </c>
      <c r="F43" s="130">
        <v>115.984375</v>
      </c>
      <c r="G43" s="266">
        <v>36794</v>
      </c>
      <c r="H43" s="130">
        <v>66</v>
      </c>
      <c r="I43" s="266">
        <v>36794</v>
      </c>
      <c r="J43" s="130">
        <v>1.3453518094981838</v>
      </c>
      <c r="K43" s="266">
        <v>36794</v>
      </c>
      <c r="L43" s="130">
        <v>1.2377236647383292</v>
      </c>
      <c r="M43" s="266">
        <v>36794</v>
      </c>
      <c r="N43" s="130">
        <v>5.5E-2</v>
      </c>
      <c r="O43" s="266">
        <v>36794</v>
      </c>
      <c r="P43" s="130">
        <v>6.4486707903632823</v>
      </c>
      <c r="Q43" s="266">
        <v>36794</v>
      </c>
      <c r="R43" s="130">
        <v>1.691508710652273</v>
      </c>
      <c r="S43" s="266">
        <v>36794</v>
      </c>
      <c r="T43" s="130">
        <v>1.6968086675415301</v>
      </c>
      <c r="U43" s="266">
        <v>36794</v>
      </c>
      <c r="V43" s="130">
        <v>1.9507601237723666</v>
      </c>
      <c r="W43" s="266">
        <v>36794</v>
      </c>
      <c r="X43" s="130">
        <v>6.375</v>
      </c>
      <c r="Y43" s="266">
        <v>36794</v>
      </c>
      <c r="Z43" s="130">
        <v>8.75</v>
      </c>
      <c r="AC43" s="135"/>
      <c r="AG43" s="130"/>
    </row>
    <row r="44" spans="1:33" x14ac:dyDescent="0.25">
      <c r="A44" s="1">
        <v>36795</v>
      </c>
      <c r="B44" s="130">
        <v>85.5</v>
      </c>
      <c r="C44" s="266">
        <v>36795</v>
      </c>
      <c r="D44" s="135">
        <v>1.4869000000000001</v>
      </c>
      <c r="E44" s="266">
        <v>36795</v>
      </c>
      <c r="F44" s="130">
        <v>104.8125</v>
      </c>
      <c r="G44" s="266">
        <v>36795</v>
      </c>
      <c r="H44" s="130">
        <v>64.375</v>
      </c>
      <c r="I44" s="266">
        <v>36795</v>
      </c>
      <c r="J44" s="130">
        <v>1.345080368552021</v>
      </c>
      <c r="K44" s="266">
        <v>36795</v>
      </c>
      <c r="L44" s="130">
        <v>1.1971215280112986</v>
      </c>
      <c r="M44" s="266">
        <v>36795</v>
      </c>
      <c r="N44" s="130">
        <v>0.05</v>
      </c>
      <c r="O44" s="266">
        <v>36795</v>
      </c>
      <c r="P44" s="130">
        <v>6.8039761022106857</v>
      </c>
      <c r="Q44" s="266">
        <v>36795</v>
      </c>
      <c r="R44" s="130">
        <v>1.5582551454775657</v>
      </c>
      <c r="S44" s="266">
        <v>36795</v>
      </c>
      <c r="T44" s="130">
        <v>1.5582551454775659</v>
      </c>
      <c r="U44" s="266">
        <v>36795</v>
      </c>
      <c r="V44" s="130">
        <v>2.078149169412872</v>
      </c>
      <c r="W44" s="266">
        <v>36795</v>
      </c>
      <c r="X44" s="130">
        <v>6.25</v>
      </c>
      <c r="Y44" s="266">
        <v>36795</v>
      </c>
      <c r="Z44" s="130">
        <v>8.75</v>
      </c>
      <c r="AC44" s="135"/>
      <c r="AG44" s="130"/>
    </row>
    <row r="45" spans="1:33" x14ac:dyDescent="0.25">
      <c r="A45" s="1">
        <v>36796</v>
      </c>
      <c r="B45" s="130">
        <v>87.453000000000003</v>
      </c>
      <c r="C45" s="266">
        <v>36796</v>
      </c>
      <c r="D45" s="135">
        <v>1.4955000000000001</v>
      </c>
      <c r="E45" s="266">
        <v>36796</v>
      </c>
      <c r="F45" s="130">
        <v>101.5625</v>
      </c>
      <c r="G45" s="266">
        <v>36796</v>
      </c>
      <c r="H45" s="130">
        <v>65.125</v>
      </c>
      <c r="I45" s="266">
        <v>36796</v>
      </c>
      <c r="J45" s="130">
        <v>1.5379471748579068</v>
      </c>
      <c r="K45" s="266">
        <v>36796</v>
      </c>
      <c r="L45" s="130">
        <v>1.1768639251086592</v>
      </c>
      <c r="M45" s="266">
        <v>36796</v>
      </c>
      <c r="N45" s="130">
        <v>0.05</v>
      </c>
      <c r="O45" s="266">
        <v>36796</v>
      </c>
      <c r="P45" s="130">
        <v>6.6826166710722541</v>
      </c>
      <c r="Q45" s="266">
        <v>36796</v>
      </c>
      <c r="R45" s="130">
        <v>1.682606759577477</v>
      </c>
      <c r="S45" s="266">
        <v>36796</v>
      </c>
      <c r="T45" s="130">
        <v>1.682606759577477</v>
      </c>
      <c r="U45" s="266">
        <v>36796</v>
      </c>
      <c r="V45" s="130">
        <v>1.9391507856904044</v>
      </c>
      <c r="W45" s="266">
        <v>36796</v>
      </c>
      <c r="X45" s="130">
        <v>6.375</v>
      </c>
      <c r="Y45" s="266">
        <v>36796</v>
      </c>
      <c r="Z45" s="130">
        <v>8.8125</v>
      </c>
      <c r="AC45" s="135"/>
      <c r="AG45" s="130"/>
    </row>
    <row r="46" spans="1:33" x14ac:dyDescent="0.25">
      <c r="A46" s="1">
        <v>36797</v>
      </c>
      <c r="B46" s="130">
        <v>89.25</v>
      </c>
      <c r="C46" s="266">
        <v>36797</v>
      </c>
      <c r="D46" s="135">
        <v>1.5004999999999999</v>
      </c>
      <c r="E46" s="266">
        <v>36797</v>
      </c>
      <c r="F46" s="130">
        <v>102.875</v>
      </c>
      <c r="G46" s="266">
        <v>36797</v>
      </c>
      <c r="H46" s="130">
        <v>60</v>
      </c>
      <c r="I46" s="266">
        <v>36797</v>
      </c>
      <c r="J46" s="130">
        <v>1.4995001666111296</v>
      </c>
      <c r="K46" s="266">
        <v>36797</v>
      </c>
      <c r="L46" s="130">
        <v>1.166277907364212</v>
      </c>
      <c r="M46" s="266">
        <v>36797</v>
      </c>
      <c r="N46" s="130">
        <v>4.4999999999999998E-2</v>
      </c>
      <c r="O46" s="266">
        <v>36797</v>
      </c>
      <c r="P46" s="130">
        <v>6.7739978763979822</v>
      </c>
      <c r="Q46" s="266">
        <v>36797</v>
      </c>
      <c r="R46" s="130">
        <v>1.7044618341470379</v>
      </c>
      <c r="S46" s="266">
        <v>36797</v>
      </c>
      <c r="T46" s="130">
        <v>1.7044618341470381</v>
      </c>
      <c r="U46" s="266">
        <v>36797</v>
      </c>
      <c r="V46" s="130">
        <v>1.9993335554815062</v>
      </c>
      <c r="W46" s="266">
        <v>36797</v>
      </c>
      <c r="X46" s="130">
        <v>6.4375</v>
      </c>
      <c r="Y46" s="266">
        <v>36797</v>
      </c>
      <c r="Z46" s="130">
        <v>8.8125</v>
      </c>
      <c r="AC46" s="135"/>
      <c r="AG46" s="130"/>
    </row>
    <row r="47" spans="1:33" x14ac:dyDescent="0.25">
      <c r="A47" s="1">
        <v>36798</v>
      </c>
      <c r="B47" s="130">
        <v>87.641000000000005</v>
      </c>
      <c r="C47" s="266">
        <v>36798</v>
      </c>
      <c r="D47" s="135">
        <v>1.4862</v>
      </c>
      <c r="E47" s="266">
        <v>36798</v>
      </c>
      <c r="F47" s="130">
        <v>95.125</v>
      </c>
      <c r="G47" s="266">
        <v>36798</v>
      </c>
      <c r="H47" s="130">
        <v>62</v>
      </c>
      <c r="I47" s="266">
        <v>36798</v>
      </c>
      <c r="J47" s="130">
        <v>1.5139281388776746</v>
      </c>
      <c r="K47" s="266">
        <v>36798</v>
      </c>
      <c r="L47" s="130">
        <v>1.2111425111021397</v>
      </c>
      <c r="M47" s="266">
        <v>36798</v>
      </c>
      <c r="N47" s="130">
        <v>5.5E-2</v>
      </c>
      <c r="O47" s="266">
        <v>36798</v>
      </c>
      <c r="P47" s="130">
        <v>10.955957684378545</v>
      </c>
      <c r="Q47" s="266">
        <v>36798</v>
      </c>
      <c r="R47" s="130">
        <v>1.8074449703347872</v>
      </c>
      <c r="S47" s="266">
        <v>36798</v>
      </c>
      <c r="T47" s="130">
        <v>1.8074449703347872</v>
      </c>
      <c r="U47" s="266">
        <v>36798</v>
      </c>
      <c r="V47" s="130">
        <v>2.0185708518368997</v>
      </c>
      <c r="W47" s="266">
        <v>36798</v>
      </c>
      <c r="X47" s="130">
        <v>6.4375</v>
      </c>
      <c r="Y47" s="266">
        <v>36798</v>
      </c>
      <c r="Z47" s="130">
        <v>9.75</v>
      </c>
      <c r="AC47" s="135"/>
      <c r="AG47" s="130"/>
    </row>
    <row r="48" spans="1:33" x14ac:dyDescent="0.25">
      <c r="A48" s="1">
        <v>36801</v>
      </c>
      <c r="B48" s="130">
        <v>86.438000000000002</v>
      </c>
      <c r="C48" s="266">
        <v>36801</v>
      </c>
      <c r="D48" s="135">
        <v>1.5102</v>
      </c>
      <c r="E48" s="266">
        <v>36801</v>
      </c>
      <c r="F48" s="130">
        <v>80.375</v>
      </c>
      <c r="G48" s="266">
        <v>36801</v>
      </c>
      <c r="H48" s="130">
        <v>60.875</v>
      </c>
      <c r="I48" s="266">
        <v>36801</v>
      </c>
      <c r="J48" s="130">
        <v>1.4964905310554892</v>
      </c>
      <c r="K48" s="266">
        <v>36801</v>
      </c>
      <c r="L48" s="130">
        <v>1.1852734737120911</v>
      </c>
      <c r="M48" s="266">
        <v>36801</v>
      </c>
      <c r="N48" s="130">
        <v>4.4999999999999998E-2</v>
      </c>
      <c r="O48" s="266">
        <v>36801</v>
      </c>
      <c r="P48" s="130">
        <v>9.2211513758790726</v>
      </c>
      <c r="Q48" s="266">
        <v>36801</v>
      </c>
      <c r="R48" s="130">
        <v>1.7649422292557411</v>
      </c>
      <c r="S48" s="266">
        <v>36801</v>
      </c>
      <c r="T48" s="130">
        <v>1.7649422292557413</v>
      </c>
      <c r="U48" s="266">
        <v>36801</v>
      </c>
      <c r="V48" s="130">
        <v>1.986491855383393</v>
      </c>
      <c r="W48" s="266">
        <v>36801</v>
      </c>
      <c r="X48" s="130">
        <v>6.5</v>
      </c>
      <c r="Y48" s="266">
        <v>36801</v>
      </c>
      <c r="Z48" s="130">
        <v>9.25</v>
      </c>
      <c r="AC48" s="135"/>
      <c r="AG48" s="130"/>
    </row>
    <row r="49" spans="1:33" x14ac:dyDescent="0.25">
      <c r="A49" s="1">
        <v>36802</v>
      </c>
      <c r="B49" s="130">
        <v>85.563000000000002</v>
      </c>
      <c r="C49" s="266">
        <v>36802</v>
      </c>
      <c r="D49" s="135">
        <v>1.5044999999999999</v>
      </c>
      <c r="E49" s="266">
        <v>36802</v>
      </c>
      <c r="F49" s="130">
        <v>84.0625</v>
      </c>
      <c r="G49" s="266">
        <v>36802</v>
      </c>
      <c r="H49" s="130">
        <v>55.5</v>
      </c>
      <c r="I49" s="266">
        <v>36802</v>
      </c>
      <c r="J49" s="130">
        <v>1.429046194749086</v>
      </c>
      <c r="K49" s="266">
        <v>36802</v>
      </c>
      <c r="L49" s="130">
        <v>1.149883682286474</v>
      </c>
      <c r="M49" s="266">
        <v>36802</v>
      </c>
      <c r="N49" s="130">
        <v>4.4999999999999998E-2</v>
      </c>
      <c r="O49" s="266">
        <v>36802</v>
      </c>
      <c r="P49" s="130">
        <v>8.9849644026968321</v>
      </c>
      <c r="Q49" s="266">
        <v>36802</v>
      </c>
      <c r="R49" s="130">
        <v>1.8227741986306845</v>
      </c>
      <c r="S49" s="266">
        <v>36802</v>
      </c>
      <c r="T49" s="130">
        <v>1.8227741986306845</v>
      </c>
      <c r="U49" s="266">
        <v>36802</v>
      </c>
      <c r="V49" s="130">
        <v>1.9674310402126953</v>
      </c>
      <c r="W49" s="266">
        <v>36802</v>
      </c>
      <c r="X49" s="130">
        <v>7</v>
      </c>
      <c r="Y49" s="266">
        <v>36802</v>
      </c>
      <c r="Z49" s="130">
        <v>9.125</v>
      </c>
      <c r="AC49" s="135"/>
      <c r="AG49" s="130"/>
    </row>
    <row r="50" spans="1:33" x14ac:dyDescent="0.25">
      <c r="A50" s="1">
        <f>+E50</f>
        <v>36803</v>
      </c>
      <c r="B50" s="130">
        <v>83.063000000000002</v>
      </c>
      <c r="C50" s="266">
        <v>36803</v>
      </c>
      <c r="D50" s="135">
        <v>1.4947999999999999</v>
      </c>
      <c r="E50" s="266">
        <v>36803</v>
      </c>
      <c r="F50" s="130">
        <v>80.515625</v>
      </c>
      <c r="G50" s="266">
        <v>36803</v>
      </c>
      <c r="H50" s="130">
        <v>52.125</v>
      </c>
      <c r="I50" s="266">
        <v>36803</v>
      </c>
      <c r="J50" s="130">
        <v>1.4048702167514051</v>
      </c>
      <c r="K50" s="266">
        <v>36803</v>
      </c>
      <c r="L50" s="130">
        <v>1.1305860315761307</v>
      </c>
      <c r="M50" s="266">
        <v>36803</v>
      </c>
      <c r="N50" s="130">
        <v>4.9000000000000002E-2</v>
      </c>
      <c r="O50" s="266">
        <v>36803</v>
      </c>
      <c r="P50" s="130">
        <v>8.4982173634724507</v>
      </c>
      <c r="Q50" s="266">
        <v>36803</v>
      </c>
      <c r="R50" s="130">
        <v>1.8009824203215923</v>
      </c>
      <c r="S50" s="266">
        <v>36803</v>
      </c>
      <c r="T50" s="130">
        <v>1.8009824203215925</v>
      </c>
      <c r="U50" s="266">
        <v>36803</v>
      </c>
      <c r="V50" s="130">
        <v>1.9868878779769872</v>
      </c>
      <c r="W50" s="266">
        <v>36803</v>
      </c>
      <c r="X50" s="130">
        <v>6.3125</v>
      </c>
      <c r="Y50" s="266">
        <v>36803</v>
      </c>
      <c r="Z50" s="130">
        <v>9.5</v>
      </c>
      <c r="AC50" s="135"/>
      <c r="AG50" s="130"/>
    </row>
    <row r="51" spans="1:33" x14ac:dyDescent="0.25">
      <c r="A51" s="1">
        <v>36804</v>
      </c>
      <c r="B51" s="130">
        <v>83</v>
      </c>
      <c r="C51" s="266">
        <v>36804</v>
      </c>
      <c r="D51" s="135">
        <v>1.4964999999999999</v>
      </c>
      <c r="E51" s="266">
        <v>36804</v>
      </c>
      <c r="F51" s="130">
        <v>81.5</v>
      </c>
      <c r="G51" s="266">
        <v>36804</v>
      </c>
      <c r="H51" s="130">
        <v>45.0625</v>
      </c>
      <c r="I51" s="266">
        <v>36804</v>
      </c>
      <c r="J51" s="130">
        <v>1.971266288005346</v>
      </c>
      <c r="K51" s="266">
        <v>36804</v>
      </c>
      <c r="L51" s="130">
        <v>1.4099565653190778</v>
      </c>
      <c r="M51" s="266">
        <v>36804</v>
      </c>
      <c r="N51" s="130">
        <v>0.04</v>
      </c>
      <c r="O51" s="266">
        <v>36804</v>
      </c>
      <c r="P51" s="130">
        <v>8.0096474379452296</v>
      </c>
      <c r="Q51" s="266">
        <v>36804</v>
      </c>
      <c r="R51" s="130">
        <v>1.5828566677623843</v>
      </c>
      <c r="S51" s="266">
        <v>36804</v>
      </c>
      <c r="T51" s="130">
        <v>1.5828566677623848</v>
      </c>
      <c r="U51" s="266">
        <v>36804</v>
      </c>
      <c r="V51" s="130">
        <v>1.9378549949883062</v>
      </c>
      <c r="W51" s="266">
        <v>36804</v>
      </c>
      <c r="X51" s="130">
        <v>6.125</v>
      </c>
      <c r="Y51" s="266">
        <v>36804</v>
      </c>
      <c r="Z51" s="130">
        <v>9.375</v>
      </c>
      <c r="AC51" s="135"/>
      <c r="AG51" s="130"/>
    </row>
    <row r="52" spans="1:33" x14ac:dyDescent="0.25">
      <c r="A52" s="1">
        <v>36805</v>
      </c>
      <c r="B52" s="130">
        <v>81.625</v>
      </c>
      <c r="C52" s="266">
        <v>36805</v>
      </c>
      <c r="D52" s="135">
        <v>1.5004999999999999</v>
      </c>
      <c r="E52" s="266">
        <v>36805</v>
      </c>
      <c r="F52" s="130">
        <v>77.6875</v>
      </c>
      <c r="G52" s="266">
        <v>36805</v>
      </c>
      <c r="H52" s="130">
        <v>40.875</v>
      </c>
      <c r="I52" s="266">
        <v>36805</v>
      </c>
      <c r="J52" s="130">
        <v>1.9726757747417527</v>
      </c>
      <c r="K52" s="266">
        <v>36805</v>
      </c>
      <c r="L52" s="130">
        <v>1.3995334888370545</v>
      </c>
      <c r="M52" s="266">
        <v>36805</v>
      </c>
      <c r="N52" s="130">
        <v>0.04</v>
      </c>
      <c r="O52" s="266">
        <v>36805</v>
      </c>
      <c r="P52" s="130">
        <v>7.5118515285041045</v>
      </c>
      <c r="Q52" s="266">
        <v>36805</v>
      </c>
      <c r="R52" s="130">
        <v>1.5659120052214175</v>
      </c>
      <c r="S52" s="266">
        <v>36805</v>
      </c>
      <c r="T52" s="130">
        <v>1.5659120052214177</v>
      </c>
      <c r="U52" s="266">
        <v>36805</v>
      </c>
      <c r="V52" s="130">
        <v>1.9326891036321225</v>
      </c>
      <c r="W52" s="266">
        <v>36805</v>
      </c>
      <c r="X52" s="130">
        <v>5.875</v>
      </c>
      <c r="Y52" s="266">
        <v>36805</v>
      </c>
      <c r="Z52" s="130">
        <v>8.875</v>
      </c>
      <c r="AC52" s="135"/>
      <c r="AG52" s="130"/>
    </row>
    <row r="53" spans="1:33" x14ac:dyDescent="0.25">
      <c r="A53" s="1">
        <v>36808</v>
      </c>
      <c r="B53" s="130">
        <v>83</v>
      </c>
      <c r="C53" s="266">
        <v>36808</v>
      </c>
      <c r="D53" s="135">
        <v>1.5004999999999999</v>
      </c>
      <c r="E53" s="266">
        <v>36808</v>
      </c>
      <c r="F53" s="130">
        <v>77</v>
      </c>
      <c r="G53" s="266">
        <v>36808</v>
      </c>
      <c r="H53" s="130">
        <v>38</v>
      </c>
      <c r="I53" s="266">
        <v>36808</v>
      </c>
      <c r="J53" s="130">
        <v>1.9726757747417527</v>
      </c>
      <c r="K53" s="266">
        <v>36808</v>
      </c>
      <c r="L53" s="130">
        <v>1.3995334888370545</v>
      </c>
      <c r="M53" s="266">
        <v>36808</v>
      </c>
      <c r="N53" s="130">
        <v>4.4999999999999998E-2</v>
      </c>
      <c r="O53" s="266">
        <v>36808</v>
      </c>
      <c r="P53" s="130">
        <v>8.1179550569835524</v>
      </c>
      <c r="Q53" s="266">
        <v>36808</v>
      </c>
      <c r="R53" s="130">
        <v>1.4383654832453059</v>
      </c>
      <c r="S53" s="266">
        <v>36808</v>
      </c>
      <c r="T53" s="130">
        <v>1.4383654832453061</v>
      </c>
      <c r="U53" s="266">
        <v>36808</v>
      </c>
      <c r="V53" s="130">
        <v>1.9326891036321225</v>
      </c>
      <c r="W53" s="266">
        <v>36808</v>
      </c>
      <c r="X53" s="130">
        <v>6.25</v>
      </c>
      <c r="Y53" s="266">
        <v>36808</v>
      </c>
      <c r="Z53" s="130">
        <v>8.9375</v>
      </c>
      <c r="AC53" s="135"/>
      <c r="AG53" s="130"/>
    </row>
    <row r="54" spans="1:33" x14ac:dyDescent="0.25">
      <c r="A54" s="1">
        <v>36809</v>
      </c>
      <c r="B54" s="130">
        <v>81.688000000000002</v>
      </c>
      <c r="C54" s="266">
        <f>+E54</f>
        <v>36809</v>
      </c>
      <c r="D54" s="135">
        <v>1.4999</v>
      </c>
      <c r="E54" s="266">
        <v>36809</v>
      </c>
      <c r="F54" s="130">
        <v>69</v>
      </c>
      <c r="G54" s="266">
        <v>36809</v>
      </c>
      <c r="H54" s="130">
        <v>31.75</v>
      </c>
      <c r="I54" s="266">
        <v>36809</v>
      </c>
      <c r="J54" s="130">
        <v>1.9867991199413293</v>
      </c>
      <c r="K54" s="266">
        <v>36809</v>
      </c>
      <c r="L54" s="130">
        <v>1.4000933395559705</v>
      </c>
      <c r="M54" s="266">
        <v>36809</v>
      </c>
      <c r="N54" s="130">
        <v>4.6875E-2</v>
      </c>
      <c r="O54" s="266">
        <v>36809</v>
      </c>
      <c r="P54" s="130">
        <v>8.1150149025333747</v>
      </c>
      <c r="Q54" s="266">
        <v>36809</v>
      </c>
      <c r="R54" s="130">
        <v>1.7342490724924671</v>
      </c>
      <c r="S54" s="266">
        <v>36809</v>
      </c>
      <c r="T54" s="130">
        <v>1.7342490724924673</v>
      </c>
      <c r="U54" s="266">
        <v>36809</v>
      </c>
      <c r="V54" s="130">
        <v>1.9401293419561305</v>
      </c>
      <c r="W54" s="266">
        <v>36809</v>
      </c>
      <c r="X54" s="130">
        <v>6.125</v>
      </c>
      <c r="Y54" s="266">
        <v>36809</v>
      </c>
      <c r="Z54" s="130">
        <v>9</v>
      </c>
      <c r="AC54" s="135"/>
      <c r="AG54" s="130"/>
    </row>
    <row r="55" spans="1:33" x14ac:dyDescent="0.25">
      <c r="A55" s="1">
        <v>36810</v>
      </c>
      <c r="B55" s="130">
        <v>82.813000000000002</v>
      </c>
      <c r="C55" s="266">
        <v>36810</v>
      </c>
      <c r="D55" s="135">
        <v>1.5052000000000001</v>
      </c>
      <c r="E55" s="266">
        <v>36810</v>
      </c>
      <c r="F55" s="130">
        <v>78.8125</v>
      </c>
      <c r="G55" s="266">
        <v>36810</v>
      </c>
      <c r="H55" s="130">
        <v>31.875</v>
      </c>
      <c r="I55" s="266">
        <v>36810</v>
      </c>
      <c r="J55" s="130">
        <v>1.9532288068030825</v>
      </c>
      <c r="K55" s="266">
        <v>36810</v>
      </c>
      <c r="L55" s="130">
        <v>1.4018070688280626</v>
      </c>
      <c r="M55" s="266">
        <v>36810</v>
      </c>
      <c r="N55" s="130">
        <v>4.4999999999999998E-2</v>
      </c>
      <c r="O55" s="266">
        <v>36810</v>
      </c>
      <c r="P55" s="130">
        <v>8.5985421084141116</v>
      </c>
      <c r="Q55" s="266">
        <v>36810</v>
      </c>
      <c r="R55" s="130">
        <v>1.7640283578277933</v>
      </c>
      <c r="S55" s="266">
        <v>36810</v>
      </c>
      <c r="T55" s="130">
        <v>1.7640283578277935</v>
      </c>
      <c r="U55" s="266">
        <v>36810</v>
      </c>
      <c r="V55" s="130">
        <v>1.8602179112410309</v>
      </c>
      <c r="W55" s="266">
        <v>36810</v>
      </c>
      <c r="X55" s="130">
        <v>5.9375</v>
      </c>
      <c r="Y55" s="266">
        <v>36810</v>
      </c>
      <c r="Z55" s="130">
        <v>9.125</v>
      </c>
      <c r="AC55" s="135"/>
      <c r="AG55" s="130"/>
    </row>
    <row r="56" spans="1:33" x14ac:dyDescent="0.25">
      <c r="A56" s="1">
        <v>36811</v>
      </c>
      <c r="B56" s="130">
        <v>79.875</v>
      </c>
      <c r="C56" s="266">
        <v>36811</v>
      </c>
      <c r="D56" s="135">
        <v>1.5097</v>
      </c>
      <c r="E56" s="266">
        <v>36811</v>
      </c>
      <c r="F56" s="130">
        <v>76.5</v>
      </c>
      <c r="G56" s="266">
        <v>36811</v>
      </c>
      <c r="H56" s="130">
        <v>38.0625</v>
      </c>
      <c r="I56" s="266">
        <v>36811</v>
      </c>
      <c r="J56" s="130">
        <v>1.9474067695568655</v>
      </c>
      <c r="K56" s="266">
        <v>36811</v>
      </c>
      <c r="L56" s="130">
        <v>1.3976286679472743</v>
      </c>
      <c r="M56" s="266">
        <v>36811</v>
      </c>
      <c r="N56" s="130">
        <v>0.05</v>
      </c>
      <c r="O56" s="266">
        <v>36811</v>
      </c>
      <c r="P56" s="130">
        <v>9.3216382824494985</v>
      </c>
      <c r="Q56" s="266">
        <v>36811</v>
      </c>
      <c r="R56" s="130">
        <v>2.0708625549621424</v>
      </c>
      <c r="S56" s="266">
        <v>36811</v>
      </c>
      <c r="T56" s="130">
        <v>2.0708625549621424</v>
      </c>
      <c r="U56" s="266">
        <v>36811</v>
      </c>
      <c r="V56" s="130">
        <v>1.9871497648539445</v>
      </c>
      <c r="W56" s="266">
        <v>36811</v>
      </c>
      <c r="X56" s="130">
        <v>5.5</v>
      </c>
      <c r="Y56" s="266">
        <v>36811</v>
      </c>
      <c r="Z56" s="130">
        <v>9.75</v>
      </c>
      <c r="AC56" s="135"/>
      <c r="AG56" s="130"/>
    </row>
    <row r="57" spans="1:33" x14ac:dyDescent="0.25">
      <c r="A57" s="1">
        <v>36812</v>
      </c>
      <c r="B57" s="130">
        <v>79.5</v>
      </c>
      <c r="C57" s="266">
        <v>36812</v>
      </c>
      <c r="D57" s="135">
        <v>1.5078</v>
      </c>
      <c r="E57" s="266">
        <v>36812</v>
      </c>
      <c r="F57" s="130">
        <v>81</v>
      </c>
      <c r="G57" s="266">
        <v>36812</v>
      </c>
      <c r="H57" s="130">
        <v>45.25</v>
      </c>
      <c r="I57" s="266">
        <v>36812</v>
      </c>
      <c r="J57" s="130">
        <v>1.9498607242339832</v>
      </c>
      <c r="K57" s="266">
        <v>36812</v>
      </c>
      <c r="L57" s="130">
        <v>1.4060220188353894</v>
      </c>
      <c r="M57" s="266">
        <v>36812</v>
      </c>
      <c r="N57" s="130">
        <v>0.04</v>
      </c>
      <c r="O57" s="266">
        <v>36812</v>
      </c>
      <c r="P57" s="130">
        <v>8.5857704668200334</v>
      </c>
      <c r="Q57" s="266">
        <v>36812</v>
      </c>
      <c r="R57" s="130">
        <v>1.7045029719227713</v>
      </c>
      <c r="S57" s="266">
        <v>36812</v>
      </c>
      <c r="T57" s="130">
        <v>1.7045029719227716</v>
      </c>
      <c r="U57" s="266">
        <v>36812</v>
      </c>
      <c r="V57" s="130">
        <v>1.9564929035681125</v>
      </c>
      <c r="W57" s="266">
        <v>36812</v>
      </c>
      <c r="X57" s="130">
        <v>5.5</v>
      </c>
      <c r="Y57" s="266">
        <v>36812</v>
      </c>
      <c r="Z57" s="130">
        <v>9.5</v>
      </c>
      <c r="AC57" s="135"/>
      <c r="AG57" s="130"/>
    </row>
    <row r="58" spans="1:33" x14ac:dyDescent="0.25">
      <c r="A58" s="266">
        <v>36815</v>
      </c>
      <c r="B58" s="130">
        <v>80</v>
      </c>
      <c r="C58" s="266">
        <v>36815</v>
      </c>
      <c r="D58" s="135">
        <v>1.5195000000000001</v>
      </c>
      <c r="E58" s="266">
        <v>36815</v>
      </c>
      <c r="F58" s="130">
        <v>85.6875</v>
      </c>
      <c r="G58" s="266">
        <v>36815</v>
      </c>
      <c r="H58" s="130">
        <v>46.5</v>
      </c>
      <c r="I58" s="266">
        <v>36815</v>
      </c>
      <c r="J58" s="130">
        <v>1.9414281013491281</v>
      </c>
      <c r="K58" s="266">
        <v>36815</v>
      </c>
      <c r="L58" s="130">
        <v>1.3951957880881869</v>
      </c>
      <c r="M58" s="266">
        <v>36815</v>
      </c>
      <c r="N58" s="130">
        <v>4.9000000000000002E-2</v>
      </c>
      <c r="O58" s="266">
        <v>36815</v>
      </c>
      <c r="P58" s="130">
        <v>8.4069172697627099</v>
      </c>
      <c r="Q58" s="266">
        <v>36815</v>
      </c>
      <c r="R58" s="130">
        <v>1.5772032038743855</v>
      </c>
      <c r="S58" s="266">
        <v>36815</v>
      </c>
      <c r="T58" s="130">
        <v>1.5772032038743857</v>
      </c>
      <c r="U58" s="266">
        <v>36815</v>
      </c>
      <c r="V58" s="130">
        <v>1.9743336623889436</v>
      </c>
      <c r="W58" s="266">
        <v>36815</v>
      </c>
      <c r="X58" s="130">
        <v>5.5625</v>
      </c>
      <c r="Y58" s="266">
        <v>36815</v>
      </c>
      <c r="Z58" s="130">
        <v>9.5</v>
      </c>
      <c r="AC58" s="135"/>
      <c r="AG58" s="130"/>
    </row>
    <row r="59" spans="1:33" x14ac:dyDescent="0.25">
      <c r="A59" s="266">
        <v>36816</v>
      </c>
      <c r="B59" s="130">
        <v>79.188000000000002</v>
      </c>
      <c r="C59" s="266">
        <v>36816</v>
      </c>
      <c r="D59" s="135">
        <v>1.5195000000000001</v>
      </c>
      <c r="E59" s="266">
        <v>36816</v>
      </c>
      <c r="F59" s="130">
        <v>80.25</v>
      </c>
      <c r="G59" s="266">
        <v>36816</v>
      </c>
      <c r="H59" s="130">
        <v>39.875</v>
      </c>
      <c r="I59" s="266">
        <v>36816</v>
      </c>
      <c r="J59" s="130">
        <v>1.9611714379730174</v>
      </c>
      <c r="K59" s="266">
        <v>36816</v>
      </c>
      <c r="L59" s="130">
        <v>1.3951957880881869</v>
      </c>
      <c r="M59" s="266">
        <v>36816</v>
      </c>
      <c r="N59" s="130">
        <v>0.05</v>
      </c>
      <c r="O59" s="266">
        <v>36816</v>
      </c>
      <c r="P59" s="130">
        <v>8.2744213351827067</v>
      </c>
      <c r="Q59" s="266">
        <v>36816</v>
      </c>
      <c r="R59" s="130">
        <v>1.4857963967467092</v>
      </c>
      <c r="S59" s="266">
        <v>36816</v>
      </c>
      <c r="T59" s="130">
        <v>1.4857963967467094</v>
      </c>
      <c r="U59" s="266">
        <v>36816</v>
      </c>
      <c r="V59" s="130">
        <v>2.0401447844685752</v>
      </c>
      <c r="W59" s="266">
        <v>36816</v>
      </c>
      <c r="X59" s="130">
        <v>5.75</v>
      </c>
      <c r="Y59" s="266">
        <v>36816</v>
      </c>
      <c r="Z59" s="130">
        <v>9.4375</v>
      </c>
      <c r="AC59" s="135"/>
      <c r="AG59" s="130"/>
    </row>
    <row r="60" spans="1:33" x14ac:dyDescent="0.25">
      <c r="A60" s="266">
        <v>36817</v>
      </c>
      <c r="B60" s="130">
        <v>78.75</v>
      </c>
      <c r="C60" s="266">
        <v>36817</v>
      </c>
      <c r="D60" s="135">
        <v>1.516</v>
      </c>
      <c r="E60" s="266">
        <v>36817</v>
      </c>
      <c r="F60" s="130">
        <v>72</v>
      </c>
      <c r="G60" s="266">
        <v>36817</v>
      </c>
      <c r="H60" s="130">
        <v>37.125</v>
      </c>
      <c r="I60" s="266">
        <v>36817</v>
      </c>
      <c r="J60" s="130">
        <v>1.9525065963060686</v>
      </c>
      <c r="K60" s="266">
        <v>36817</v>
      </c>
      <c r="L60" s="130">
        <v>1.3984168865435356</v>
      </c>
      <c r="M60" s="266">
        <v>36817</v>
      </c>
      <c r="N60" s="130">
        <v>5.5E-2</v>
      </c>
      <c r="O60" s="266">
        <v>36817</v>
      </c>
      <c r="P60" s="130">
        <v>7.727198456418864</v>
      </c>
      <c r="Q60" s="266">
        <v>36817</v>
      </c>
      <c r="R60" s="130">
        <v>1.914272745469241</v>
      </c>
      <c r="S60" s="266">
        <v>36817</v>
      </c>
      <c r="T60" s="130">
        <v>1.9142727454692414</v>
      </c>
      <c r="U60" s="266">
        <v>36817</v>
      </c>
      <c r="V60" s="130">
        <v>2.0448548812664908</v>
      </c>
      <c r="W60" s="266">
        <v>36817</v>
      </c>
      <c r="X60" s="130">
        <v>5.625</v>
      </c>
      <c r="Y60" s="266">
        <v>36817</v>
      </c>
      <c r="Z60" s="130">
        <v>8.875</v>
      </c>
      <c r="AC60" s="135"/>
      <c r="AG60" s="130"/>
    </row>
    <row r="61" spans="1:33" x14ac:dyDescent="0.25">
      <c r="A61" s="266">
        <v>36818</v>
      </c>
      <c r="B61" s="130">
        <v>79</v>
      </c>
      <c r="C61" s="266">
        <v>36818</v>
      </c>
      <c r="D61" s="135">
        <v>1.5112000000000001</v>
      </c>
      <c r="E61" s="266">
        <v>36818</v>
      </c>
      <c r="F61" s="130">
        <v>65.25</v>
      </c>
      <c r="G61" s="266">
        <v>36818</v>
      </c>
      <c r="H61" s="130">
        <v>39.3125</v>
      </c>
      <c r="I61" s="266">
        <v>36818</v>
      </c>
      <c r="J61" s="130">
        <v>1.9785600847008999</v>
      </c>
      <c r="K61" s="266">
        <v>36818</v>
      </c>
      <c r="L61" s="130">
        <v>1.4028586553732134</v>
      </c>
      <c r="M61" s="266">
        <v>36818</v>
      </c>
      <c r="N61" s="130">
        <v>5.6000000000000001E-2</v>
      </c>
      <c r="O61" s="266">
        <v>36818</v>
      </c>
      <c r="P61" s="130">
        <v>7.0021410904302002</v>
      </c>
      <c r="Q61" s="266">
        <v>36818</v>
      </c>
      <c r="R61" s="130">
        <v>1.9143657908125191</v>
      </c>
      <c r="S61" s="266">
        <v>36818</v>
      </c>
      <c r="T61" s="130">
        <v>1.9143657908125191</v>
      </c>
      <c r="U61" s="266">
        <v>36818</v>
      </c>
      <c r="V61" s="130">
        <v>2.0381154049761778</v>
      </c>
      <c r="W61" s="266">
        <v>36818</v>
      </c>
      <c r="X61" s="130">
        <v>5.625</v>
      </c>
      <c r="Y61" s="266">
        <v>36818</v>
      </c>
      <c r="Z61" s="130">
        <v>9.5</v>
      </c>
      <c r="AC61" s="135"/>
      <c r="AG61" s="130"/>
    </row>
    <row r="62" spans="1:33" x14ac:dyDescent="0.25">
      <c r="A62" s="266">
        <v>36819</v>
      </c>
      <c r="B62" s="130">
        <v>80.5</v>
      </c>
      <c r="C62" s="266">
        <v>36819</v>
      </c>
      <c r="D62" s="135">
        <v>1.5122</v>
      </c>
      <c r="E62" s="266">
        <v>36819</v>
      </c>
      <c r="F62" s="130">
        <v>67.25</v>
      </c>
      <c r="G62" s="266">
        <v>36819</v>
      </c>
      <c r="H62" s="130">
        <v>40.5</v>
      </c>
      <c r="I62" s="266">
        <v>36819</v>
      </c>
      <c r="J62" s="130">
        <v>1.977251686284883</v>
      </c>
      <c r="K62" s="266">
        <v>36819</v>
      </c>
      <c r="L62" s="130">
        <v>1.4019309615130275</v>
      </c>
      <c r="M62" s="266">
        <v>36819</v>
      </c>
      <c r="N62" s="130">
        <v>0.05</v>
      </c>
      <c r="O62" s="266">
        <v>36819</v>
      </c>
      <c r="P62" s="130">
        <v>7.0012013687012926</v>
      </c>
      <c r="Q62" s="266">
        <v>36819</v>
      </c>
      <c r="R62" s="130">
        <v>1.866036530615832</v>
      </c>
      <c r="S62" s="266">
        <v>36819</v>
      </c>
      <c r="T62" s="130">
        <v>1.8660365306158322</v>
      </c>
      <c r="U62" s="266">
        <v>36819</v>
      </c>
      <c r="V62" s="130">
        <v>2.1161222060573999</v>
      </c>
      <c r="W62" s="266">
        <v>36819</v>
      </c>
      <c r="X62" s="130">
        <v>5.5</v>
      </c>
      <c r="Y62" s="266">
        <v>36819</v>
      </c>
      <c r="Z62" s="130">
        <v>9.4375</v>
      </c>
      <c r="AC62" s="135"/>
      <c r="AG62" s="130"/>
    </row>
    <row r="63" spans="1:33" x14ac:dyDescent="0.25">
      <c r="A63" s="266">
        <v>36822</v>
      </c>
      <c r="B63" s="130">
        <v>82</v>
      </c>
      <c r="C63" s="266">
        <v>36822</v>
      </c>
      <c r="D63" s="135">
        <v>1.5085</v>
      </c>
      <c r="E63" s="266">
        <v>36822</v>
      </c>
      <c r="F63" s="130">
        <v>68</v>
      </c>
      <c r="G63" s="266">
        <v>36822</v>
      </c>
      <c r="H63" s="130">
        <v>39.625</v>
      </c>
      <c r="I63" s="266">
        <v>36822</v>
      </c>
      <c r="J63" s="130">
        <v>1.9622141199867418</v>
      </c>
      <c r="K63" s="266">
        <v>36822</v>
      </c>
      <c r="L63" s="130">
        <v>1.4119986741796486</v>
      </c>
      <c r="M63" s="266">
        <v>36822</v>
      </c>
      <c r="N63" s="130">
        <v>4.8000000000000001E-2</v>
      </c>
      <c r="O63" s="266">
        <v>36822</v>
      </c>
      <c r="P63" s="130">
        <v>6.5127779878785352</v>
      </c>
      <c r="Q63" s="266">
        <v>36822</v>
      </c>
      <c r="R63" s="130">
        <v>1.8775090855798073</v>
      </c>
      <c r="S63" s="266">
        <v>36822</v>
      </c>
      <c r="T63" s="130">
        <v>1.8775090855798078</v>
      </c>
      <c r="U63" s="266">
        <v>36822</v>
      </c>
      <c r="V63" s="130">
        <v>2.0550215445807094</v>
      </c>
      <c r="W63" s="266">
        <v>36822</v>
      </c>
      <c r="X63" s="130">
        <v>5.5</v>
      </c>
      <c r="Y63" s="266">
        <v>36822</v>
      </c>
      <c r="Z63" s="130">
        <v>9.4375</v>
      </c>
      <c r="AC63" s="135"/>
      <c r="AG63" s="130"/>
    </row>
    <row r="64" spans="1:33" x14ac:dyDescent="0.25">
      <c r="A64" s="266">
        <v>36823</v>
      </c>
      <c r="B64" s="130">
        <v>80.1875</v>
      </c>
      <c r="C64" s="266">
        <v>36823</v>
      </c>
      <c r="D64" s="135">
        <v>1.5129999999999999</v>
      </c>
      <c r="E64" s="266">
        <v>36823</v>
      </c>
      <c r="F64" s="130">
        <f>62.875</f>
        <v>62.875</v>
      </c>
      <c r="G64" s="266">
        <v>36823</v>
      </c>
      <c r="H64" s="130">
        <v>47.125</v>
      </c>
      <c r="I64" s="266">
        <v>36823</v>
      </c>
      <c r="J64" s="130">
        <v>1.9828155981493722</v>
      </c>
      <c r="K64" s="266">
        <v>36823</v>
      </c>
      <c r="L64" s="130">
        <v>1.4011896893588898</v>
      </c>
      <c r="M64" s="266">
        <v>36823</v>
      </c>
      <c r="N64" s="130">
        <v>4.4999999999999998E-2</v>
      </c>
      <c r="O64" s="266">
        <v>36823</v>
      </c>
      <c r="P64" s="130">
        <v>6.1555252791989608</v>
      </c>
      <c r="Q64" s="266">
        <v>36823</v>
      </c>
      <c r="R64" s="130">
        <v>1.745664627101829</v>
      </c>
      <c r="S64" s="266">
        <v>36823</v>
      </c>
      <c r="T64" s="130">
        <v>1.745664627101829</v>
      </c>
      <c r="U64" s="266">
        <v>36823</v>
      </c>
      <c r="V64" s="130">
        <v>2.1810971579643095</v>
      </c>
      <c r="W64" s="266">
        <v>36823</v>
      </c>
      <c r="X64" s="130">
        <v>5.78125</v>
      </c>
      <c r="Y64" s="266">
        <v>36823</v>
      </c>
      <c r="Z64" s="130">
        <v>9.125</v>
      </c>
      <c r="AC64" s="135"/>
      <c r="AG64" s="130"/>
    </row>
    <row r="65" spans="1:33" x14ac:dyDescent="0.25">
      <c r="A65" s="266">
        <v>36824</v>
      </c>
      <c r="B65" s="130">
        <v>76.125</v>
      </c>
      <c r="C65" s="266">
        <v>36824</v>
      </c>
      <c r="D65" s="135">
        <v>1.5185</v>
      </c>
      <c r="E65" s="266">
        <v>36824</v>
      </c>
      <c r="F65" s="130">
        <v>51.75</v>
      </c>
      <c r="G65" s="266">
        <v>36824</v>
      </c>
      <c r="H65" s="130">
        <v>41.875</v>
      </c>
      <c r="I65" s="266">
        <v>36824</v>
      </c>
      <c r="J65" s="130">
        <v>1.975633849193283</v>
      </c>
      <c r="K65" s="266">
        <v>36824</v>
      </c>
      <c r="L65" s="130">
        <v>1.4027000329272308</v>
      </c>
      <c r="M65" s="266">
        <v>36824</v>
      </c>
      <c r="N65" s="130">
        <v>4.4999999999999998E-2</v>
      </c>
      <c r="O65" s="266">
        <v>36824</v>
      </c>
      <c r="P65" s="130">
        <v>5.7438166854938686</v>
      </c>
      <c r="Q65" s="266">
        <v>36824</v>
      </c>
      <c r="R65" s="130">
        <v>1.9285620858106052</v>
      </c>
      <c r="S65" s="266">
        <v>36824</v>
      </c>
      <c r="T65" s="130">
        <v>1.9285620858106054</v>
      </c>
      <c r="U65" s="266">
        <v>36824</v>
      </c>
      <c r="V65" s="130">
        <v>2.2390516957523872</v>
      </c>
      <c r="W65" s="266">
        <v>36824</v>
      </c>
      <c r="X65" s="130">
        <v>5.5</v>
      </c>
      <c r="Y65" s="266">
        <v>36824</v>
      </c>
      <c r="Z65" s="130">
        <v>8.8125</v>
      </c>
      <c r="AC65" s="135"/>
      <c r="AG65" s="130"/>
    </row>
    <row r="66" spans="1:33" x14ac:dyDescent="0.25">
      <c r="A66" s="266">
        <v>36825</v>
      </c>
      <c r="B66" s="130">
        <v>77.5</v>
      </c>
      <c r="C66" s="266">
        <v>36825</v>
      </c>
      <c r="D66" s="135">
        <v>1.5235000000000001</v>
      </c>
      <c r="E66" s="266">
        <v>36825</v>
      </c>
      <c r="F66" s="130">
        <v>44.125</v>
      </c>
      <c r="G66" s="266">
        <v>36825</v>
      </c>
      <c r="H66" s="130">
        <v>41.9375</v>
      </c>
      <c r="I66" s="266">
        <v>36825</v>
      </c>
      <c r="J66" s="130">
        <v>1.9494584837545126</v>
      </c>
      <c r="K66" s="266">
        <v>36825</v>
      </c>
      <c r="L66" s="130">
        <v>1.3980964883491958</v>
      </c>
      <c r="M66" s="266">
        <v>36825</v>
      </c>
      <c r="N66" s="130">
        <v>7.015625</v>
      </c>
      <c r="O66" s="266">
        <v>36825</v>
      </c>
      <c r="P66" s="130">
        <v>6.1612067958923262</v>
      </c>
      <c r="Q66" s="266">
        <v>36825</v>
      </c>
      <c r="R66" s="130">
        <v>1.4756079801316007</v>
      </c>
      <c r="S66" s="266">
        <v>36825</v>
      </c>
      <c r="T66" s="130">
        <v>1.4756079801316011</v>
      </c>
      <c r="U66" s="266">
        <v>36825</v>
      </c>
      <c r="V66" s="130">
        <v>1.9691499835904167</v>
      </c>
      <c r="W66" s="266">
        <v>36825</v>
      </c>
      <c r="X66" s="130">
        <v>5.75</v>
      </c>
      <c r="Y66" s="266">
        <v>36825</v>
      </c>
      <c r="Z66" s="130">
        <v>8.375</v>
      </c>
      <c r="AC66" s="135"/>
      <c r="AG66" s="130"/>
    </row>
    <row r="67" spans="1:33" x14ac:dyDescent="0.25">
      <c r="A67" s="266">
        <v>36826</v>
      </c>
      <c r="B67" s="130">
        <v>78.875</v>
      </c>
      <c r="C67" s="266">
        <v>36826</v>
      </c>
      <c r="D67" s="135">
        <v>1.5289999999999999</v>
      </c>
      <c r="E67" s="266">
        <v>36826</v>
      </c>
      <c r="F67" s="130">
        <v>45.375</v>
      </c>
      <c r="G67" s="266">
        <v>36826</v>
      </c>
      <c r="H67" s="130">
        <v>40.5</v>
      </c>
      <c r="I67" s="266">
        <v>36826</v>
      </c>
      <c r="J67" s="130">
        <v>1.9620667102681493</v>
      </c>
      <c r="K67" s="266">
        <v>36826</v>
      </c>
      <c r="L67" s="130">
        <v>1.3930673642903859</v>
      </c>
      <c r="M67" s="266">
        <v>36826</v>
      </c>
      <c r="N67" s="130">
        <v>7.125</v>
      </c>
      <c r="O67" s="266">
        <v>36826</v>
      </c>
      <c r="P67" s="130">
        <v>6.6447488453282126</v>
      </c>
      <c r="Q67" s="266">
        <v>36826</v>
      </c>
      <c r="R67" s="130">
        <v>1.3597452474216862</v>
      </c>
      <c r="S67" s="266">
        <v>36826</v>
      </c>
      <c r="T67" s="130">
        <v>1.3597452474216865</v>
      </c>
      <c r="U67" s="266">
        <v>36826</v>
      </c>
      <c r="V67" s="130">
        <v>2.0928711576193595</v>
      </c>
      <c r="W67" s="266">
        <v>36826</v>
      </c>
      <c r="X67" s="130">
        <v>5.25</v>
      </c>
      <c r="Y67" s="266">
        <v>36826</v>
      </c>
      <c r="Z67" s="130">
        <v>7.875</v>
      </c>
      <c r="AC67" s="135"/>
      <c r="AG67" s="130"/>
    </row>
    <row r="68" spans="1:33" x14ac:dyDescent="0.25">
      <c r="A68" s="266">
        <v>36829</v>
      </c>
      <c r="B68" s="130">
        <v>80.688000000000002</v>
      </c>
      <c r="C68" s="266">
        <v>36829</v>
      </c>
      <c r="D68" s="135">
        <v>1.53</v>
      </c>
      <c r="E68" s="266">
        <v>36829</v>
      </c>
      <c r="F68" s="130">
        <v>40</v>
      </c>
      <c r="G68" s="266">
        <v>36829</v>
      </c>
      <c r="H68" s="130">
        <v>36</v>
      </c>
      <c r="I68" s="266">
        <v>36829</v>
      </c>
      <c r="J68" s="130">
        <v>1.9607843137254901</v>
      </c>
      <c r="K68" s="266">
        <v>36829</v>
      </c>
      <c r="L68" s="130">
        <v>1.392156862745098</v>
      </c>
      <c r="M68" s="266">
        <v>36829</v>
      </c>
      <c r="N68" s="130">
        <v>7.25</v>
      </c>
      <c r="O68" s="266">
        <v>36829</v>
      </c>
      <c r="P68" s="130">
        <v>6.5229353376158725</v>
      </c>
      <c r="Q68" s="266">
        <v>36829</v>
      </c>
      <c r="R68" s="130">
        <v>1.553353027912538</v>
      </c>
      <c r="S68" s="266">
        <v>36829</v>
      </c>
      <c r="T68" s="130">
        <v>1.5533530279125383</v>
      </c>
      <c r="U68" s="266">
        <v>36829</v>
      </c>
      <c r="V68" s="130">
        <v>2.0261437908496731</v>
      </c>
      <c r="W68" s="266">
        <v>36829</v>
      </c>
      <c r="X68" s="130">
        <v>5.25</v>
      </c>
      <c r="Y68" s="266">
        <v>36829</v>
      </c>
      <c r="Z68" s="130">
        <v>7.75</v>
      </c>
      <c r="AC68" s="135"/>
      <c r="AG68" s="130"/>
    </row>
    <row r="69" spans="1:33" x14ac:dyDescent="0.25">
      <c r="A69" s="266">
        <v>36830</v>
      </c>
      <c r="B69" s="130">
        <v>82.063000000000002</v>
      </c>
      <c r="C69" s="266">
        <v>36830</v>
      </c>
      <c r="D69" s="135">
        <v>1.5122952380952399</v>
      </c>
      <c r="E69" s="266">
        <v>36830</v>
      </c>
      <c r="F69" s="130">
        <v>43.375</v>
      </c>
      <c r="G69" s="266">
        <v>36830</v>
      </c>
      <c r="H69" s="130">
        <v>38.125</v>
      </c>
      <c r="I69" s="266">
        <v>36830</v>
      </c>
      <c r="J69" s="130">
        <v>1.9837396325988248</v>
      </c>
      <c r="K69" s="266">
        <v>36830</v>
      </c>
      <c r="L69" s="130">
        <v>1.4150676045871617</v>
      </c>
      <c r="M69" s="266">
        <v>36830</v>
      </c>
      <c r="N69" s="130">
        <v>7</v>
      </c>
      <c r="O69" s="266">
        <v>36830</v>
      </c>
      <c r="P69" s="130">
        <v>6.5224567535726283</v>
      </c>
      <c r="Q69" s="266">
        <v>36830</v>
      </c>
      <c r="R69" s="130">
        <v>1.8071015449845458</v>
      </c>
      <c r="S69" s="266">
        <v>36830</v>
      </c>
      <c r="T69" s="130">
        <v>1.807101544984546</v>
      </c>
      <c r="U69" s="266">
        <v>36830</v>
      </c>
      <c r="V69" s="130">
        <v>1.9837396325988248</v>
      </c>
      <c r="W69" s="266">
        <v>36830</v>
      </c>
      <c r="X69" s="130">
        <v>5.375</v>
      </c>
      <c r="Y69" s="266">
        <v>36830</v>
      </c>
      <c r="Z69" s="130">
        <v>7.75</v>
      </c>
      <c r="AC69" s="135"/>
      <c r="AG69" s="130"/>
    </row>
    <row r="70" spans="1:33" x14ac:dyDescent="0.25">
      <c r="A70" s="266">
        <v>36831</v>
      </c>
      <c r="B70" s="130">
        <v>83.25</v>
      </c>
      <c r="C70" s="266">
        <v>36831</v>
      </c>
      <c r="D70" s="135">
        <v>1.5331999999999999</v>
      </c>
      <c r="E70" s="266">
        <v>36831</v>
      </c>
      <c r="F70" s="130">
        <v>39.9375</v>
      </c>
      <c r="G70" s="266">
        <v>36831</v>
      </c>
      <c r="H70" s="130">
        <v>36.875</v>
      </c>
      <c r="I70" s="266">
        <v>36831</v>
      </c>
      <c r="J70" s="130">
        <v>1.9566918862509786</v>
      </c>
      <c r="K70" s="266">
        <v>36831</v>
      </c>
      <c r="L70" s="130">
        <v>1.4022958518132012</v>
      </c>
      <c r="M70" s="266">
        <v>36831</v>
      </c>
      <c r="N70" s="130">
        <v>7.125</v>
      </c>
      <c r="O70" s="266">
        <v>36831</v>
      </c>
      <c r="P70" s="130">
        <v>6.9994077297698452</v>
      </c>
      <c r="Q70" s="266">
        <v>36831</v>
      </c>
      <c r="R70" s="130">
        <v>1.7555417194104583</v>
      </c>
      <c r="S70" s="266">
        <v>36831</v>
      </c>
      <c r="T70" s="130">
        <v>1.7555417194104588</v>
      </c>
      <c r="U70" s="266">
        <v>36831</v>
      </c>
      <c r="V70" s="130">
        <v>1.8914688233759458</v>
      </c>
      <c r="W70" s="266">
        <v>36831</v>
      </c>
      <c r="X70" s="130">
        <v>5.875</v>
      </c>
      <c r="Y70" s="266">
        <v>36831</v>
      </c>
      <c r="Z70" s="130">
        <v>8.3125</v>
      </c>
      <c r="AC70" s="135"/>
      <c r="AG70" s="130"/>
    </row>
    <row r="71" spans="1:33" x14ac:dyDescent="0.25">
      <c r="A71" s="266">
        <v>36832</v>
      </c>
      <c r="B71" s="130">
        <v>81.75</v>
      </c>
      <c r="C71" s="266">
        <v>36832</v>
      </c>
      <c r="D71" s="135">
        <v>1.5309999999999999</v>
      </c>
      <c r="E71" s="266">
        <v>36832</v>
      </c>
      <c r="F71" s="130">
        <v>45.875</v>
      </c>
      <c r="G71" s="266">
        <v>36832</v>
      </c>
      <c r="H71" s="130">
        <v>33.875</v>
      </c>
      <c r="I71" s="266">
        <v>36832</v>
      </c>
      <c r="J71" s="130">
        <v>1.9595035924232529</v>
      </c>
      <c r="K71" s="266">
        <v>36832</v>
      </c>
      <c r="L71" s="130">
        <v>1.4043109079033311</v>
      </c>
      <c r="M71" s="266">
        <v>36832</v>
      </c>
      <c r="N71" s="130">
        <v>7</v>
      </c>
      <c r="O71" s="266">
        <v>36832</v>
      </c>
      <c r="P71" s="130">
        <v>6.997660747558375</v>
      </c>
      <c r="Q71" s="266">
        <v>36832</v>
      </c>
      <c r="R71" s="130">
        <v>1.6027809623899234</v>
      </c>
      <c r="S71" s="266">
        <v>36832</v>
      </c>
      <c r="T71" s="130">
        <v>1.6027809623899238</v>
      </c>
      <c r="U71" s="266">
        <v>36832</v>
      </c>
      <c r="V71" s="130">
        <v>1.8615284128020904</v>
      </c>
      <c r="W71" s="266">
        <v>36832</v>
      </c>
      <c r="X71" s="130">
        <v>5.625</v>
      </c>
      <c r="Y71" s="266">
        <v>36832</v>
      </c>
      <c r="Z71" s="130">
        <v>8.5625</v>
      </c>
      <c r="AC71" s="135"/>
      <c r="AG71" s="130"/>
    </row>
    <row r="72" spans="1:33" x14ac:dyDescent="0.25">
      <c r="A72" s="266">
        <v>36833</v>
      </c>
      <c r="B72" s="130">
        <v>77.375</v>
      </c>
      <c r="C72" s="266">
        <v>36833</v>
      </c>
      <c r="D72" s="135">
        <v>1.532</v>
      </c>
      <c r="E72" s="266">
        <v>36833</v>
      </c>
      <c r="F72" s="130">
        <v>50.5</v>
      </c>
      <c r="G72" s="266">
        <v>36833</v>
      </c>
      <c r="H72" s="130">
        <v>31</v>
      </c>
      <c r="I72" s="266">
        <v>36833</v>
      </c>
      <c r="J72" s="130">
        <v>1.95822454308094</v>
      </c>
      <c r="K72" s="266">
        <v>36833</v>
      </c>
      <c r="L72" s="130">
        <v>1.3968668407310705</v>
      </c>
      <c r="M72" s="266">
        <v>36833</v>
      </c>
      <c r="N72" s="130">
        <v>7.0625</v>
      </c>
      <c r="O72" s="266">
        <v>36833</v>
      </c>
      <c r="P72" s="130">
        <v>6.7048564566785398</v>
      </c>
      <c r="Q72" s="266">
        <v>36833</v>
      </c>
      <c r="R72" s="130">
        <v>1.8925239113689141</v>
      </c>
      <c r="S72" s="266">
        <v>36833</v>
      </c>
      <c r="T72" s="130">
        <v>1.8925239113689143</v>
      </c>
      <c r="U72" s="266">
        <v>36833</v>
      </c>
      <c r="V72" s="130">
        <v>1.95822454308094</v>
      </c>
      <c r="W72" s="266">
        <v>36833</v>
      </c>
      <c r="X72" s="130">
        <v>5.875</v>
      </c>
      <c r="Y72" s="266">
        <v>36833</v>
      </c>
      <c r="Z72" s="130">
        <v>9.5</v>
      </c>
      <c r="AC72" s="135"/>
      <c r="AG72" s="130"/>
    </row>
    <row r="73" spans="1:33" x14ac:dyDescent="0.25">
      <c r="A73" s="266">
        <v>36836</v>
      </c>
      <c r="B73" s="130">
        <v>81.563000000000002</v>
      </c>
      <c r="C73" s="266">
        <v>36836</v>
      </c>
      <c r="D73" s="135">
        <v>1.53</v>
      </c>
      <c r="E73" s="266">
        <v>36836</v>
      </c>
      <c r="F73" s="130">
        <v>45.125</v>
      </c>
      <c r="G73" s="266">
        <v>36836</v>
      </c>
      <c r="H73" s="130">
        <v>28.5</v>
      </c>
      <c r="I73" s="266">
        <v>36836</v>
      </c>
      <c r="J73" s="130">
        <v>1.9607843137254901</v>
      </c>
      <c r="K73" s="266">
        <v>36836</v>
      </c>
      <c r="L73" s="130">
        <v>1.34640522875817</v>
      </c>
      <c r="M73" s="266">
        <v>36836</v>
      </c>
      <c r="N73" s="130">
        <v>7</v>
      </c>
      <c r="O73" s="266">
        <v>36836</v>
      </c>
      <c r="P73" s="130">
        <v>7.4928186714348923</v>
      </c>
      <c r="Q73" s="266">
        <v>36836</v>
      </c>
      <c r="R73" s="130">
        <v>1.4437812769695648</v>
      </c>
      <c r="S73" s="266">
        <v>36836</v>
      </c>
      <c r="T73" s="130">
        <v>1.443781276969565</v>
      </c>
      <c r="U73" s="266">
        <v>36836</v>
      </c>
      <c r="V73" s="130">
        <v>2.0261437908496731</v>
      </c>
      <c r="W73" s="266">
        <v>36836</v>
      </c>
      <c r="X73" s="130">
        <v>5.875</v>
      </c>
      <c r="Y73" s="266">
        <v>36836</v>
      </c>
      <c r="Z73" s="130">
        <v>9</v>
      </c>
      <c r="AC73" s="135"/>
      <c r="AG73" s="130"/>
    </row>
    <row r="74" spans="1:33" x14ac:dyDescent="0.25">
      <c r="A74" s="266">
        <v>36837</v>
      </c>
      <c r="B74" s="130">
        <v>81.813000000000002</v>
      </c>
      <c r="C74" s="266">
        <v>36837</v>
      </c>
      <c r="D74" s="135">
        <v>1.5331999999999999</v>
      </c>
      <c r="E74" s="266">
        <v>36837</v>
      </c>
      <c r="F74" s="130">
        <v>47.6875</v>
      </c>
      <c r="G74" s="266">
        <v>36837</v>
      </c>
      <c r="H74" s="130">
        <v>27.4375</v>
      </c>
      <c r="I74" s="266">
        <v>36837</v>
      </c>
      <c r="J74" s="130">
        <v>1.9566918862509786</v>
      </c>
      <c r="K74" s="266">
        <v>36837</v>
      </c>
      <c r="L74" s="130">
        <v>1.369684320375685</v>
      </c>
      <c r="M74" s="266">
        <v>36837</v>
      </c>
      <c r="N74" s="130">
        <v>7.03125</v>
      </c>
      <c r="O74" s="266">
        <v>36837</v>
      </c>
      <c r="P74" s="130">
        <v>7.1287076732268897</v>
      </c>
      <c r="Q74" s="266">
        <v>36837</v>
      </c>
      <c r="R74" s="130">
        <v>1.583818345858016</v>
      </c>
      <c r="S74" s="266">
        <v>36837</v>
      </c>
      <c r="T74" s="130">
        <v>1.583818345858016</v>
      </c>
      <c r="U74" s="266">
        <v>36837</v>
      </c>
      <c r="V74" s="130">
        <v>1.9045134359509523</v>
      </c>
      <c r="W74" s="266">
        <v>36837</v>
      </c>
      <c r="X74" s="130">
        <v>5.875</v>
      </c>
      <c r="Y74" s="266">
        <v>36837</v>
      </c>
      <c r="Z74" s="130">
        <v>9.125</v>
      </c>
      <c r="AC74" s="135"/>
      <c r="AG74" s="130"/>
    </row>
    <row r="75" spans="1:33" x14ac:dyDescent="0.25">
      <c r="A75" s="266">
        <v>36838</v>
      </c>
      <c r="B75" s="130">
        <v>82.125</v>
      </c>
      <c r="C75" s="266">
        <v>36838</v>
      </c>
      <c r="D75" s="135">
        <v>1.54</v>
      </c>
      <c r="E75" s="266">
        <v>36838</v>
      </c>
      <c r="F75" s="130">
        <v>44.015625</v>
      </c>
      <c r="G75" s="266">
        <v>36838</v>
      </c>
      <c r="H75" s="130">
        <v>26</v>
      </c>
      <c r="I75" s="266">
        <v>36838</v>
      </c>
      <c r="J75" s="130">
        <v>1.948051948051948</v>
      </c>
      <c r="K75" s="266">
        <v>36838</v>
      </c>
      <c r="L75" s="130">
        <v>1.383116883116883</v>
      </c>
      <c r="M75" s="266">
        <v>36838</v>
      </c>
      <c r="N75" s="130">
        <v>7</v>
      </c>
      <c r="O75" s="266">
        <v>36838</v>
      </c>
      <c r="P75" s="130">
        <v>7.0071778604253341</v>
      </c>
      <c r="Q75" s="266">
        <v>36838</v>
      </c>
      <c r="R75" s="130">
        <v>1.7522777886635528</v>
      </c>
      <c r="S75" s="266">
        <v>36838</v>
      </c>
      <c r="T75" s="130">
        <v>1.7522777886635528</v>
      </c>
      <c r="U75" s="266">
        <v>36838</v>
      </c>
      <c r="V75" s="130">
        <v>2.0129870129870131</v>
      </c>
      <c r="W75" s="266">
        <v>36838</v>
      </c>
      <c r="X75" s="130">
        <v>5.65625</v>
      </c>
      <c r="Y75" s="266">
        <v>36838</v>
      </c>
      <c r="Z75" s="130">
        <v>9.25</v>
      </c>
      <c r="AC75" s="135"/>
      <c r="AG75" s="130"/>
    </row>
    <row r="76" spans="1:33" x14ac:dyDescent="0.25">
      <c r="A76" s="266">
        <v>36839</v>
      </c>
      <c r="B76" s="130">
        <v>82.938000000000002</v>
      </c>
      <c r="C76" s="266">
        <v>36839</v>
      </c>
      <c r="D76" s="135">
        <v>1.548</v>
      </c>
      <c r="E76" s="266">
        <v>36839</v>
      </c>
      <c r="F76" s="130">
        <v>44.875</v>
      </c>
      <c r="G76" s="266">
        <v>36839</v>
      </c>
      <c r="H76" s="130">
        <v>23.375</v>
      </c>
      <c r="I76" s="266">
        <v>36839</v>
      </c>
      <c r="J76" s="130">
        <v>1.9379844961240309</v>
      </c>
      <c r="K76" s="266">
        <v>36839</v>
      </c>
      <c r="L76" s="130">
        <v>1.363049095607235</v>
      </c>
      <c r="M76" s="266">
        <v>36839</v>
      </c>
      <c r="N76" s="130">
        <v>7.0625</v>
      </c>
      <c r="O76" s="266">
        <v>36839</v>
      </c>
      <c r="P76" s="130">
        <v>7.0065392882844399</v>
      </c>
      <c r="Q76" s="266">
        <v>36839</v>
      </c>
      <c r="R76" s="130">
        <v>1.7720101180633034</v>
      </c>
      <c r="S76" s="266">
        <v>36839</v>
      </c>
      <c r="T76" s="130">
        <v>1.7720101180633037</v>
      </c>
      <c r="U76" s="266">
        <v>36839</v>
      </c>
      <c r="V76" s="130">
        <v>1.905684754521964</v>
      </c>
      <c r="W76" s="266">
        <v>36839</v>
      </c>
      <c r="X76" s="130">
        <v>5.75</v>
      </c>
      <c r="Y76" s="266">
        <v>36839</v>
      </c>
      <c r="Z76" s="130">
        <v>8.8125</v>
      </c>
      <c r="AC76" s="135"/>
      <c r="AG76" s="130"/>
    </row>
    <row r="77" spans="1:33" x14ac:dyDescent="0.25">
      <c r="A77" s="266">
        <v>36840</v>
      </c>
      <c r="B77" s="130">
        <f>82+0.9375</f>
        <v>82.9375</v>
      </c>
      <c r="C77" s="266">
        <v>36840</v>
      </c>
      <c r="D77" s="135">
        <v>1.5411999999999999</v>
      </c>
      <c r="E77" s="266">
        <v>36840</v>
      </c>
      <c r="F77" s="130">
        <v>41.25</v>
      </c>
      <c r="G77" s="266">
        <v>36840</v>
      </c>
      <c r="H77" s="130">
        <v>20.5625</v>
      </c>
      <c r="I77" s="266">
        <v>36840</v>
      </c>
      <c r="J77" s="130">
        <f>+J76</f>
        <v>1.9379844961240309</v>
      </c>
      <c r="K77" s="266">
        <v>36840</v>
      </c>
      <c r="L77" s="130">
        <v>1.3885284194134442</v>
      </c>
      <c r="M77" s="266">
        <v>36840</v>
      </c>
      <c r="N77" s="130">
        <v>7</v>
      </c>
      <c r="O77" s="266">
        <v>36840</v>
      </c>
      <c r="P77" s="130">
        <v>6.756858773401679</v>
      </c>
      <c r="Q77" s="266">
        <v>36840</v>
      </c>
      <c r="R77" s="130">
        <v>1.7841097451449277</v>
      </c>
      <c r="S77" s="266">
        <v>36840</v>
      </c>
      <c r="T77" s="130">
        <v>1.7841097451449279</v>
      </c>
      <c r="U77" s="266">
        <v>36840</v>
      </c>
      <c r="V77" s="130">
        <v>1.9140929146119909</v>
      </c>
      <c r="W77" s="266">
        <v>36840</v>
      </c>
      <c r="X77" s="130">
        <v>5.75</v>
      </c>
      <c r="Y77" s="266">
        <v>36840</v>
      </c>
      <c r="Z77" s="130">
        <v>9.125</v>
      </c>
      <c r="AC77" s="135"/>
      <c r="AG77" s="130"/>
    </row>
    <row r="78" spans="1:33" x14ac:dyDescent="0.25">
      <c r="A78" s="266">
        <v>36843</v>
      </c>
      <c r="B78" s="130">
        <v>79.438000000000002</v>
      </c>
      <c r="C78" s="266">
        <v>36843</v>
      </c>
      <c r="D78" s="135">
        <v>1.5429999999999999</v>
      </c>
      <c r="E78" s="266">
        <v>36843</v>
      </c>
      <c r="F78" s="130">
        <v>39.6875</v>
      </c>
      <c r="G78" s="266">
        <v>36843</v>
      </c>
      <c r="H78" s="130">
        <v>20</v>
      </c>
      <c r="I78" s="266">
        <v>36843</v>
      </c>
      <c r="J78" s="130">
        <f>+J77</f>
        <v>1.9379844961240309</v>
      </c>
      <c r="K78" s="266">
        <v>36843</v>
      </c>
      <c r="L78" s="130">
        <v>1.386908619572262</v>
      </c>
      <c r="M78" s="266">
        <v>36843</v>
      </c>
      <c r="N78" s="130">
        <v>7.0625</v>
      </c>
      <c r="O78" s="266">
        <v>36843</v>
      </c>
      <c r="P78" s="130">
        <v>6.8717659724566627</v>
      </c>
      <c r="Q78" s="266">
        <v>36843</v>
      </c>
      <c r="R78" s="130">
        <v>1.6451220710228229</v>
      </c>
      <c r="S78" s="266">
        <v>36843</v>
      </c>
      <c r="T78" s="130">
        <v>1.6451220710228232</v>
      </c>
      <c r="U78" s="266">
        <v>36843</v>
      </c>
      <c r="V78" s="130">
        <v>1.879455605962411</v>
      </c>
      <c r="W78" s="266">
        <v>36843</v>
      </c>
      <c r="X78" s="130">
        <v>5.75</v>
      </c>
      <c r="Y78" s="266">
        <v>36843</v>
      </c>
      <c r="Z78" s="130">
        <v>8.8125</v>
      </c>
      <c r="AC78" s="135"/>
      <c r="AG78" s="130"/>
    </row>
    <row r="79" spans="1:33" x14ac:dyDescent="0.25">
      <c r="A79" s="266">
        <v>36844</v>
      </c>
      <c r="B79" s="130">
        <v>79.563000000000002</v>
      </c>
      <c r="C79" s="266">
        <v>36844</v>
      </c>
      <c r="D79" s="135">
        <v>1.5445</v>
      </c>
      <c r="E79" s="266">
        <v>36844</v>
      </c>
      <c r="F79" s="130">
        <v>43</v>
      </c>
      <c r="G79" s="266">
        <v>36844</v>
      </c>
      <c r="H79" s="130">
        <v>22.875</v>
      </c>
      <c r="I79" s="266">
        <v>36844</v>
      </c>
      <c r="J79" s="130">
        <v>1.9229524117837489</v>
      </c>
      <c r="K79" s="266">
        <v>36844</v>
      </c>
      <c r="L79" s="130">
        <v>1.3855616704435094</v>
      </c>
      <c r="M79" s="266">
        <v>36844</v>
      </c>
      <c r="N79" s="130">
        <v>7.0625</v>
      </c>
      <c r="O79" s="266">
        <v>36844</v>
      </c>
      <c r="P79" s="130">
        <v>6.9321352961034011</v>
      </c>
      <c r="Q79" s="266">
        <v>36844</v>
      </c>
      <c r="R79" s="130">
        <v>1.6868108532553008</v>
      </c>
      <c r="S79" s="266">
        <v>36844</v>
      </c>
      <c r="T79" s="130">
        <v>1.686810853255301</v>
      </c>
      <c r="U79" s="266">
        <v>36844</v>
      </c>
      <c r="V79" s="130">
        <v>1.8776303010683069</v>
      </c>
      <c r="W79" s="266">
        <v>36844</v>
      </c>
      <c r="X79" s="130">
        <v>5.3125</v>
      </c>
      <c r="Y79" s="266">
        <v>36844</v>
      </c>
      <c r="Z79" s="130">
        <v>8.875</v>
      </c>
      <c r="AC79" s="135"/>
      <c r="AG79" s="130"/>
    </row>
    <row r="80" spans="1:33" x14ac:dyDescent="0.25">
      <c r="A80" s="266">
        <v>36845</v>
      </c>
      <c r="B80" s="130">
        <v>80.375</v>
      </c>
      <c r="C80" s="266">
        <v>36845</v>
      </c>
      <c r="D80" s="135">
        <v>1.5529999999999999</v>
      </c>
      <c r="E80" s="266">
        <v>36845</v>
      </c>
      <c r="F80" s="130">
        <v>40.4375</v>
      </c>
      <c r="G80" s="266">
        <v>36845</v>
      </c>
      <c r="H80" s="130">
        <v>20.375</v>
      </c>
      <c r="I80" s="266">
        <v>36845</v>
      </c>
      <c r="J80" s="130">
        <v>1.9124275595621381</v>
      </c>
      <c r="K80" s="266">
        <v>36845</v>
      </c>
      <c r="L80" s="130">
        <v>1.3779781068898906</v>
      </c>
      <c r="M80" s="266">
        <v>36845</v>
      </c>
      <c r="N80" s="130">
        <v>7.0625</v>
      </c>
      <c r="O80" s="266">
        <v>36845</v>
      </c>
      <c r="P80" s="130">
        <v>7.2291544809746489</v>
      </c>
      <c r="Q80" s="266">
        <v>36845</v>
      </c>
      <c r="R80" s="130">
        <v>1.6600363531160085</v>
      </c>
      <c r="S80" s="266">
        <v>36845</v>
      </c>
      <c r="T80" s="130">
        <v>1.6600363531160087</v>
      </c>
      <c r="U80" s="266">
        <v>36845</v>
      </c>
      <c r="V80" s="130">
        <v>1.80296200901481</v>
      </c>
      <c r="W80" s="266">
        <v>36845</v>
      </c>
      <c r="X80" s="130">
        <v>5.5</v>
      </c>
      <c r="Y80" s="266">
        <v>36845</v>
      </c>
      <c r="Z80" s="130">
        <v>8.875</v>
      </c>
      <c r="AC80" s="135"/>
      <c r="AG80" s="130"/>
    </row>
    <row r="81" spans="1:33" x14ac:dyDescent="0.25">
      <c r="A81" s="266">
        <v>36846</v>
      </c>
      <c r="B81" s="130">
        <v>81.25</v>
      </c>
      <c r="C81" s="266">
        <v>36846</v>
      </c>
      <c r="D81" s="135">
        <v>1.554</v>
      </c>
      <c r="E81" s="266">
        <v>36846</v>
      </c>
      <c r="F81" s="130">
        <v>35.25</v>
      </c>
      <c r="G81" s="266">
        <v>36846</v>
      </c>
      <c r="H81" s="130">
        <v>20.25</v>
      </c>
      <c r="I81" s="266">
        <v>36846</v>
      </c>
      <c r="J81" s="130">
        <v>1.9111969111969114</v>
      </c>
      <c r="K81" s="266">
        <v>36846</v>
      </c>
      <c r="L81" s="130">
        <v>1.3770913770913771</v>
      </c>
      <c r="M81" s="266">
        <v>36846</v>
      </c>
      <c r="N81" s="130">
        <v>7.03125</v>
      </c>
      <c r="O81" s="266">
        <v>36846</v>
      </c>
      <c r="P81" s="130">
        <v>6.9821827945057411</v>
      </c>
      <c r="Q81" s="266">
        <v>36846</v>
      </c>
      <c r="R81" s="130">
        <v>1.6758606606245379</v>
      </c>
      <c r="S81" s="266">
        <v>36846</v>
      </c>
      <c r="T81" s="130">
        <v>1.6758606606245381</v>
      </c>
      <c r="U81" s="266">
        <v>36846</v>
      </c>
      <c r="V81" s="130">
        <v>1.8661518661518661</v>
      </c>
      <c r="W81" s="266">
        <v>36846</v>
      </c>
      <c r="X81" s="130">
        <v>5.40625</v>
      </c>
      <c r="Y81" s="266">
        <v>36846</v>
      </c>
      <c r="Z81" s="130">
        <v>9</v>
      </c>
      <c r="AC81" s="135"/>
      <c r="AG81" s="130"/>
    </row>
    <row r="82" spans="1:33" x14ac:dyDescent="0.25">
      <c r="A82" s="266">
        <v>36847</v>
      </c>
      <c r="B82" s="130">
        <v>81.5</v>
      </c>
      <c r="C82" s="266">
        <v>36847</v>
      </c>
      <c r="D82" s="135">
        <v>1.5585</v>
      </c>
      <c r="E82" s="266">
        <v>36847</v>
      </c>
      <c r="F82" s="130">
        <v>28.875</v>
      </c>
      <c r="G82" s="266">
        <v>36847</v>
      </c>
      <c r="H82" s="130">
        <v>18.6875</v>
      </c>
      <c r="I82" s="266">
        <v>36847</v>
      </c>
      <c r="J82" s="130">
        <v>1.9056785370548606</v>
      </c>
      <c r="K82" s="266">
        <v>36847</v>
      </c>
      <c r="L82" s="130">
        <v>1.37311517484761</v>
      </c>
      <c r="M82" s="266">
        <v>36847</v>
      </c>
      <c r="N82" s="130">
        <v>7.0625</v>
      </c>
      <c r="O82" s="266">
        <v>36847</v>
      </c>
      <c r="P82" s="130">
        <v>6.3820367416989185</v>
      </c>
      <c r="Q82" s="266">
        <v>36847</v>
      </c>
      <c r="R82" s="130">
        <v>1.6749590795986473</v>
      </c>
      <c r="S82" s="266">
        <v>36847</v>
      </c>
      <c r="T82" s="130">
        <v>1.6749590795986473</v>
      </c>
      <c r="U82" s="266">
        <v>36847</v>
      </c>
      <c r="V82" s="130">
        <v>1.8607635547000321</v>
      </c>
      <c r="W82" s="266">
        <v>36847</v>
      </c>
      <c r="X82" s="130">
        <v>5.6875</v>
      </c>
      <c r="Y82" s="266">
        <v>36847</v>
      </c>
      <c r="Z82" s="130">
        <v>9</v>
      </c>
      <c r="AC82" s="135"/>
      <c r="AG82" s="130"/>
    </row>
    <row r="83" spans="1:33" x14ac:dyDescent="0.25">
      <c r="A83" s="266">
        <v>36850</v>
      </c>
      <c r="B83" s="130">
        <v>80.25</v>
      </c>
      <c r="C83" s="266">
        <v>36850</v>
      </c>
      <c r="D83" s="135">
        <v>1.5575000000000001</v>
      </c>
      <c r="E83" s="266">
        <v>36850</v>
      </c>
      <c r="F83" s="130">
        <v>24.25</v>
      </c>
      <c r="G83" s="266">
        <v>36850</v>
      </c>
      <c r="H83" s="130">
        <v>18</v>
      </c>
      <c r="I83" s="266">
        <v>36850</v>
      </c>
      <c r="J83" s="130">
        <v>1.9069020866773676</v>
      </c>
      <c r="K83" s="266">
        <v>36850</v>
      </c>
      <c r="L83" s="130">
        <v>1.3739967897271268</v>
      </c>
      <c r="M83" s="266">
        <v>36850</v>
      </c>
      <c r="N83" s="130">
        <v>7.0625</v>
      </c>
      <c r="O83" s="266">
        <v>36850</v>
      </c>
      <c r="P83" s="130">
        <v>5.4251303331928877</v>
      </c>
      <c r="Q83" s="266">
        <v>36850</v>
      </c>
      <c r="R83" s="130">
        <v>1.5840936981110871</v>
      </c>
      <c r="S83" s="266">
        <v>36850</v>
      </c>
      <c r="T83" s="130">
        <v>1.5840936981110874</v>
      </c>
      <c r="U83" s="266">
        <v>36850</v>
      </c>
      <c r="V83" s="130">
        <v>1.9261637239165328</v>
      </c>
      <c r="W83" s="266">
        <v>36850</v>
      </c>
      <c r="X83" s="130">
        <v>5.6875</v>
      </c>
      <c r="Y83" s="266">
        <v>36850</v>
      </c>
      <c r="Z83" s="130">
        <v>8.625</v>
      </c>
      <c r="AC83" s="135"/>
      <c r="AG83" s="130"/>
    </row>
    <row r="258" ht="14.25" customHeight="1" x14ac:dyDescent="0.25"/>
    <row r="375" spans="1:33" x14ac:dyDescent="0.25">
      <c r="A375" s="1" t="s">
        <v>183</v>
      </c>
      <c r="C375" s="266" t="s">
        <v>183</v>
      </c>
      <c r="E375" s="266" t="s">
        <v>183</v>
      </c>
      <c r="G375" s="266" t="s">
        <v>183</v>
      </c>
      <c r="I375" s="266" t="s">
        <v>183</v>
      </c>
      <c r="K375" s="266" t="s">
        <v>183</v>
      </c>
      <c r="M375" s="266" t="s">
        <v>183</v>
      </c>
      <c r="O375" s="266" t="s">
        <v>183</v>
      </c>
      <c r="Q375" s="266" t="s">
        <v>183</v>
      </c>
      <c r="U375" s="266" t="s">
        <v>183</v>
      </c>
      <c r="W375" s="266" t="s">
        <v>183</v>
      </c>
      <c r="Y375" s="266" t="s">
        <v>183</v>
      </c>
    </row>
    <row r="377" spans="1:33" x14ac:dyDescent="0.25">
      <c r="A377" s="266">
        <f>+E377</f>
        <v>36850</v>
      </c>
      <c r="C377" s="266">
        <f>+E377</f>
        <v>36850</v>
      </c>
      <c r="E377" s="266">
        <f>+'MRP Raptor'!$U$3</f>
        <v>36850</v>
      </c>
      <c r="F377" s="130">
        <f>INDEX([0]!MPRR, MATCH("Avici EBS Raptor I",'MRP Raptor'!$E$3:$E$140,), MATCH("Per Share",'MRP Raptor'!$E$3:$CM$3,))</f>
        <v>24.25</v>
      </c>
      <c r="G377" s="266">
        <f>+'MRP Raptor'!$U$3</f>
        <v>36850</v>
      </c>
      <c r="H377" s="130">
        <f>INDEX([0]!MPRR, MATCH("Active Power Raptor I",'MRP Raptor'!$E$3:$E$140,), MATCH("Per Share",'MRP Raptor'!$E$3:$CM$3,))</f>
        <v>18</v>
      </c>
      <c r="I377" s="266">
        <f>+'MRP Raptor'!$U$3</f>
        <v>36850</v>
      </c>
      <c r="J377" s="130">
        <f>INDEX([0]!MPRR, MATCH("Place Resources Common Raptor I",'MRP Raptor'!$E$3:$E$140,), MATCH("Per Share",'MRP Raptor'!$E$3:$CM$3,))</f>
        <v>1.9069020866773676</v>
      </c>
      <c r="K377" s="266">
        <f>+'MRP Raptor'!$U$3</f>
        <v>36850</v>
      </c>
      <c r="L377" s="130">
        <f>INDEX([0]!MPRR, MATCH("Beau Canada Common Raptor I",'MRP Raptor'!$E$3:$E$140,), MATCH("Per Share",'MRP Raptor'!$E$3:$CM$3,))</f>
        <v>1.3739967897271268</v>
      </c>
      <c r="M377" s="266">
        <f>+'MRP Raptor'!$U$3</f>
        <v>36850</v>
      </c>
      <c r="N377" s="130">
        <f>INDEX([0]!MPRR, MATCH("DevX Energy Common Raptor I",'MRP Raptor'!$E$3:$E$140,), MATCH("Per Share",'MRP Raptor'!$E$3:$CM$3,))</f>
        <v>7.0625</v>
      </c>
      <c r="O377" s="266">
        <f>+'MRP Raptor'!$U$3</f>
        <v>36850</v>
      </c>
      <c r="P377" s="130">
        <f>INDEX([0]!MPRR, MATCH("Carrizo Warrants Raptor I",'MRP Raptor'!$E$3:$E$140,), MATCH("Per Share",'MRP Raptor'!$E$3:$CM$3,))</f>
        <v>5.4251303331928877</v>
      </c>
      <c r="Q377" s="266">
        <f>+'MRP Raptor'!$U$3</f>
        <v>36850</v>
      </c>
      <c r="R377" s="130">
        <f>INDEX([0]!MPRR, MATCH("3TEC Warrants Raptor I",'MRP Raptor'!$E$3:$E$140,), MATCH("Per Share",'MRP Raptor'!$E$3:$CM$3,))</f>
        <v>1.5840936981110871</v>
      </c>
      <c r="S377" s="266">
        <f>+'MRP Raptor'!$U$3</f>
        <v>36850</v>
      </c>
      <c r="T377" s="130">
        <f>INDEX([0]!MPRR, MATCH("3TEC Warrants EGF Raptor I",'MRP Raptor'!$E$3:$E$140,), MATCH("Per Share",'MRP Raptor'!$E$3:$CM$3,))</f>
        <v>1.5840936981110874</v>
      </c>
      <c r="U377" s="266">
        <f>+'MRP Raptor'!$U$3</f>
        <v>36850</v>
      </c>
      <c r="V377" s="130">
        <f>INDEX([0]!MPRR, MATCH("Bonus Resources Common Raptor I",'MRP Raptor'!$E$3:$E$140,), MATCH("Per Share",'MRP Raptor'!$E$3:$CM$3,))</f>
        <v>1.9261637239165328</v>
      </c>
      <c r="W377" s="266">
        <f>+'MRP Raptor'!$U$3</f>
        <v>36850</v>
      </c>
      <c r="X377" s="130">
        <f>INDEX([0]!MPRR, MATCH("Paradigm Common Raptor I",'MRP Raptor'!$E$3:$E$140,), MATCH("Per Share",'MRP Raptor'!$E$3:$CM$3,))</f>
        <v>5.6875</v>
      </c>
      <c r="Y377" s="266">
        <f>+'MRP Raptor'!$U$3</f>
        <v>36850</v>
      </c>
      <c r="Z377" s="130">
        <f>INDEX([0]!MPRR, MATCH("Quicksilver Common Raptor I",'MRP Raptor'!$E$3:$E$140,), MATCH("Per Share",'MRP Raptor'!$E$3:$CM$3,))</f>
        <v>8.625</v>
      </c>
      <c r="AC377" s="135"/>
      <c r="AG377" s="130"/>
    </row>
    <row r="378" spans="1:33" x14ac:dyDescent="0.25">
      <c r="B378"/>
      <c r="D378"/>
      <c r="F378"/>
      <c r="H378"/>
      <c r="J378"/>
      <c r="L378"/>
      <c r="N378"/>
      <c r="P378"/>
      <c r="R378"/>
      <c r="S378" s="266"/>
      <c r="T378"/>
      <c r="V378"/>
      <c r="X378"/>
      <c r="Z378"/>
    </row>
    <row r="379" spans="1:33" x14ac:dyDescent="0.25">
      <c r="B379"/>
      <c r="D379"/>
      <c r="F379"/>
      <c r="H379"/>
      <c r="J379"/>
      <c r="L379"/>
      <c r="N379"/>
      <c r="P379"/>
      <c r="R379"/>
      <c r="S379" s="266"/>
      <c r="T379"/>
      <c r="V379"/>
      <c r="X379"/>
      <c r="Z379"/>
    </row>
    <row r="380" spans="1:33" x14ac:dyDescent="0.25">
      <c r="B380"/>
      <c r="D380"/>
      <c r="F380"/>
      <c r="H380"/>
      <c r="J380"/>
      <c r="L380"/>
      <c r="N380"/>
      <c r="P380"/>
      <c r="R380"/>
      <c r="S380" s="266"/>
      <c r="T380"/>
      <c r="V380"/>
      <c r="X380"/>
      <c r="Z380"/>
    </row>
    <row r="381" spans="1:33" x14ac:dyDescent="0.25">
      <c r="B381"/>
      <c r="D381"/>
      <c r="F381"/>
      <c r="H381"/>
      <c r="J381"/>
      <c r="L381"/>
      <c r="N381"/>
      <c r="P381"/>
      <c r="R381"/>
      <c r="S381" s="266"/>
      <c r="T381"/>
      <c r="V381"/>
      <c r="X381"/>
      <c r="Z381"/>
    </row>
    <row r="382" spans="1:33" x14ac:dyDescent="0.25">
      <c r="B382"/>
      <c r="D382"/>
      <c r="F382"/>
      <c r="H382"/>
      <c r="J382"/>
      <c r="L382"/>
      <c r="N382"/>
      <c r="P382"/>
      <c r="R382"/>
      <c r="S382" s="266"/>
      <c r="T382"/>
      <c r="V382"/>
      <c r="X382"/>
      <c r="Z382"/>
    </row>
    <row r="383" spans="1:33" x14ac:dyDescent="0.25">
      <c r="B383"/>
      <c r="D383"/>
      <c r="F383"/>
      <c r="H383"/>
      <c r="J383"/>
      <c r="L383"/>
      <c r="N383"/>
      <c r="P383"/>
      <c r="R383"/>
      <c r="S383" s="266"/>
      <c r="T383"/>
      <c r="V383"/>
      <c r="X383"/>
      <c r="Z383"/>
    </row>
    <row r="384" spans="1:33" x14ac:dyDescent="0.25">
      <c r="B384"/>
      <c r="D384"/>
      <c r="F384"/>
      <c r="H384"/>
      <c r="J384"/>
      <c r="L384"/>
      <c r="N384"/>
      <c r="P384"/>
      <c r="R384"/>
      <c r="S384" s="266"/>
      <c r="T384"/>
      <c r="V384"/>
      <c r="X384"/>
      <c r="Z384"/>
    </row>
    <row r="385" spans="2:26" x14ac:dyDescent="0.25">
      <c r="B385"/>
      <c r="D385"/>
      <c r="F385"/>
      <c r="H385"/>
      <c r="J385"/>
      <c r="L385"/>
      <c r="N385"/>
      <c r="P385"/>
      <c r="R385"/>
      <c r="S385" s="266"/>
      <c r="T385"/>
      <c r="V385"/>
      <c r="X385"/>
      <c r="Z385"/>
    </row>
    <row r="386" spans="2:26" x14ac:dyDescent="0.25">
      <c r="B386"/>
      <c r="D386"/>
      <c r="F386"/>
      <c r="H386"/>
      <c r="J386"/>
      <c r="L386"/>
      <c r="N386"/>
      <c r="P386"/>
      <c r="R386"/>
      <c r="S386" s="266"/>
      <c r="T386"/>
      <c r="V386"/>
      <c r="X386"/>
      <c r="Z386"/>
    </row>
    <row r="387" spans="2:26" x14ac:dyDescent="0.25">
      <c r="B387"/>
      <c r="D387"/>
      <c r="F387"/>
      <c r="H387"/>
      <c r="J387"/>
      <c r="L387"/>
      <c r="N387"/>
      <c r="P387"/>
      <c r="R387"/>
      <c r="S387" s="266"/>
      <c r="T387"/>
      <c r="V387"/>
      <c r="X387"/>
      <c r="Z387"/>
    </row>
    <row r="388" spans="2:26" x14ac:dyDescent="0.25">
      <c r="B388"/>
      <c r="D388"/>
      <c r="F388"/>
      <c r="H388"/>
      <c r="J388"/>
      <c r="L388"/>
      <c r="N388"/>
      <c r="P388"/>
      <c r="R388"/>
      <c r="S388" s="266"/>
      <c r="T388"/>
      <c r="V388"/>
      <c r="X388"/>
      <c r="Z388"/>
    </row>
    <row r="389" spans="2:26" x14ac:dyDescent="0.25">
      <c r="B389"/>
      <c r="D389"/>
      <c r="F389"/>
      <c r="H389"/>
      <c r="J389"/>
      <c r="L389"/>
      <c r="N389"/>
      <c r="P389"/>
      <c r="R389"/>
      <c r="S389" s="266"/>
      <c r="T389"/>
      <c r="V389"/>
      <c r="X389"/>
      <c r="Z389"/>
    </row>
    <row r="390" spans="2:26" x14ac:dyDescent="0.25">
      <c r="B390"/>
      <c r="D390"/>
      <c r="F390"/>
      <c r="H390"/>
      <c r="J390"/>
      <c r="L390"/>
      <c r="N390"/>
      <c r="P390"/>
      <c r="R390"/>
      <c r="S390" s="266"/>
      <c r="T390"/>
      <c r="V390"/>
      <c r="X390"/>
      <c r="Z390"/>
    </row>
    <row r="391" spans="2:26" x14ac:dyDescent="0.25">
      <c r="B391"/>
      <c r="D391"/>
      <c r="F391"/>
      <c r="H391"/>
      <c r="J391"/>
      <c r="L391"/>
      <c r="N391"/>
      <c r="P391"/>
      <c r="R391"/>
      <c r="S391" s="266"/>
      <c r="T391"/>
      <c r="V391"/>
      <c r="X391"/>
      <c r="Z391"/>
    </row>
    <row r="392" spans="2:26" x14ac:dyDescent="0.25">
      <c r="B392"/>
      <c r="D392"/>
      <c r="F392"/>
      <c r="H392"/>
      <c r="J392"/>
      <c r="L392"/>
      <c r="N392"/>
      <c r="P392"/>
      <c r="R392"/>
      <c r="S392" s="266"/>
      <c r="T392"/>
      <c r="V392"/>
      <c r="X392"/>
      <c r="Z392"/>
    </row>
    <row r="393" spans="2:26" x14ac:dyDescent="0.25">
      <c r="B393"/>
      <c r="D393"/>
      <c r="F393"/>
      <c r="H393"/>
      <c r="J393"/>
      <c r="L393"/>
      <c r="N393"/>
      <c r="P393"/>
      <c r="R393"/>
      <c r="S393" s="266"/>
      <c r="T393"/>
      <c r="V393"/>
      <c r="X393"/>
      <c r="Z393"/>
    </row>
    <row r="394" spans="2:26" x14ac:dyDescent="0.25">
      <c r="B394"/>
      <c r="D394"/>
      <c r="F394"/>
      <c r="H394"/>
      <c r="J394"/>
      <c r="L394"/>
      <c r="N394"/>
      <c r="P394"/>
      <c r="R394"/>
      <c r="S394" s="266"/>
      <c r="T394"/>
      <c r="V394"/>
      <c r="X394"/>
      <c r="Z394"/>
    </row>
    <row r="395" spans="2:26" x14ac:dyDescent="0.25">
      <c r="B395"/>
      <c r="D395"/>
      <c r="F395"/>
      <c r="H395"/>
      <c r="J395"/>
      <c r="L395"/>
      <c r="N395"/>
      <c r="P395"/>
      <c r="R395"/>
      <c r="S395" s="266"/>
      <c r="T395"/>
      <c r="V395"/>
      <c r="X395"/>
      <c r="Z395"/>
    </row>
    <row r="396" spans="2:26" x14ac:dyDescent="0.25">
      <c r="B396"/>
      <c r="D396"/>
      <c r="F396"/>
      <c r="H396"/>
      <c r="J396"/>
      <c r="L396"/>
      <c r="N396"/>
      <c r="P396"/>
      <c r="R396"/>
      <c r="S396" s="266"/>
      <c r="T396"/>
      <c r="V396"/>
      <c r="X396"/>
      <c r="Z396"/>
    </row>
    <row r="397" spans="2:26" x14ac:dyDescent="0.25">
      <c r="B397"/>
      <c r="D397"/>
      <c r="F397"/>
      <c r="H397"/>
      <c r="J397"/>
      <c r="L397"/>
      <c r="N397"/>
      <c r="P397"/>
      <c r="R397"/>
      <c r="S397" s="266"/>
      <c r="T397"/>
      <c r="V397"/>
      <c r="X397"/>
      <c r="Z397"/>
    </row>
    <row r="398" spans="2:26" x14ac:dyDescent="0.25">
      <c r="B398"/>
      <c r="D398"/>
      <c r="F398"/>
      <c r="H398"/>
      <c r="J398"/>
      <c r="L398"/>
      <c r="N398"/>
      <c r="P398"/>
      <c r="R398"/>
      <c r="S398" s="266"/>
      <c r="T398"/>
      <c r="V398"/>
      <c r="X398"/>
      <c r="Z398"/>
    </row>
    <row r="399" spans="2:26" x14ac:dyDescent="0.25">
      <c r="B399"/>
      <c r="D399"/>
      <c r="F399"/>
      <c r="H399"/>
      <c r="J399"/>
      <c r="L399"/>
      <c r="N399"/>
      <c r="P399"/>
      <c r="R399"/>
      <c r="S399" s="266"/>
      <c r="T399"/>
      <c r="V399"/>
      <c r="X399"/>
      <c r="Z399"/>
    </row>
    <row r="400" spans="2:26" x14ac:dyDescent="0.25">
      <c r="B400"/>
      <c r="D400"/>
      <c r="F400"/>
      <c r="H400"/>
      <c r="J400"/>
      <c r="L400"/>
      <c r="N400"/>
      <c r="P400"/>
      <c r="R400"/>
      <c r="S400" s="266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R401"/>
      <c r="S401" s="266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R402"/>
      <c r="S402" s="266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R403"/>
      <c r="S403" s="266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R404"/>
      <c r="S404" s="266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R405"/>
      <c r="S405" s="266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R406"/>
      <c r="S406" s="26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R407"/>
      <c r="S407" s="266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R408"/>
      <c r="S408" s="266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R409"/>
      <c r="S409" s="266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R410"/>
      <c r="S410" s="266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R411"/>
      <c r="S411" s="266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R412"/>
      <c r="S412" s="266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R413"/>
      <c r="S413" s="266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R414"/>
      <c r="S414" s="266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R415"/>
      <c r="S415" s="266"/>
      <c r="T415"/>
      <c r="V415"/>
      <c r="X415"/>
      <c r="Z415"/>
    </row>
    <row r="416" spans="2:26" x14ac:dyDescent="0.25">
      <c r="B416"/>
      <c r="D416"/>
      <c r="F416"/>
      <c r="H416"/>
      <c r="J416"/>
      <c r="L416"/>
      <c r="N416"/>
      <c r="P416"/>
      <c r="R416"/>
      <c r="S416" s="266"/>
      <c r="T416"/>
      <c r="V416"/>
      <c r="X416"/>
      <c r="Z416"/>
    </row>
    <row r="417" spans="2:26" x14ac:dyDescent="0.25">
      <c r="B417"/>
      <c r="D417"/>
      <c r="F417"/>
      <c r="H417"/>
      <c r="J417"/>
      <c r="L417"/>
      <c r="N417"/>
      <c r="P417"/>
      <c r="R417"/>
      <c r="S417" s="266"/>
      <c r="T417"/>
      <c r="V417"/>
      <c r="X417"/>
      <c r="Z417"/>
    </row>
    <row r="418" spans="2:26" x14ac:dyDescent="0.25">
      <c r="B418"/>
      <c r="D418"/>
      <c r="F418"/>
      <c r="H418"/>
      <c r="J418"/>
      <c r="L418"/>
      <c r="N418"/>
      <c r="P418"/>
      <c r="R418"/>
      <c r="S418" s="266"/>
      <c r="T418"/>
      <c r="V418"/>
      <c r="X418"/>
      <c r="Z418"/>
    </row>
  </sheetData>
  <mergeCells count="16">
    <mergeCell ref="AF3:AG3"/>
    <mergeCell ref="A3:B3"/>
    <mergeCell ref="E3:F3"/>
    <mergeCell ref="G3:H3"/>
    <mergeCell ref="I3:J3"/>
    <mergeCell ref="K3:L3"/>
    <mergeCell ref="M3:N3"/>
    <mergeCell ref="O3:P3"/>
    <mergeCell ref="AD3:AE3"/>
    <mergeCell ref="W3:X3"/>
    <mergeCell ref="AB3:AC3"/>
    <mergeCell ref="S3:T3"/>
    <mergeCell ref="Y3:Z3"/>
    <mergeCell ref="C3:D3"/>
    <mergeCell ref="Q3:R3"/>
    <mergeCell ref="U3:V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5"/>
  <sheetViews>
    <sheetView topLeftCell="A81" workbookViewId="0">
      <selection activeCell="A82" sqref="A82:IV82"/>
    </sheetView>
  </sheetViews>
  <sheetFormatPr defaultRowHeight="15.75" x14ac:dyDescent="0.25"/>
  <cols>
    <col min="1" max="1" width="8.75" style="266" customWidth="1"/>
    <col min="2" max="2" width="11.125" style="130" bestFit="1" customWidth="1"/>
    <col min="3" max="3" width="11.25" bestFit="1" customWidth="1"/>
    <col min="4" max="4" width="11.125" style="130" bestFit="1" customWidth="1"/>
    <col min="5" max="5" width="11.75" bestFit="1" customWidth="1"/>
    <col min="6" max="6" width="12.25" style="130" bestFit="1" customWidth="1"/>
    <col min="7" max="7" width="13.25" bestFit="1" customWidth="1"/>
    <col min="8" max="8" width="11.25" style="130" bestFit="1" customWidth="1"/>
    <col min="9" max="9" width="12.25" bestFit="1" customWidth="1"/>
    <col min="10" max="10" width="11.25" style="133" bestFit="1" customWidth="1"/>
    <col min="11" max="11" width="12.25" bestFit="1" customWidth="1"/>
    <col min="12" max="12" width="12.25" style="130" bestFit="1" customWidth="1"/>
    <col min="13" max="13" width="11.25" bestFit="1" customWidth="1"/>
    <col min="14" max="14" width="11.25" style="130" bestFit="1" customWidth="1"/>
    <col min="15" max="15" width="11.25" bestFit="1" customWidth="1"/>
    <col min="16" max="16" width="9.75" style="130" bestFit="1" customWidth="1"/>
    <col min="17" max="17" width="12.25" style="130" bestFit="1" customWidth="1"/>
    <col min="18" max="18" width="11.25" style="130" bestFit="1" customWidth="1"/>
    <col min="19" max="19" width="11.25" bestFit="1" customWidth="1"/>
    <col min="20" max="20" width="12.25" style="131" bestFit="1" customWidth="1"/>
    <col min="21" max="21" width="11.25" bestFit="1" customWidth="1"/>
    <col min="22" max="22" width="11.75" style="130" bestFit="1" customWidth="1"/>
    <col min="23" max="23" width="11.25" bestFit="1" customWidth="1"/>
    <col min="24" max="24" width="11.25" style="130" bestFit="1" customWidth="1"/>
    <col min="25" max="25" width="11.25" bestFit="1" customWidth="1"/>
    <col min="26" max="26" width="11.25" style="130" bestFit="1" customWidth="1"/>
    <col min="27" max="28" width="11.25" bestFit="1" customWidth="1"/>
    <col min="29" max="29" width="13.25" bestFit="1" customWidth="1"/>
    <col min="30" max="30" width="11.25" bestFit="1" customWidth="1"/>
    <col min="31" max="31" width="12.25" bestFit="1" customWidth="1"/>
    <col min="32" max="32" width="11.25" bestFit="1" customWidth="1"/>
    <col min="33" max="33" width="12.25" bestFit="1" customWidth="1"/>
    <col min="34" max="34" width="12.75" bestFit="1" customWidth="1"/>
  </cols>
  <sheetData>
    <row r="1" spans="1:35" x14ac:dyDescent="0.25">
      <c r="A1" s="263" t="s">
        <v>162</v>
      </c>
      <c r="B1" s="126"/>
      <c r="C1" s="2"/>
      <c r="D1" s="129"/>
    </row>
    <row r="2" spans="1:35" s="103" customFormat="1" x14ac:dyDescent="0.25">
      <c r="A2" s="264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  <c r="AH2" s="103">
        <v>34</v>
      </c>
    </row>
    <row r="3" spans="1:35" s="236" customFormat="1" ht="47.25" x14ac:dyDescent="0.25">
      <c r="A3" s="265" t="s">
        <v>1</v>
      </c>
      <c r="B3" s="234" t="s">
        <v>534</v>
      </c>
      <c r="C3" s="235" t="s">
        <v>239</v>
      </c>
      <c r="D3" s="235" t="s">
        <v>504</v>
      </c>
      <c r="E3" s="235" t="s">
        <v>240</v>
      </c>
      <c r="F3" s="235" t="s">
        <v>241</v>
      </c>
      <c r="G3" s="235" t="s">
        <v>187</v>
      </c>
      <c r="H3" s="235" t="s">
        <v>242</v>
      </c>
      <c r="I3" s="236" t="s">
        <v>530</v>
      </c>
      <c r="J3" s="235" t="s">
        <v>243</v>
      </c>
      <c r="K3" s="235" t="s">
        <v>520</v>
      </c>
      <c r="L3" s="235" t="s">
        <v>488</v>
      </c>
      <c r="M3" s="235" t="s">
        <v>521</v>
      </c>
      <c r="N3" s="235" t="s">
        <v>522</v>
      </c>
      <c r="O3" s="235" t="s">
        <v>244</v>
      </c>
      <c r="P3" s="235" t="s">
        <v>245</v>
      </c>
      <c r="Q3" s="235" t="s">
        <v>189</v>
      </c>
      <c r="R3" s="235" t="s">
        <v>246</v>
      </c>
      <c r="S3" s="235" t="s">
        <v>188</v>
      </c>
      <c r="T3" s="235" t="s">
        <v>247</v>
      </c>
      <c r="U3" s="235" t="s">
        <v>254</v>
      </c>
      <c r="V3" s="235" t="s">
        <v>248</v>
      </c>
      <c r="W3" s="235" t="s">
        <v>249</v>
      </c>
      <c r="X3" s="235" t="s">
        <v>250</v>
      </c>
      <c r="Y3" s="235" t="s">
        <v>251</v>
      </c>
      <c r="Z3" s="235" t="s">
        <v>531</v>
      </c>
      <c r="AA3" s="235" t="s">
        <v>252</v>
      </c>
      <c r="AB3" s="235" t="s">
        <v>255</v>
      </c>
      <c r="AC3" s="236" t="s">
        <v>523</v>
      </c>
      <c r="AD3" s="236" t="s">
        <v>524</v>
      </c>
      <c r="AE3" s="235" t="s">
        <v>490</v>
      </c>
      <c r="AF3" s="235" t="s">
        <v>489</v>
      </c>
      <c r="AG3" s="235" t="s">
        <v>190</v>
      </c>
      <c r="AH3" s="235" t="s">
        <v>256</v>
      </c>
    </row>
    <row r="4" spans="1:35" x14ac:dyDescent="0.25">
      <c r="A4" s="266">
        <v>36739</v>
      </c>
      <c r="B4" s="4">
        <v>1250000</v>
      </c>
      <c r="C4" s="4">
        <v>4563600</v>
      </c>
      <c r="D4" s="4">
        <v>2136334</v>
      </c>
      <c r="E4" s="4">
        <v>429975</v>
      </c>
      <c r="F4" s="4">
        <v>12500000</v>
      </c>
      <c r="G4" s="4">
        <v>116115000</v>
      </c>
      <c r="H4" s="4">
        <v>1663000</v>
      </c>
      <c r="I4" s="4">
        <v>12878050</v>
      </c>
      <c r="J4" s="4">
        <v>1012500</v>
      </c>
      <c r="K4" s="4">
        <v>23507914.999999996</v>
      </c>
      <c r="L4" s="4">
        <v>10372212</v>
      </c>
      <c r="M4" s="4">
        <v>1302980</v>
      </c>
      <c r="N4" s="4">
        <v>3486752</v>
      </c>
      <c r="O4" s="4">
        <v>429210</v>
      </c>
      <c r="P4" s="4">
        <v>470790</v>
      </c>
      <c r="Q4" s="4">
        <v>27082500</v>
      </c>
      <c r="R4" s="4">
        <v>7121810</v>
      </c>
      <c r="S4" s="4">
        <v>5644007</v>
      </c>
      <c r="T4" s="4">
        <v>20916875</v>
      </c>
      <c r="U4" s="4">
        <v>2560525</v>
      </c>
      <c r="V4" s="4">
        <v>4774950</v>
      </c>
      <c r="W4" s="4">
        <v>1822363</v>
      </c>
      <c r="X4" s="4">
        <v>1374750</v>
      </c>
      <c r="Y4" s="4">
        <v>1803840</v>
      </c>
      <c r="Z4" s="4">
        <v>2300803</v>
      </c>
      <c r="AA4" s="4">
        <v>7483750</v>
      </c>
      <c r="AB4" s="4">
        <v>2343750</v>
      </c>
      <c r="AC4" s="4">
        <v>16316247</v>
      </c>
      <c r="AD4" s="4">
        <v>1050000</v>
      </c>
      <c r="AE4" s="4">
        <v>81480000</v>
      </c>
      <c r="AF4" s="4">
        <v>1360000</v>
      </c>
      <c r="AG4" s="4">
        <v>93746588.676477998</v>
      </c>
      <c r="AH4" s="4">
        <f>(+P4+C4+'Stock Prices'!R5*'Daily Position'!$H$4+'Stock Prices'!J5*'Daily Position'!$H$9+'Stock Prices'!N5*'Daily Position'!$H$10+'Stock Prices'!Z5*'Daily Position'!$H$11)/0.6*0.3612</f>
        <v>7312349.8057232946</v>
      </c>
      <c r="AI4" s="147"/>
    </row>
    <row r="5" spans="1:35" x14ac:dyDescent="0.25">
      <c r="A5" s="266">
        <v>36740</v>
      </c>
      <c r="B5" s="4">
        <v>1250000</v>
      </c>
      <c r="C5" s="4">
        <v>4563600</v>
      </c>
      <c r="D5" s="4">
        <v>2136334</v>
      </c>
      <c r="E5" s="4">
        <v>429975</v>
      </c>
      <c r="F5" s="4">
        <v>12500000</v>
      </c>
      <c r="G5" s="4">
        <v>116115000</v>
      </c>
      <c r="H5" s="4">
        <v>1663000</v>
      </c>
      <c r="I5" s="4">
        <v>12878050</v>
      </c>
      <c r="J5" s="4">
        <v>1012500</v>
      </c>
      <c r="K5" s="4">
        <v>23507914.999999996</v>
      </c>
      <c r="L5" s="4">
        <v>10372212</v>
      </c>
      <c r="M5" s="4">
        <v>1302980</v>
      </c>
      <c r="N5" s="4">
        <v>3486752</v>
      </c>
      <c r="O5" s="4">
        <v>429210</v>
      </c>
      <c r="P5" s="4">
        <v>470790</v>
      </c>
      <c r="Q5" s="4">
        <v>27082500</v>
      </c>
      <c r="R5" s="4">
        <v>7121810</v>
      </c>
      <c r="S5" s="4">
        <v>5644007</v>
      </c>
      <c r="T5" s="4">
        <v>20916875</v>
      </c>
      <c r="U5" s="4">
        <v>2560525</v>
      </c>
      <c r="V5" s="4">
        <v>4774950</v>
      </c>
      <c r="W5" s="4">
        <v>1822363</v>
      </c>
      <c r="X5" s="4">
        <v>1374750</v>
      </c>
      <c r="Y5" s="4">
        <v>1803840</v>
      </c>
      <c r="Z5" s="4">
        <v>2300803</v>
      </c>
      <c r="AA5" s="4">
        <v>7483750</v>
      </c>
      <c r="AB5" s="4">
        <v>2343750</v>
      </c>
      <c r="AC5" s="4">
        <v>16316247</v>
      </c>
      <c r="AD5" s="4">
        <v>1050000</v>
      </c>
      <c r="AE5" s="4">
        <v>81480000</v>
      </c>
      <c r="AF5" s="4">
        <v>1360000</v>
      </c>
      <c r="AG5" s="4">
        <v>93746588.676477998</v>
      </c>
      <c r="AH5" s="4">
        <f>(+P5+C5+'Stock Prices'!R6*'Daily Position'!$H$4+'Stock Prices'!J6*'Daily Position'!$H$9+'Stock Prices'!N6*'Daily Position'!$H$10+'Stock Prices'!Z6*'Daily Position'!$H$11)/0.6*0.3612</f>
        <v>7410706.1911017494</v>
      </c>
      <c r="AI5" s="147"/>
    </row>
    <row r="6" spans="1:35" x14ac:dyDescent="0.25">
      <c r="A6" s="266">
        <v>36741</v>
      </c>
      <c r="B6" s="4">
        <v>1250000</v>
      </c>
      <c r="C6" s="4">
        <v>4563600</v>
      </c>
      <c r="D6" s="4">
        <v>2136334</v>
      </c>
      <c r="E6" s="4">
        <v>429975</v>
      </c>
      <c r="F6" s="4">
        <v>12500000</v>
      </c>
      <c r="G6" s="4">
        <v>116115000</v>
      </c>
      <c r="H6" s="4">
        <v>1663000</v>
      </c>
      <c r="I6" s="4">
        <v>12878050</v>
      </c>
      <c r="J6" s="4">
        <v>1012500</v>
      </c>
      <c r="K6" s="4">
        <v>23507914.999999996</v>
      </c>
      <c r="L6" s="4">
        <v>10372212</v>
      </c>
      <c r="M6" s="4">
        <v>1302980</v>
      </c>
      <c r="N6" s="4">
        <v>3486752</v>
      </c>
      <c r="O6" s="4">
        <v>429210</v>
      </c>
      <c r="P6" s="4">
        <v>470790</v>
      </c>
      <c r="Q6" s="4">
        <v>27082500</v>
      </c>
      <c r="R6" s="4">
        <v>7121810</v>
      </c>
      <c r="S6" s="4">
        <v>5644007</v>
      </c>
      <c r="T6" s="4">
        <v>20916875</v>
      </c>
      <c r="U6" s="4">
        <v>2560525</v>
      </c>
      <c r="V6" s="4">
        <v>4774950</v>
      </c>
      <c r="W6" s="4">
        <v>1822363</v>
      </c>
      <c r="X6" s="4">
        <v>1374750</v>
      </c>
      <c r="Y6" s="4">
        <v>1803840</v>
      </c>
      <c r="Z6" s="4">
        <v>2300803</v>
      </c>
      <c r="AA6" s="4">
        <v>7483750</v>
      </c>
      <c r="AB6" s="4">
        <v>2343750</v>
      </c>
      <c r="AC6" s="4">
        <v>16316247</v>
      </c>
      <c r="AD6" s="4">
        <v>1050000</v>
      </c>
      <c r="AE6" s="4">
        <v>81480000</v>
      </c>
      <c r="AF6" s="4">
        <v>1360000</v>
      </c>
      <c r="AG6" s="4">
        <v>93746588.676477998</v>
      </c>
      <c r="AH6" s="4">
        <f>(+P6+C6+'Stock Prices'!R7*'Daily Position'!$H$4+'Stock Prices'!J7*'Daily Position'!$H$9+'Stock Prices'!N7*'Daily Position'!$H$10+'Stock Prices'!Z7*'Daily Position'!$H$11)/0.6*0.3612</f>
        <v>7530613.648479782</v>
      </c>
      <c r="AI6" s="147"/>
    </row>
    <row r="7" spans="1:35" x14ac:dyDescent="0.25">
      <c r="A7" s="266">
        <v>36742</v>
      </c>
      <c r="B7" s="4">
        <v>1250000</v>
      </c>
      <c r="C7" s="4">
        <v>4563600</v>
      </c>
      <c r="D7" s="4">
        <v>2136334</v>
      </c>
      <c r="E7" s="4">
        <v>429975</v>
      </c>
      <c r="F7" s="4">
        <v>12500000</v>
      </c>
      <c r="G7" s="4">
        <v>116115000</v>
      </c>
      <c r="H7" s="4">
        <v>1663000</v>
      </c>
      <c r="I7" s="4">
        <v>12878050</v>
      </c>
      <c r="J7" s="4">
        <v>1012500</v>
      </c>
      <c r="K7" s="4">
        <v>23507914.999999996</v>
      </c>
      <c r="L7" s="4">
        <v>10372212</v>
      </c>
      <c r="M7" s="4">
        <v>1302980</v>
      </c>
      <c r="N7" s="4">
        <v>3486752</v>
      </c>
      <c r="O7" s="4">
        <v>429210</v>
      </c>
      <c r="P7" s="4">
        <v>470790</v>
      </c>
      <c r="Q7" s="4">
        <v>27082500</v>
      </c>
      <c r="R7" s="4">
        <v>7121810</v>
      </c>
      <c r="S7" s="4">
        <v>5644007</v>
      </c>
      <c r="T7" s="4">
        <v>20916875</v>
      </c>
      <c r="U7" s="4">
        <v>2560525</v>
      </c>
      <c r="V7" s="4">
        <v>4774950</v>
      </c>
      <c r="W7" s="4">
        <v>1822363</v>
      </c>
      <c r="X7" s="4">
        <v>1374750</v>
      </c>
      <c r="Y7" s="4">
        <v>1803840</v>
      </c>
      <c r="Z7" s="4">
        <v>2300803</v>
      </c>
      <c r="AA7" s="4">
        <v>7483750</v>
      </c>
      <c r="AB7" s="4">
        <v>2343750</v>
      </c>
      <c r="AC7" s="4">
        <v>16316247</v>
      </c>
      <c r="AD7" s="4">
        <v>1050000</v>
      </c>
      <c r="AE7" s="4">
        <v>81480000</v>
      </c>
      <c r="AF7" s="4">
        <v>1360000</v>
      </c>
      <c r="AG7" s="4">
        <v>93746588.676477998</v>
      </c>
      <c r="AH7" s="4">
        <f>(+P7+C7+'Stock Prices'!R8*'Daily Position'!$H$4+'Stock Prices'!J8*'Daily Position'!$H$9+'Stock Prices'!N8*'Daily Position'!$H$10+'Stock Prices'!Z8*'Daily Position'!$H$11)/0.6*0.3612</f>
        <v>7463048.6474981252</v>
      </c>
      <c r="AI7" s="147"/>
    </row>
    <row r="8" spans="1:35" x14ac:dyDescent="0.25">
      <c r="A8" s="266">
        <v>36745</v>
      </c>
      <c r="B8" s="4">
        <v>1250000</v>
      </c>
      <c r="C8" s="4">
        <v>4563600</v>
      </c>
      <c r="D8" s="4">
        <v>2136334</v>
      </c>
      <c r="E8" s="4">
        <v>429975</v>
      </c>
      <c r="F8" s="4">
        <v>12500000</v>
      </c>
      <c r="G8" s="4">
        <v>116115000</v>
      </c>
      <c r="H8" s="4">
        <v>1663000</v>
      </c>
      <c r="I8" s="4">
        <v>12878050</v>
      </c>
      <c r="J8" s="4">
        <v>1012500</v>
      </c>
      <c r="K8" s="4">
        <v>23507914.999999996</v>
      </c>
      <c r="L8" s="4">
        <v>10372212</v>
      </c>
      <c r="M8" s="4">
        <v>1302980</v>
      </c>
      <c r="N8" s="4">
        <v>3486752</v>
      </c>
      <c r="O8" s="4">
        <v>429210</v>
      </c>
      <c r="P8" s="4">
        <v>470790</v>
      </c>
      <c r="Q8" s="4">
        <v>27082500</v>
      </c>
      <c r="R8" s="4">
        <v>7121810</v>
      </c>
      <c r="S8" s="4">
        <v>5644007</v>
      </c>
      <c r="T8" s="4">
        <v>20916875</v>
      </c>
      <c r="U8" s="4">
        <v>2560525</v>
      </c>
      <c r="V8" s="4">
        <v>4774950</v>
      </c>
      <c r="W8" s="4">
        <v>1822363</v>
      </c>
      <c r="X8" s="4">
        <v>1374750</v>
      </c>
      <c r="Y8" s="4">
        <v>1803840</v>
      </c>
      <c r="Z8" s="4">
        <v>2300803</v>
      </c>
      <c r="AA8" s="4">
        <v>7483750</v>
      </c>
      <c r="AB8" s="4">
        <v>2343750</v>
      </c>
      <c r="AC8" s="4">
        <v>16316247</v>
      </c>
      <c r="AD8" s="4">
        <v>1050000</v>
      </c>
      <c r="AE8" s="4">
        <v>81480000</v>
      </c>
      <c r="AF8" s="4">
        <v>1360000</v>
      </c>
      <c r="AG8" s="4">
        <v>93746588.676477998</v>
      </c>
      <c r="AH8" s="4">
        <f>(+P8+C8+'Stock Prices'!R9*'Daily Position'!$H$4+'Stock Prices'!J9*'Daily Position'!$H$9+'Stock Prices'!N9*'Daily Position'!$H$10+'Stock Prices'!Z9*'Daily Position'!$H$11)/0.6*0.3612</f>
        <v>7583630.5160216447</v>
      </c>
      <c r="AI8" s="147"/>
    </row>
    <row r="9" spans="1:35" x14ac:dyDescent="0.25">
      <c r="A9" s="266">
        <v>36746</v>
      </c>
      <c r="B9" s="4">
        <v>1250000</v>
      </c>
      <c r="C9" s="4">
        <v>4563600</v>
      </c>
      <c r="D9" s="4">
        <v>2136334</v>
      </c>
      <c r="E9" s="4">
        <v>429975</v>
      </c>
      <c r="F9" s="4">
        <v>12500000</v>
      </c>
      <c r="G9" s="4">
        <v>116115000</v>
      </c>
      <c r="H9" s="4">
        <v>1663000</v>
      </c>
      <c r="I9" s="4">
        <v>12878050</v>
      </c>
      <c r="J9" s="4">
        <v>1012500</v>
      </c>
      <c r="K9" s="4">
        <v>23507914.999999996</v>
      </c>
      <c r="L9" s="4">
        <v>10372212</v>
      </c>
      <c r="M9" s="4">
        <v>1302980</v>
      </c>
      <c r="N9" s="4">
        <v>3486752</v>
      </c>
      <c r="O9" s="4">
        <v>429210</v>
      </c>
      <c r="P9" s="4">
        <v>470790</v>
      </c>
      <c r="Q9" s="4">
        <v>27082500</v>
      </c>
      <c r="R9" s="4">
        <v>7121810</v>
      </c>
      <c r="S9" s="4">
        <v>5644007</v>
      </c>
      <c r="T9" s="4">
        <v>20916875</v>
      </c>
      <c r="U9" s="4">
        <v>2560525</v>
      </c>
      <c r="V9" s="4">
        <v>4774950</v>
      </c>
      <c r="W9" s="4">
        <v>1822363</v>
      </c>
      <c r="X9" s="4">
        <v>1374750</v>
      </c>
      <c r="Y9" s="4">
        <v>1803840</v>
      </c>
      <c r="Z9" s="4">
        <v>2300803</v>
      </c>
      <c r="AA9" s="4">
        <v>7483750</v>
      </c>
      <c r="AB9" s="4">
        <v>2343750</v>
      </c>
      <c r="AC9" s="4">
        <v>16316247</v>
      </c>
      <c r="AD9" s="4">
        <v>1050000</v>
      </c>
      <c r="AE9" s="4">
        <v>81480000</v>
      </c>
      <c r="AF9" s="4">
        <v>1360000</v>
      </c>
      <c r="AG9" s="4">
        <v>93746588.676477998</v>
      </c>
      <c r="AH9" s="4">
        <f>(+P9+C9+'Stock Prices'!R10*'Daily Position'!$H$4+'Stock Prices'!J10*'Daily Position'!$H$9+'Stock Prices'!N10*'Daily Position'!$H$10+'Stock Prices'!Z10*'Daily Position'!$H$11)/0.6*0.3612</f>
        <v>7555264.2609103452</v>
      </c>
      <c r="AI9" s="147"/>
    </row>
    <row r="10" spans="1:35" x14ac:dyDescent="0.25">
      <c r="A10" s="266">
        <v>36747</v>
      </c>
      <c r="B10" s="4">
        <v>1250000</v>
      </c>
      <c r="C10" s="4">
        <v>4563600</v>
      </c>
      <c r="D10" s="4">
        <v>2136334</v>
      </c>
      <c r="E10" s="4">
        <v>429975</v>
      </c>
      <c r="F10" s="4">
        <v>12500000</v>
      </c>
      <c r="G10" s="4">
        <v>116115000</v>
      </c>
      <c r="H10" s="4">
        <v>1663000</v>
      </c>
      <c r="I10" s="4">
        <v>12878050</v>
      </c>
      <c r="J10" s="4">
        <v>1012500</v>
      </c>
      <c r="K10" s="4">
        <v>23507914.999999996</v>
      </c>
      <c r="L10" s="4">
        <v>10372212</v>
      </c>
      <c r="M10" s="4">
        <v>1302980</v>
      </c>
      <c r="N10" s="4">
        <v>3486752</v>
      </c>
      <c r="O10" s="4">
        <v>429210</v>
      </c>
      <c r="P10" s="4">
        <v>470790</v>
      </c>
      <c r="Q10" s="4">
        <v>27082500</v>
      </c>
      <c r="R10" s="4">
        <v>7121810</v>
      </c>
      <c r="S10" s="4">
        <v>5644007</v>
      </c>
      <c r="T10" s="4">
        <v>20916875</v>
      </c>
      <c r="U10" s="4">
        <v>2560525</v>
      </c>
      <c r="V10" s="4">
        <v>4774950</v>
      </c>
      <c r="W10" s="4">
        <v>1822363</v>
      </c>
      <c r="X10" s="4">
        <v>1374750</v>
      </c>
      <c r="Y10" s="4">
        <v>1803840</v>
      </c>
      <c r="Z10" s="4">
        <v>2300803</v>
      </c>
      <c r="AA10" s="4">
        <v>7483750</v>
      </c>
      <c r="AB10" s="4">
        <v>2343750</v>
      </c>
      <c r="AC10" s="4">
        <v>16316247</v>
      </c>
      <c r="AD10" s="4">
        <v>1050000</v>
      </c>
      <c r="AE10" s="4">
        <v>81480000</v>
      </c>
      <c r="AF10" s="4">
        <v>1360000</v>
      </c>
      <c r="AG10" s="4">
        <v>93746588.676477998</v>
      </c>
      <c r="AH10" s="4">
        <f>(+P10+C10+'Stock Prices'!R11*'Daily Position'!$H$4+'Stock Prices'!J11*'Daily Position'!$H$9+'Stock Prices'!N11*'Daily Position'!$H$10+'Stock Prices'!Z11*'Daily Position'!$H$11)/0.6*0.3612</f>
        <v>7563267.1517028483</v>
      </c>
      <c r="AI10" s="147"/>
    </row>
    <row r="11" spans="1:35" x14ac:dyDescent="0.25">
      <c r="A11" s="266">
        <v>36748</v>
      </c>
      <c r="B11" s="4">
        <v>1250000</v>
      </c>
      <c r="C11" s="4">
        <v>4563600</v>
      </c>
      <c r="D11" s="4">
        <v>2136334</v>
      </c>
      <c r="E11" s="4">
        <v>429975</v>
      </c>
      <c r="F11" s="4">
        <v>12500000</v>
      </c>
      <c r="G11" s="4">
        <v>116115000</v>
      </c>
      <c r="H11" s="4">
        <v>1663000</v>
      </c>
      <c r="I11" s="4">
        <v>12878050</v>
      </c>
      <c r="J11" s="4">
        <v>1012500</v>
      </c>
      <c r="K11" s="4">
        <v>23507914.999999996</v>
      </c>
      <c r="L11" s="4">
        <v>10372212</v>
      </c>
      <c r="M11" s="4">
        <v>1302980</v>
      </c>
      <c r="N11" s="4">
        <v>3486752</v>
      </c>
      <c r="O11" s="4">
        <v>429210</v>
      </c>
      <c r="P11" s="4">
        <v>470790</v>
      </c>
      <c r="Q11" s="4">
        <v>27082500</v>
      </c>
      <c r="R11" s="4">
        <v>7121810</v>
      </c>
      <c r="S11" s="4">
        <v>5644007</v>
      </c>
      <c r="T11" s="4">
        <v>20916875</v>
      </c>
      <c r="U11" s="4">
        <v>2560525</v>
      </c>
      <c r="V11" s="4">
        <v>4774950</v>
      </c>
      <c r="W11" s="4">
        <v>1822363</v>
      </c>
      <c r="X11" s="4">
        <v>1374750</v>
      </c>
      <c r="Y11" s="4">
        <v>1803840</v>
      </c>
      <c r="Z11" s="4">
        <v>2300803</v>
      </c>
      <c r="AA11" s="4">
        <v>7483750</v>
      </c>
      <c r="AB11" s="4">
        <v>2343750</v>
      </c>
      <c r="AC11" s="4">
        <v>16316247</v>
      </c>
      <c r="AD11" s="4">
        <v>1050000</v>
      </c>
      <c r="AE11" s="4">
        <v>81480000</v>
      </c>
      <c r="AF11" s="4">
        <v>1360000</v>
      </c>
      <c r="AG11" s="4">
        <v>93746588.676477998</v>
      </c>
      <c r="AH11" s="4">
        <f>(+P11+C11+'Stock Prices'!R12*'Daily Position'!$H$4+'Stock Prices'!J12*'Daily Position'!$H$9+'Stock Prices'!N12*'Daily Position'!$H$10+'Stock Prices'!Z12*'Daily Position'!$H$11)/0.6*0.3612</f>
        <v>7595261.3956273114</v>
      </c>
      <c r="AI11" s="147"/>
    </row>
    <row r="12" spans="1:35" x14ac:dyDescent="0.25">
      <c r="A12" s="266">
        <v>36749</v>
      </c>
      <c r="B12" s="4">
        <v>1250000</v>
      </c>
      <c r="C12" s="4">
        <v>4563600</v>
      </c>
      <c r="D12" s="4">
        <v>2136334</v>
      </c>
      <c r="E12" s="4">
        <v>429975</v>
      </c>
      <c r="F12" s="4">
        <v>12500000</v>
      </c>
      <c r="G12" s="4">
        <v>116115000</v>
      </c>
      <c r="H12" s="4">
        <v>1663000</v>
      </c>
      <c r="I12" s="4">
        <v>12878050</v>
      </c>
      <c r="J12" s="4">
        <v>1012500</v>
      </c>
      <c r="K12" s="4">
        <v>23507914.999999996</v>
      </c>
      <c r="L12" s="4">
        <v>10372212</v>
      </c>
      <c r="M12" s="4">
        <v>1302980</v>
      </c>
      <c r="N12" s="4">
        <v>3486752</v>
      </c>
      <c r="O12" s="4">
        <v>429210</v>
      </c>
      <c r="P12" s="4">
        <v>470790</v>
      </c>
      <c r="Q12" s="4">
        <v>27082500</v>
      </c>
      <c r="R12" s="4">
        <v>7121810</v>
      </c>
      <c r="S12" s="4">
        <v>5644007</v>
      </c>
      <c r="T12" s="4">
        <v>20916875</v>
      </c>
      <c r="U12" s="4">
        <v>2560525</v>
      </c>
      <c r="V12" s="4">
        <v>4774950</v>
      </c>
      <c r="W12" s="4">
        <v>1822363</v>
      </c>
      <c r="X12" s="4">
        <v>1374750</v>
      </c>
      <c r="Y12" s="4">
        <v>1803840</v>
      </c>
      <c r="Z12" s="4">
        <v>2300803</v>
      </c>
      <c r="AA12" s="4">
        <v>7483750</v>
      </c>
      <c r="AB12" s="4">
        <v>2343750</v>
      </c>
      <c r="AC12" s="4">
        <v>16316247</v>
      </c>
      <c r="AD12" s="4">
        <v>1050000</v>
      </c>
      <c r="AE12" s="4">
        <v>81480000</v>
      </c>
      <c r="AF12" s="4">
        <v>1360000</v>
      </c>
      <c r="AG12" s="4">
        <v>93746588.676477998</v>
      </c>
      <c r="AH12" s="4">
        <f>(+P12+C12+'Stock Prices'!R13*'Daily Position'!$H$4+'Stock Prices'!J13*'Daily Position'!$H$9+'Stock Prices'!N13*'Daily Position'!$H$10+'Stock Prices'!Z13*'Daily Position'!$H$11)/0.6*0.3612</f>
        <v>7629448.7395464694</v>
      </c>
      <c r="AI12" s="147"/>
    </row>
    <row r="13" spans="1:35" x14ac:dyDescent="0.25">
      <c r="A13" s="266">
        <v>36752</v>
      </c>
      <c r="B13" s="4">
        <v>1250000</v>
      </c>
      <c r="C13" s="4">
        <v>4563600</v>
      </c>
      <c r="D13" s="4">
        <v>2136334</v>
      </c>
      <c r="E13" s="4">
        <v>429975</v>
      </c>
      <c r="F13" s="4">
        <v>12500000</v>
      </c>
      <c r="G13" s="4">
        <v>116115000</v>
      </c>
      <c r="H13" s="4">
        <v>1663000</v>
      </c>
      <c r="I13" s="4">
        <v>12878050</v>
      </c>
      <c r="J13" s="4">
        <v>1012500</v>
      </c>
      <c r="K13" s="4">
        <v>23507914.999999996</v>
      </c>
      <c r="L13" s="4">
        <v>10372212</v>
      </c>
      <c r="M13" s="4">
        <v>1302980</v>
      </c>
      <c r="N13" s="4">
        <v>3486752</v>
      </c>
      <c r="O13" s="4">
        <v>429210</v>
      </c>
      <c r="P13" s="4">
        <v>470790</v>
      </c>
      <c r="Q13" s="4">
        <v>27082500</v>
      </c>
      <c r="R13" s="4">
        <v>7121810</v>
      </c>
      <c r="S13" s="4">
        <v>5644007</v>
      </c>
      <c r="T13" s="4">
        <v>20916875</v>
      </c>
      <c r="U13" s="4">
        <v>2560525</v>
      </c>
      <c r="V13" s="4">
        <v>4774950</v>
      </c>
      <c r="W13" s="4">
        <v>1822363</v>
      </c>
      <c r="X13" s="4">
        <v>1374750</v>
      </c>
      <c r="Y13" s="4">
        <v>1803840</v>
      </c>
      <c r="Z13" s="4">
        <v>2300803</v>
      </c>
      <c r="AA13" s="4">
        <v>7483750</v>
      </c>
      <c r="AB13" s="4">
        <v>2343750</v>
      </c>
      <c r="AC13" s="4">
        <v>16316247</v>
      </c>
      <c r="AD13" s="4">
        <v>1050000</v>
      </c>
      <c r="AE13" s="4">
        <v>81480000</v>
      </c>
      <c r="AF13" s="4">
        <v>1360000</v>
      </c>
      <c r="AG13" s="4">
        <v>93746588.676477998</v>
      </c>
      <c r="AH13" s="4">
        <f>(+P13+C13+'Stock Prices'!R14*'Daily Position'!$H$4+'Stock Prices'!J14*'Daily Position'!$H$9+'Stock Prices'!N14*'Daily Position'!$H$10+'Stock Prices'!Z14*'Daily Position'!$H$11)/0.6*0.3612</f>
        <v>7770062.6447651498</v>
      </c>
      <c r="AI13" s="147"/>
    </row>
    <row r="14" spans="1:35" x14ac:dyDescent="0.25">
      <c r="A14" s="266">
        <v>36753</v>
      </c>
      <c r="B14" s="4">
        <v>1250000</v>
      </c>
      <c r="C14" s="4">
        <v>4563600</v>
      </c>
      <c r="D14" s="4">
        <v>2136334</v>
      </c>
      <c r="E14" s="4">
        <v>429975</v>
      </c>
      <c r="F14" s="4">
        <v>12500000</v>
      </c>
      <c r="G14" s="4">
        <v>116115000</v>
      </c>
      <c r="H14" s="4">
        <v>1663000</v>
      </c>
      <c r="I14" s="4">
        <v>12878050</v>
      </c>
      <c r="J14" s="4">
        <v>1012500</v>
      </c>
      <c r="K14" s="4">
        <v>23507914.999999996</v>
      </c>
      <c r="L14" s="4">
        <v>10372212</v>
      </c>
      <c r="M14" s="4">
        <v>1302980</v>
      </c>
      <c r="N14" s="4">
        <v>3486752</v>
      </c>
      <c r="O14" s="4">
        <v>429210</v>
      </c>
      <c r="P14" s="4">
        <v>470790</v>
      </c>
      <c r="Q14" s="4">
        <v>27082500</v>
      </c>
      <c r="R14" s="4">
        <v>7121810</v>
      </c>
      <c r="S14" s="4">
        <v>5644007</v>
      </c>
      <c r="T14" s="4">
        <v>20916875</v>
      </c>
      <c r="U14" s="4">
        <v>2560525</v>
      </c>
      <c r="V14" s="4">
        <v>4774950</v>
      </c>
      <c r="W14" s="4">
        <v>1822363</v>
      </c>
      <c r="X14" s="4">
        <v>1374750</v>
      </c>
      <c r="Y14" s="4">
        <v>1803840</v>
      </c>
      <c r="Z14" s="4">
        <v>2300803</v>
      </c>
      <c r="AA14" s="4">
        <v>7483750</v>
      </c>
      <c r="AB14" s="4">
        <v>2343750</v>
      </c>
      <c r="AC14" s="4">
        <v>16316247</v>
      </c>
      <c r="AD14" s="4">
        <v>1050000</v>
      </c>
      <c r="AE14" s="4">
        <v>81480000</v>
      </c>
      <c r="AF14" s="4">
        <v>1360000</v>
      </c>
      <c r="AG14" s="4">
        <v>93746588.676477998</v>
      </c>
      <c r="AH14" s="4">
        <f>(+P14+C14+'Stock Prices'!R15*'Daily Position'!$H$4+'Stock Prices'!J15*'Daily Position'!$H$9+'Stock Prices'!N15*'Daily Position'!$H$10+'Stock Prices'!Z15*'Daily Position'!$H$11)/0.6*0.3612</f>
        <v>7676926.6656598141</v>
      </c>
      <c r="AI14" s="147"/>
    </row>
    <row r="15" spans="1:35" x14ac:dyDescent="0.25">
      <c r="A15" s="266">
        <v>36754</v>
      </c>
      <c r="B15" s="4">
        <v>1250000</v>
      </c>
      <c r="C15" s="4">
        <v>4563600</v>
      </c>
      <c r="D15" s="4">
        <v>2136334</v>
      </c>
      <c r="E15" s="4">
        <v>429975</v>
      </c>
      <c r="F15" s="4">
        <v>12500000</v>
      </c>
      <c r="G15" s="4">
        <v>116115000</v>
      </c>
      <c r="H15" s="4">
        <v>1663000</v>
      </c>
      <c r="I15" s="4">
        <v>12878050</v>
      </c>
      <c r="J15" s="4">
        <v>1012500</v>
      </c>
      <c r="K15" s="4">
        <v>23507914.999999996</v>
      </c>
      <c r="L15" s="4">
        <v>10372212</v>
      </c>
      <c r="M15" s="4">
        <v>1302980</v>
      </c>
      <c r="N15" s="4">
        <v>3486752</v>
      </c>
      <c r="O15" s="4">
        <v>429210</v>
      </c>
      <c r="P15" s="4">
        <v>470790</v>
      </c>
      <c r="Q15" s="4">
        <v>27082500</v>
      </c>
      <c r="R15" s="4">
        <v>7121810</v>
      </c>
      <c r="S15" s="4">
        <v>5644007</v>
      </c>
      <c r="T15" s="4">
        <v>20916875</v>
      </c>
      <c r="U15" s="4">
        <v>2560525</v>
      </c>
      <c r="V15" s="4">
        <v>4774950</v>
      </c>
      <c r="W15" s="4">
        <v>1822363</v>
      </c>
      <c r="X15" s="4">
        <v>1374750</v>
      </c>
      <c r="Y15" s="4">
        <v>1803840</v>
      </c>
      <c r="Z15" s="4">
        <v>2300803</v>
      </c>
      <c r="AA15" s="4">
        <v>7483750</v>
      </c>
      <c r="AB15" s="4">
        <v>2343750</v>
      </c>
      <c r="AC15" s="4">
        <v>16316247</v>
      </c>
      <c r="AD15" s="4">
        <v>1050000</v>
      </c>
      <c r="AE15" s="4">
        <v>81480000</v>
      </c>
      <c r="AF15" s="4">
        <v>1360000</v>
      </c>
      <c r="AG15" s="4">
        <v>93746588.676477998</v>
      </c>
      <c r="AH15" s="4">
        <f>(+P15+C15+'Stock Prices'!R16*'Daily Position'!$H$4+'Stock Prices'!J16*'Daily Position'!$H$9+'Stock Prices'!N16*'Daily Position'!$H$10+'Stock Prices'!Z16*'Daily Position'!$H$11)/0.6*0.3612</f>
        <v>7594613.1779987458</v>
      </c>
      <c r="AI15" s="147"/>
    </row>
    <row r="16" spans="1:35" x14ac:dyDescent="0.25">
      <c r="A16" s="266">
        <v>36755</v>
      </c>
      <c r="B16" s="4">
        <v>1250000</v>
      </c>
      <c r="C16" s="4">
        <v>4563600</v>
      </c>
      <c r="D16" s="4">
        <v>2136334</v>
      </c>
      <c r="E16" s="4">
        <v>429975</v>
      </c>
      <c r="F16" s="4">
        <v>12500000</v>
      </c>
      <c r="G16" s="4">
        <v>116115000</v>
      </c>
      <c r="H16" s="4">
        <v>1663000</v>
      </c>
      <c r="I16" s="4">
        <v>12878050</v>
      </c>
      <c r="J16" s="4">
        <v>1012500</v>
      </c>
      <c r="K16" s="4">
        <v>23507914.999999996</v>
      </c>
      <c r="L16" s="4">
        <v>10372212</v>
      </c>
      <c r="M16" s="4">
        <v>1302980</v>
      </c>
      <c r="N16" s="4">
        <v>3486752</v>
      </c>
      <c r="O16" s="4">
        <v>429210</v>
      </c>
      <c r="P16" s="4">
        <v>470790</v>
      </c>
      <c r="Q16" s="4">
        <v>27082500</v>
      </c>
      <c r="R16" s="4">
        <v>7121810</v>
      </c>
      <c r="S16" s="4">
        <v>5644007</v>
      </c>
      <c r="T16" s="4">
        <v>20916875</v>
      </c>
      <c r="U16" s="4">
        <v>2560525</v>
      </c>
      <c r="V16" s="4">
        <v>4774950</v>
      </c>
      <c r="W16" s="4">
        <v>1822363</v>
      </c>
      <c r="X16" s="4">
        <v>1374750</v>
      </c>
      <c r="Y16" s="4">
        <v>1803840</v>
      </c>
      <c r="Z16" s="4">
        <v>2300803</v>
      </c>
      <c r="AA16" s="4">
        <v>7483750</v>
      </c>
      <c r="AB16" s="4">
        <v>2343750</v>
      </c>
      <c r="AC16" s="4">
        <v>16316247</v>
      </c>
      <c r="AD16" s="4">
        <v>1050000</v>
      </c>
      <c r="AE16" s="4">
        <v>81480000</v>
      </c>
      <c r="AF16" s="4">
        <v>1360000</v>
      </c>
      <c r="AG16" s="4">
        <v>93746588.676477998</v>
      </c>
      <c r="AH16" s="4">
        <f>(+P16+C16+'Stock Prices'!R17*'Daily Position'!$H$4+'Stock Prices'!J17*'Daily Position'!$H$9+'Stock Prices'!N17*'Daily Position'!$H$10+'Stock Prices'!Z17*'Daily Position'!$H$11)/0.6*0.3612</f>
        <v>7684452.9008692717</v>
      </c>
      <c r="AI16" s="147"/>
    </row>
    <row r="17" spans="1:35" x14ac:dyDescent="0.25">
      <c r="A17" s="266">
        <v>36756</v>
      </c>
      <c r="B17" s="4">
        <v>1250000</v>
      </c>
      <c r="C17" s="4">
        <v>4563600</v>
      </c>
      <c r="D17" s="4">
        <v>2136334</v>
      </c>
      <c r="E17" s="4">
        <v>429975</v>
      </c>
      <c r="F17" s="4">
        <v>12500000</v>
      </c>
      <c r="G17" s="4">
        <v>116115000</v>
      </c>
      <c r="H17" s="4">
        <v>1663000</v>
      </c>
      <c r="I17" s="4">
        <v>12878050</v>
      </c>
      <c r="J17" s="4">
        <v>1012500</v>
      </c>
      <c r="K17" s="4">
        <v>23507914.999999996</v>
      </c>
      <c r="L17" s="4">
        <v>10372212</v>
      </c>
      <c r="M17" s="4">
        <v>1302980</v>
      </c>
      <c r="N17" s="4">
        <v>3486752</v>
      </c>
      <c r="O17" s="4">
        <v>429210</v>
      </c>
      <c r="P17" s="4">
        <v>470790</v>
      </c>
      <c r="Q17" s="4">
        <v>27082500</v>
      </c>
      <c r="R17" s="4">
        <v>7121810</v>
      </c>
      <c r="S17" s="4">
        <v>5644007</v>
      </c>
      <c r="T17" s="4">
        <v>20916875</v>
      </c>
      <c r="U17" s="4">
        <v>2560525</v>
      </c>
      <c r="V17" s="4">
        <v>4774950</v>
      </c>
      <c r="W17" s="4">
        <v>1822363</v>
      </c>
      <c r="X17" s="4">
        <v>1374750</v>
      </c>
      <c r="Y17" s="4">
        <v>1803840</v>
      </c>
      <c r="Z17" s="4">
        <v>2300803</v>
      </c>
      <c r="AA17" s="4">
        <v>7483750</v>
      </c>
      <c r="AB17" s="4">
        <v>2343750</v>
      </c>
      <c r="AC17" s="4">
        <v>16316247</v>
      </c>
      <c r="AD17" s="4">
        <v>1050000</v>
      </c>
      <c r="AE17" s="4">
        <v>81480000</v>
      </c>
      <c r="AF17" s="4">
        <v>1360000</v>
      </c>
      <c r="AG17" s="4">
        <v>93746588.676477998</v>
      </c>
      <c r="AH17" s="4">
        <f>(+P17+C17+'Stock Prices'!R18*'Daily Position'!$H$4+'Stock Prices'!J18*'Daily Position'!$H$9+'Stock Prices'!N18*'Daily Position'!$H$10+'Stock Prices'!Z18*'Daily Position'!$H$11)/0.6*0.3612</f>
        <v>7685696.6172745684</v>
      </c>
      <c r="AI17" s="147"/>
    </row>
    <row r="18" spans="1:35" x14ac:dyDescent="0.25">
      <c r="A18" s="266">
        <v>36759</v>
      </c>
      <c r="B18" s="4">
        <v>1250000</v>
      </c>
      <c r="C18" s="4">
        <v>4563600</v>
      </c>
      <c r="D18" s="4">
        <v>2136334</v>
      </c>
      <c r="E18" s="4">
        <v>429975</v>
      </c>
      <c r="F18" s="4">
        <v>12500000</v>
      </c>
      <c r="G18" s="4">
        <v>116115000</v>
      </c>
      <c r="H18" s="4">
        <v>1663000</v>
      </c>
      <c r="I18" s="4">
        <v>12878050</v>
      </c>
      <c r="J18" s="4">
        <v>1012500</v>
      </c>
      <c r="K18" s="4">
        <v>23507914.999999996</v>
      </c>
      <c r="L18" s="4">
        <v>10372212</v>
      </c>
      <c r="M18" s="4">
        <v>1302980</v>
      </c>
      <c r="N18" s="4">
        <v>3486752</v>
      </c>
      <c r="O18" s="4">
        <v>429210</v>
      </c>
      <c r="P18" s="4">
        <v>470790</v>
      </c>
      <c r="Q18" s="4">
        <v>27082500</v>
      </c>
      <c r="R18" s="4">
        <v>7121810</v>
      </c>
      <c r="S18" s="4">
        <v>5644007</v>
      </c>
      <c r="T18" s="4">
        <v>20916875</v>
      </c>
      <c r="U18" s="4">
        <v>2560525</v>
      </c>
      <c r="V18" s="4">
        <v>4774950</v>
      </c>
      <c r="W18" s="4">
        <v>1822363</v>
      </c>
      <c r="X18" s="4">
        <v>1374750</v>
      </c>
      <c r="Y18" s="4">
        <v>1803840</v>
      </c>
      <c r="Z18" s="4">
        <v>2300803</v>
      </c>
      <c r="AA18" s="4">
        <v>7483750</v>
      </c>
      <c r="AB18" s="4">
        <v>2343750</v>
      </c>
      <c r="AC18" s="4">
        <v>16316247</v>
      </c>
      <c r="AD18" s="4">
        <v>1050000</v>
      </c>
      <c r="AE18" s="4">
        <v>81480000</v>
      </c>
      <c r="AF18" s="4">
        <v>1360000</v>
      </c>
      <c r="AG18" s="4">
        <v>93746588.676477998</v>
      </c>
      <c r="AH18" s="4">
        <f>(+P18+C18+'Stock Prices'!R19*'Daily Position'!$H$4+'Stock Prices'!J19*'Daily Position'!$H$9+'Stock Prices'!N19*'Daily Position'!$H$10+'Stock Prices'!Z19*'Daily Position'!$H$11)/0.6*0.3612</f>
        <v>7890128.1524093421</v>
      </c>
      <c r="AI18" s="147"/>
    </row>
    <row r="19" spans="1:35" x14ac:dyDescent="0.25">
      <c r="A19" s="266">
        <v>36760</v>
      </c>
      <c r="B19" s="4">
        <v>1250000</v>
      </c>
      <c r="C19" s="4">
        <v>4563600</v>
      </c>
      <c r="D19" s="4">
        <v>2136334</v>
      </c>
      <c r="E19" s="4">
        <v>429975</v>
      </c>
      <c r="F19" s="4">
        <v>12500000</v>
      </c>
      <c r="G19" s="4">
        <v>116115000</v>
      </c>
      <c r="H19" s="4">
        <v>1663000</v>
      </c>
      <c r="I19" s="4">
        <v>12878050</v>
      </c>
      <c r="J19" s="4">
        <v>1012500</v>
      </c>
      <c r="K19" s="4">
        <v>23507914.999999996</v>
      </c>
      <c r="L19" s="4">
        <v>10372212</v>
      </c>
      <c r="M19" s="4">
        <v>1302980</v>
      </c>
      <c r="N19" s="4">
        <v>3486752</v>
      </c>
      <c r="O19" s="4">
        <v>429210</v>
      </c>
      <c r="P19" s="4">
        <v>470790</v>
      </c>
      <c r="Q19" s="4">
        <v>27082500</v>
      </c>
      <c r="R19" s="4">
        <v>7121810</v>
      </c>
      <c r="S19" s="4">
        <v>5644007</v>
      </c>
      <c r="T19" s="4">
        <v>20916875</v>
      </c>
      <c r="U19" s="4">
        <v>2560525</v>
      </c>
      <c r="V19" s="4">
        <v>4774950</v>
      </c>
      <c r="W19" s="4">
        <v>1822363</v>
      </c>
      <c r="X19" s="4">
        <v>1374750</v>
      </c>
      <c r="Y19" s="4">
        <v>1803840</v>
      </c>
      <c r="Z19" s="4">
        <v>2300803</v>
      </c>
      <c r="AA19" s="4">
        <v>7483750</v>
      </c>
      <c r="AB19" s="4">
        <v>2343750</v>
      </c>
      <c r="AC19" s="4">
        <v>16316247</v>
      </c>
      <c r="AD19" s="4">
        <v>1050000</v>
      </c>
      <c r="AE19" s="4">
        <v>81480000</v>
      </c>
      <c r="AF19" s="4">
        <v>1360000</v>
      </c>
      <c r="AG19" s="4">
        <v>93746588.676477998</v>
      </c>
      <c r="AH19" s="4">
        <f>(+P19+C19+'Stock Prices'!R20*'Daily Position'!$H$4+'Stock Prices'!J20*'Daily Position'!$H$9+'Stock Prices'!N20*'Daily Position'!$H$10+'Stock Prices'!Z20*'Daily Position'!$H$11)/0.6*0.3612</f>
        <v>7983329.6087594898</v>
      </c>
    </row>
    <row r="20" spans="1:35" x14ac:dyDescent="0.25">
      <c r="A20" s="266">
        <v>36761</v>
      </c>
      <c r="B20" s="4">
        <v>1250000</v>
      </c>
      <c r="C20" s="4">
        <v>4563600</v>
      </c>
      <c r="D20" s="4">
        <v>2136334</v>
      </c>
      <c r="E20" s="4">
        <v>429975</v>
      </c>
      <c r="F20" s="4">
        <v>12500000</v>
      </c>
      <c r="G20" s="4">
        <v>116115000</v>
      </c>
      <c r="H20" s="4">
        <v>1663000</v>
      </c>
      <c r="I20" s="4">
        <v>12878050</v>
      </c>
      <c r="J20" s="4">
        <v>1012500</v>
      </c>
      <c r="K20" s="4">
        <v>23507914.999999996</v>
      </c>
      <c r="L20" s="4">
        <v>10372212</v>
      </c>
      <c r="M20" s="4">
        <v>1302980</v>
      </c>
      <c r="N20" s="4">
        <v>3486752</v>
      </c>
      <c r="O20" s="4">
        <v>429210</v>
      </c>
      <c r="P20" s="4">
        <v>470790</v>
      </c>
      <c r="Q20" s="4">
        <v>27082500</v>
      </c>
      <c r="R20" s="4">
        <v>7121810</v>
      </c>
      <c r="S20" s="4">
        <v>5644007</v>
      </c>
      <c r="T20" s="4">
        <v>20916875</v>
      </c>
      <c r="U20" s="4">
        <v>2560525</v>
      </c>
      <c r="V20" s="4">
        <v>4774950</v>
      </c>
      <c r="W20" s="4">
        <v>1822363</v>
      </c>
      <c r="X20" s="4">
        <v>1374750</v>
      </c>
      <c r="Y20" s="4">
        <v>1803840</v>
      </c>
      <c r="Z20" s="4">
        <v>2300803</v>
      </c>
      <c r="AA20" s="4">
        <v>7483750</v>
      </c>
      <c r="AB20" s="4">
        <v>2343750</v>
      </c>
      <c r="AC20" s="4">
        <v>16316247</v>
      </c>
      <c r="AD20" s="4">
        <v>1050000</v>
      </c>
      <c r="AE20" s="4">
        <v>81480000</v>
      </c>
      <c r="AF20" s="4">
        <v>1360000</v>
      </c>
      <c r="AG20" s="4">
        <v>93746588.676477998</v>
      </c>
      <c r="AH20" s="4">
        <f>(+P20+C20+'Stock Prices'!R21*'Daily Position'!$H$4+'Stock Prices'!J21*'Daily Position'!$H$9+'Stock Prices'!N21*'Daily Position'!$H$10+'Stock Prices'!Z21*'Daily Position'!$H$11)/0.6*0.3612</f>
        <v>7968829.7428202434</v>
      </c>
    </row>
    <row r="21" spans="1:35" x14ac:dyDescent="0.25">
      <c r="A21" s="266">
        <v>36762</v>
      </c>
      <c r="B21" s="4">
        <v>1250000</v>
      </c>
      <c r="C21" s="4">
        <v>4563600</v>
      </c>
      <c r="D21" s="4">
        <v>2136334</v>
      </c>
      <c r="E21" s="4">
        <v>429975</v>
      </c>
      <c r="F21" s="4">
        <v>12500000</v>
      </c>
      <c r="G21" s="4">
        <v>116115000</v>
      </c>
      <c r="H21" s="4">
        <v>1663000</v>
      </c>
      <c r="I21" s="4">
        <v>12878050</v>
      </c>
      <c r="J21" s="4">
        <v>1012500</v>
      </c>
      <c r="K21" s="4">
        <v>23507914.999999996</v>
      </c>
      <c r="L21" s="4">
        <v>10372212</v>
      </c>
      <c r="M21" s="4">
        <v>1302980</v>
      </c>
      <c r="N21" s="4">
        <v>3486752</v>
      </c>
      <c r="O21" s="4">
        <v>429210</v>
      </c>
      <c r="P21" s="4">
        <v>470790</v>
      </c>
      <c r="Q21" s="4">
        <v>27082500</v>
      </c>
      <c r="R21" s="4">
        <v>7121810</v>
      </c>
      <c r="S21" s="4">
        <v>5644007</v>
      </c>
      <c r="T21" s="4">
        <v>20916875</v>
      </c>
      <c r="U21" s="4">
        <v>2560525</v>
      </c>
      <c r="V21" s="4">
        <v>4774950</v>
      </c>
      <c r="W21" s="4">
        <v>1822363</v>
      </c>
      <c r="X21" s="4">
        <v>1374750</v>
      </c>
      <c r="Y21" s="4">
        <v>1803840</v>
      </c>
      <c r="Z21" s="4">
        <v>2300803</v>
      </c>
      <c r="AA21" s="4">
        <v>7483750</v>
      </c>
      <c r="AB21" s="4">
        <v>2343750</v>
      </c>
      <c r="AC21" s="4">
        <v>16316247</v>
      </c>
      <c r="AD21" s="4">
        <v>1050000</v>
      </c>
      <c r="AE21" s="4">
        <v>81480000</v>
      </c>
      <c r="AF21" s="4">
        <v>1360000</v>
      </c>
      <c r="AG21" s="4">
        <v>93746588.676477998</v>
      </c>
      <c r="AH21" s="4">
        <f>(+P21+C21+'Stock Prices'!R22*'Daily Position'!$H$4+'Stock Prices'!J22*'Daily Position'!$H$9+'Stock Prices'!N22*'Daily Position'!$H$10+'Stock Prices'!Z22*'Daily Position'!$H$11)/0.6*0.3612</f>
        <v>7945008.8584839934</v>
      </c>
    </row>
    <row r="22" spans="1:35" x14ac:dyDescent="0.25">
      <c r="A22" s="266">
        <v>36763</v>
      </c>
      <c r="B22" s="4">
        <v>1250000</v>
      </c>
      <c r="C22" s="4">
        <v>4563600</v>
      </c>
      <c r="D22" s="4">
        <v>2136334</v>
      </c>
      <c r="E22" s="4">
        <v>429975</v>
      </c>
      <c r="F22" s="4">
        <v>12500000</v>
      </c>
      <c r="G22" s="4">
        <v>116115000</v>
      </c>
      <c r="H22" s="4">
        <v>1663000</v>
      </c>
      <c r="I22" s="4">
        <v>12878050</v>
      </c>
      <c r="J22" s="4">
        <v>1012500</v>
      </c>
      <c r="K22" s="4">
        <v>23507914.999999996</v>
      </c>
      <c r="L22" s="4">
        <v>10372212</v>
      </c>
      <c r="M22" s="4">
        <v>1302980</v>
      </c>
      <c r="N22" s="4">
        <v>3486752</v>
      </c>
      <c r="O22" s="4">
        <v>429210</v>
      </c>
      <c r="P22" s="4">
        <v>470790</v>
      </c>
      <c r="Q22" s="4">
        <v>27082500</v>
      </c>
      <c r="R22" s="4">
        <v>7121810</v>
      </c>
      <c r="S22" s="4">
        <v>5644007</v>
      </c>
      <c r="T22" s="4">
        <v>20916875</v>
      </c>
      <c r="U22" s="4">
        <v>2560525</v>
      </c>
      <c r="V22" s="4">
        <v>4774950</v>
      </c>
      <c r="W22" s="4">
        <v>1822363</v>
      </c>
      <c r="X22" s="4">
        <v>1374750</v>
      </c>
      <c r="Y22" s="4">
        <v>1803840</v>
      </c>
      <c r="Z22" s="4">
        <v>2300803</v>
      </c>
      <c r="AA22" s="4">
        <v>7483750</v>
      </c>
      <c r="AB22" s="4">
        <v>2343750</v>
      </c>
      <c r="AC22" s="4">
        <v>16316247</v>
      </c>
      <c r="AD22" s="4">
        <v>1050000</v>
      </c>
      <c r="AE22" s="4">
        <v>81480000</v>
      </c>
      <c r="AF22" s="4">
        <v>1360000</v>
      </c>
      <c r="AG22" s="4">
        <v>93746588.676477998</v>
      </c>
      <c r="AH22" s="4">
        <f>(+P22+C22+'Stock Prices'!R23*'Daily Position'!$H$4+'Stock Prices'!J23*'Daily Position'!$H$9+'Stock Prices'!N23*'Daily Position'!$H$10+'Stock Prices'!Z23*'Daily Position'!$H$11)/0.6*0.3612</f>
        <v>7920306.8943286361</v>
      </c>
    </row>
    <row r="23" spans="1:35" x14ac:dyDescent="0.25">
      <c r="A23" s="266">
        <v>36766</v>
      </c>
      <c r="B23" s="4">
        <v>1250000</v>
      </c>
      <c r="C23" s="4">
        <v>4563600</v>
      </c>
      <c r="D23" s="4">
        <v>2136334</v>
      </c>
      <c r="E23" s="4">
        <v>429975</v>
      </c>
      <c r="F23" s="4">
        <v>12500000</v>
      </c>
      <c r="G23" s="4">
        <v>116115000</v>
      </c>
      <c r="H23" s="4">
        <v>1663000</v>
      </c>
      <c r="I23" s="4">
        <v>12878050</v>
      </c>
      <c r="J23" s="4">
        <v>1012500</v>
      </c>
      <c r="K23" s="4">
        <v>23507914.999999996</v>
      </c>
      <c r="L23" s="4">
        <v>10372212</v>
      </c>
      <c r="M23" s="4">
        <v>1302980</v>
      </c>
      <c r="N23" s="4">
        <v>3486752</v>
      </c>
      <c r="O23" s="4">
        <v>429210</v>
      </c>
      <c r="P23" s="4">
        <v>470790</v>
      </c>
      <c r="Q23" s="4">
        <v>27082500</v>
      </c>
      <c r="R23" s="4">
        <v>7121810</v>
      </c>
      <c r="S23" s="4">
        <v>5644007</v>
      </c>
      <c r="T23" s="4">
        <v>20916875</v>
      </c>
      <c r="U23" s="4">
        <v>2560525</v>
      </c>
      <c r="V23" s="4">
        <v>4774950</v>
      </c>
      <c r="W23" s="4">
        <v>1822363</v>
      </c>
      <c r="X23" s="4">
        <v>1374750</v>
      </c>
      <c r="Y23" s="4">
        <v>1803840</v>
      </c>
      <c r="Z23" s="4">
        <v>2300803</v>
      </c>
      <c r="AA23" s="4">
        <v>7483750</v>
      </c>
      <c r="AB23" s="4">
        <v>2343750</v>
      </c>
      <c r="AC23" s="4">
        <v>16316247</v>
      </c>
      <c r="AD23" s="4">
        <v>1050000</v>
      </c>
      <c r="AE23" s="4">
        <v>81480000</v>
      </c>
      <c r="AF23" s="4">
        <v>1360000</v>
      </c>
      <c r="AG23" s="4">
        <v>93746588.676477998</v>
      </c>
      <c r="AH23" s="4">
        <f>(+P23+C23+'Stock Prices'!R24*'Daily Position'!$H$4+'Stock Prices'!J24*'Daily Position'!$H$9+'Stock Prices'!N24*'Daily Position'!$H$10+'Stock Prices'!Z24*'Daily Position'!$H$11)/0.6*0.3612</f>
        <v>8017934.1921022637</v>
      </c>
    </row>
    <row r="24" spans="1:35" x14ac:dyDescent="0.25">
      <c r="A24" s="266">
        <v>36767</v>
      </c>
      <c r="B24" s="4">
        <v>1250000</v>
      </c>
      <c r="C24" s="4">
        <v>4563600</v>
      </c>
      <c r="D24" s="4">
        <v>2136334</v>
      </c>
      <c r="E24" s="4">
        <v>429975</v>
      </c>
      <c r="F24" s="4">
        <v>12500000</v>
      </c>
      <c r="G24" s="4">
        <v>116115000</v>
      </c>
      <c r="H24" s="4">
        <v>1663000</v>
      </c>
      <c r="I24" s="4">
        <v>12878050</v>
      </c>
      <c r="J24" s="4">
        <v>1012500</v>
      </c>
      <c r="K24" s="4">
        <v>23507914.999999996</v>
      </c>
      <c r="L24" s="4">
        <v>10372212</v>
      </c>
      <c r="M24" s="4">
        <v>1302980</v>
      </c>
      <c r="N24" s="4">
        <v>3486752</v>
      </c>
      <c r="O24" s="4">
        <v>429210</v>
      </c>
      <c r="P24" s="4">
        <v>470790</v>
      </c>
      <c r="Q24" s="4">
        <v>27082500</v>
      </c>
      <c r="R24" s="4">
        <v>7121810</v>
      </c>
      <c r="S24" s="4">
        <v>5644007</v>
      </c>
      <c r="T24" s="4">
        <v>20916875</v>
      </c>
      <c r="U24" s="4">
        <v>2560525</v>
      </c>
      <c r="V24" s="4">
        <v>4774950</v>
      </c>
      <c r="W24" s="4">
        <v>1822363</v>
      </c>
      <c r="X24" s="4">
        <v>1374750</v>
      </c>
      <c r="Y24" s="4">
        <v>1803840</v>
      </c>
      <c r="Z24" s="4">
        <v>2300803</v>
      </c>
      <c r="AA24" s="4">
        <v>7483750</v>
      </c>
      <c r="AB24" s="4">
        <v>2343750</v>
      </c>
      <c r="AC24" s="4">
        <v>16316247</v>
      </c>
      <c r="AD24" s="4">
        <v>1050000</v>
      </c>
      <c r="AE24" s="4">
        <v>81480000</v>
      </c>
      <c r="AF24" s="4">
        <v>1360000</v>
      </c>
      <c r="AG24" s="4">
        <v>93746588.676477998</v>
      </c>
      <c r="AH24" s="4">
        <f>(+P24+C24+'Stock Prices'!R25*'Daily Position'!$H$4+'Stock Prices'!J25*'Daily Position'!$H$9+'Stock Prices'!N25*'Daily Position'!$H$10+'Stock Prices'!Z25*'Daily Position'!$H$11)/0.6*0.3612</f>
        <v>8044699.9479289465</v>
      </c>
    </row>
    <row r="25" spans="1:35" x14ac:dyDescent="0.25">
      <c r="A25" s="266">
        <v>36768</v>
      </c>
      <c r="B25" s="4">
        <v>1250000</v>
      </c>
      <c r="C25" s="4">
        <v>4563600</v>
      </c>
      <c r="D25" s="4">
        <v>2136334</v>
      </c>
      <c r="E25" s="4">
        <v>429975</v>
      </c>
      <c r="F25" s="4">
        <v>12500000</v>
      </c>
      <c r="G25" s="4">
        <v>116115000</v>
      </c>
      <c r="H25" s="4">
        <v>1663000</v>
      </c>
      <c r="I25" s="4">
        <v>12878050</v>
      </c>
      <c r="J25" s="4">
        <v>1012500</v>
      </c>
      <c r="K25" s="4">
        <v>23507914.999999996</v>
      </c>
      <c r="L25" s="4">
        <v>10372212</v>
      </c>
      <c r="M25" s="4">
        <v>1302980</v>
      </c>
      <c r="N25" s="4">
        <v>3486752</v>
      </c>
      <c r="O25" s="4">
        <v>429210</v>
      </c>
      <c r="P25" s="4">
        <v>470790</v>
      </c>
      <c r="Q25" s="4">
        <v>27082500</v>
      </c>
      <c r="R25" s="4">
        <v>7121810</v>
      </c>
      <c r="S25" s="4">
        <v>5644007</v>
      </c>
      <c r="T25" s="4">
        <v>20916875</v>
      </c>
      <c r="U25" s="4">
        <v>2560525</v>
      </c>
      <c r="V25" s="4">
        <v>4774950</v>
      </c>
      <c r="W25" s="4">
        <v>1822363</v>
      </c>
      <c r="X25" s="4">
        <v>1374750</v>
      </c>
      <c r="Y25" s="4">
        <v>1803840</v>
      </c>
      <c r="Z25" s="4">
        <v>2300803</v>
      </c>
      <c r="AA25" s="4">
        <v>7483750</v>
      </c>
      <c r="AB25" s="4">
        <v>2343750</v>
      </c>
      <c r="AC25" s="4">
        <v>16316247</v>
      </c>
      <c r="AD25" s="4">
        <v>1050000</v>
      </c>
      <c r="AE25" s="4">
        <v>81480000</v>
      </c>
      <c r="AF25" s="4">
        <v>1360000</v>
      </c>
      <c r="AG25" s="4">
        <v>93746588.676477998</v>
      </c>
      <c r="AH25" s="4">
        <f>(+P25+C25+'Stock Prices'!R26*'Daily Position'!$H$4+'Stock Prices'!J26*'Daily Position'!$H$9+'Stock Prices'!N26*'Daily Position'!$H$10+'Stock Prices'!Z26*'Daily Position'!$H$11)/0.6*0.3612</f>
        <v>7962394.0422767578</v>
      </c>
    </row>
    <row r="26" spans="1:35" x14ac:dyDescent="0.25">
      <c r="A26" s="266">
        <v>36769</v>
      </c>
      <c r="B26" s="4">
        <v>1250000</v>
      </c>
      <c r="C26" s="4">
        <v>4563600</v>
      </c>
      <c r="D26" s="4">
        <v>2136334</v>
      </c>
      <c r="E26" s="4">
        <v>429975</v>
      </c>
      <c r="F26" s="4">
        <v>12500000</v>
      </c>
      <c r="G26" s="4">
        <v>116115000</v>
      </c>
      <c r="H26" s="4">
        <v>1663000</v>
      </c>
      <c r="I26" s="4">
        <v>12878050</v>
      </c>
      <c r="J26" s="4">
        <v>1012500</v>
      </c>
      <c r="K26" s="4">
        <v>23507914.999999996</v>
      </c>
      <c r="L26" s="4">
        <v>10372212</v>
      </c>
      <c r="M26" s="4">
        <v>1302980</v>
      </c>
      <c r="N26" s="4">
        <v>3486752</v>
      </c>
      <c r="O26" s="4">
        <v>429210</v>
      </c>
      <c r="P26" s="4">
        <v>470790</v>
      </c>
      <c r="Q26" s="4">
        <v>27082500</v>
      </c>
      <c r="R26" s="4">
        <v>7121810</v>
      </c>
      <c r="S26" s="4">
        <v>5644007</v>
      </c>
      <c r="T26" s="4">
        <v>20916875</v>
      </c>
      <c r="U26" s="4">
        <v>2560525</v>
      </c>
      <c r="V26" s="4">
        <v>4774950</v>
      </c>
      <c r="W26" s="4">
        <v>1822363</v>
      </c>
      <c r="X26" s="4">
        <v>1374750</v>
      </c>
      <c r="Y26" s="4">
        <v>1803840</v>
      </c>
      <c r="Z26" s="4">
        <v>2300803</v>
      </c>
      <c r="AA26" s="4">
        <v>7483750</v>
      </c>
      <c r="AB26" s="4">
        <v>2343750</v>
      </c>
      <c r="AC26" s="4">
        <v>16316247</v>
      </c>
      <c r="AD26" s="4">
        <v>1050000</v>
      </c>
      <c r="AE26" s="4">
        <v>81480000</v>
      </c>
      <c r="AF26" s="4">
        <v>1360000</v>
      </c>
      <c r="AG26" s="4">
        <v>93746588.676477998</v>
      </c>
      <c r="AH26" s="4">
        <f>(+P26+C26+'Stock Prices'!R27*'Daily Position'!$H$4+'Stock Prices'!J27*'Daily Position'!$H$9+'Stock Prices'!N27*'Daily Position'!$H$10+'Stock Prices'!Z27*'Daily Position'!$H$11)/0.6*0.3612</f>
        <v>7924559.2541880365</v>
      </c>
    </row>
    <row r="27" spans="1:35" x14ac:dyDescent="0.25">
      <c r="A27" s="266">
        <v>36770</v>
      </c>
      <c r="B27" s="4">
        <v>1250000</v>
      </c>
      <c r="C27" s="4">
        <v>4563600</v>
      </c>
      <c r="D27" s="4">
        <v>2136334</v>
      </c>
      <c r="E27" s="4">
        <v>429975</v>
      </c>
      <c r="F27" s="4">
        <v>12500000</v>
      </c>
      <c r="G27" s="4">
        <v>116115000</v>
      </c>
      <c r="H27" s="4">
        <v>1663000</v>
      </c>
      <c r="I27" s="4">
        <v>12878050</v>
      </c>
      <c r="J27" s="4">
        <v>1012500</v>
      </c>
      <c r="K27" s="4">
        <v>23507914.999999996</v>
      </c>
      <c r="L27" s="4">
        <v>10372212</v>
      </c>
      <c r="M27" s="4">
        <v>1302980</v>
      </c>
      <c r="N27" s="4">
        <v>3486752</v>
      </c>
      <c r="O27" s="4">
        <v>429210</v>
      </c>
      <c r="P27" s="4">
        <v>470790</v>
      </c>
      <c r="Q27" s="4">
        <v>27082500</v>
      </c>
      <c r="R27" s="4">
        <v>7121810</v>
      </c>
      <c r="S27" s="4">
        <v>5644007</v>
      </c>
      <c r="T27" s="4">
        <v>20916875</v>
      </c>
      <c r="U27" s="4">
        <v>2560525</v>
      </c>
      <c r="V27" s="4">
        <v>4774950</v>
      </c>
      <c r="W27" s="4">
        <v>1822363</v>
      </c>
      <c r="X27" s="4">
        <v>1374750</v>
      </c>
      <c r="Y27" s="4">
        <v>1803840</v>
      </c>
      <c r="Z27" s="4">
        <v>2300803</v>
      </c>
      <c r="AA27" s="4">
        <v>7483750</v>
      </c>
      <c r="AB27" s="4">
        <v>2343750</v>
      </c>
      <c r="AC27" s="4">
        <v>16316247</v>
      </c>
      <c r="AD27" s="4">
        <v>1050000</v>
      </c>
      <c r="AE27" s="4">
        <v>81480000</v>
      </c>
      <c r="AF27" s="4">
        <v>1360000</v>
      </c>
      <c r="AG27" s="4">
        <v>93746588.676477998</v>
      </c>
      <c r="AH27" s="4">
        <f>(+P27+C27+'Stock Prices'!R28*'Daily Position'!$H$4+'Stock Prices'!J28*'Daily Position'!$H$9+'Stock Prices'!N28*'Daily Position'!$H$10+'Stock Prices'!Z28*'Daily Position'!$H$11)/0.6*0.3612</f>
        <v>8073962.1830421966</v>
      </c>
    </row>
    <row r="28" spans="1:35" x14ac:dyDescent="0.25">
      <c r="A28" s="266">
        <v>36774</v>
      </c>
      <c r="B28" s="4">
        <v>1250000</v>
      </c>
      <c r="C28" s="4">
        <v>4563600</v>
      </c>
      <c r="D28" s="4">
        <v>2136334</v>
      </c>
      <c r="E28" s="4">
        <v>429975</v>
      </c>
      <c r="F28" s="4">
        <v>12500000</v>
      </c>
      <c r="G28" s="4">
        <v>116115000</v>
      </c>
      <c r="H28" s="4">
        <v>1663000</v>
      </c>
      <c r="I28" s="4">
        <v>12878050</v>
      </c>
      <c r="J28" s="4">
        <v>1012500</v>
      </c>
      <c r="K28" s="4">
        <v>23507914.999999996</v>
      </c>
      <c r="L28" s="4">
        <v>10372212</v>
      </c>
      <c r="M28" s="4">
        <v>1302980</v>
      </c>
      <c r="N28" s="4">
        <v>3486752</v>
      </c>
      <c r="O28" s="4">
        <v>429210</v>
      </c>
      <c r="P28" s="4">
        <v>470790</v>
      </c>
      <c r="Q28" s="4">
        <v>27082500</v>
      </c>
      <c r="R28" s="4">
        <v>7121810</v>
      </c>
      <c r="S28" s="4">
        <v>5644007</v>
      </c>
      <c r="T28" s="4">
        <v>20916875</v>
      </c>
      <c r="U28" s="4">
        <v>2560525</v>
      </c>
      <c r="V28" s="4">
        <v>4774950</v>
      </c>
      <c r="W28" s="4">
        <v>1822363</v>
      </c>
      <c r="X28" s="4">
        <v>1374750</v>
      </c>
      <c r="Y28" s="4">
        <v>1803840</v>
      </c>
      <c r="Z28" s="4">
        <v>2300803</v>
      </c>
      <c r="AA28" s="4">
        <v>7483750</v>
      </c>
      <c r="AB28" s="4">
        <v>2343750</v>
      </c>
      <c r="AC28" s="4">
        <v>16316247</v>
      </c>
      <c r="AD28" s="4">
        <v>1050000</v>
      </c>
      <c r="AE28" s="4">
        <v>81480000</v>
      </c>
      <c r="AF28" s="4">
        <v>1360000</v>
      </c>
      <c r="AG28" s="4">
        <v>93746588.676477998</v>
      </c>
      <c r="AH28" s="4">
        <f>(+P28+C28+'Stock Prices'!R29*'Daily Position'!$H$4+'Stock Prices'!J29*'Daily Position'!$H$9+'Stock Prices'!N29*'Daily Position'!$H$10+'Stock Prices'!Z29*'Daily Position'!$H$11)/0.6*0.3612</f>
        <v>8047323.4623933118</v>
      </c>
    </row>
    <row r="29" spans="1:35" x14ac:dyDescent="0.25">
      <c r="A29" s="266">
        <v>36775</v>
      </c>
      <c r="B29" s="4">
        <v>1250000</v>
      </c>
      <c r="C29" s="4">
        <v>4563600</v>
      </c>
      <c r="D29" s="4">
        <v>2136334</v>
      </c>
      <c r="E29" s="4">
        <v>429975</v>
      </c>
      <c r="F29" s="4">
        <v>12500000</v>
      </c>
      <c r="G29" s="4">
        <v>116115000</v>
      </c>
      <c r="H29" s="4">
        <v>1663000</v>
      </c>
      <c r="I29" s="4">
        <v>12878050</v>
      </c>
      <c r="J29" s="4">
        <v>1012500</v>
      </c>
      <c r="K29" s="4">
        <v>23507914.999999996</v>
      </c>
      <c r="L29" s="4">
        <v>10372212</v>
      </c>
      <c r="M29" s="4">
        <v>1302980</v>
      </c>
      <c r="N29" s="4">
        <v>3486752</v>
      </c>
      <c r="O29" s="4">
        <v>429210</v>
      </c>
      <c r="P29" s="4">
        <v>470790</v>
      </c>
      <c r="Q29" s="4">
        <v>27082500</v>
      </c>
      <c r="R29" s="4">
        <v>7121810</v>
      </c>
      <c r="S29" s="4">
        <v>5644007</v>
      </c>
      <c r="T29" s="4">
        <v>20916875</v>
      </c>
      <c r="U29" s="4">
        <v>2560525</v>
      </c>
      <c r="V29" s="4">
        <v>4774950</v>
      </c>
      <c r="W29" s="4">
        <v>1822363</v>
      </c>
      <c r="X29" s="4">
        <v>1374750</v>
      </c>
      <c r="Y29" s="4">
        <v>1803840</v>
      </c>
      <c r="Z29" s="4">
        <v>2300803</v>
      </c>
      <c r="AA29" s="4">
        <v>7483750</v>
      </c>
      <c r="AB29" s="4">
        <v>2343750</v>
      </c>
      <c r="AC29" s="4">
        <v>16316247</v>
      </c>
      <c r="AD29" s="4">
        <v>1050000</v>
      </c>
      <c r="AE29" s="4">
        <v>81480000</v>
      </c>
      <c r="AF29" s="4">
        <v>1360000</v>
      </c>
      <c r="AG29" s="4">
        <v>93746588.676477998</v>
      </c>
      <c r="AH29" s="4">
        <f>(+P29+C29+'Stock Prices'!R30*'Daily Position'!$H$4+'Stock Prices'!J30*'Daily Position'!$H$9+'Stock Prices'!N30*'Daily Position'!$H$10+'Stock Prices'!Z30*'Daily Position'!$H$11)/0.6*0.3612</f>
        <v>8005153.5893882988</v>
      </c>
    </row>
    <row r="30" spans="1:35" x14ac:dyDescent="0.25">
      <c r="A30" s="266">
        <v>36776</v>
      </c>
      <c r="B30" s="4">
        <v>1250000</v>
      </c>
      <c r="C30" s="4">
        <v>4563600</v>
      </c>
      <c r="D30" s="4">
        <v>2136334</v>
      </c>
      <c r="E30" s="4">
        <v>429975</v>
      </c>
      <c r="F30" s="4">
        <v>12500000</v>
      </c>
      <c r="G30" s="4">
        <v>116115000</v>
      </c>
      <c r="H30" s="4">
        <v>1663000</v>
      </c>
      <c r="I30" s="4">
        <v>12878050</v>
      </c>
      <c r="J30" s="4">
        <v>1012500</v>
      </c>
      <c r="K30" s="4">
        <v>23507914.999999996</v>
      </c>
      <c r="L30" s="4">
        <v>10372212</v>
      </c>
      <c r="M30" s="4">
        <v>1302980</v>
      </c>
      <c r="N30" s="4">
        <v>3486752</v>
      </c>
      <c r="O30" s="4">
        <v>429210</v>
      </c>
      <c r="P30" s="4">
        <v>470790</v>
      </c>
      <c r="Q30" s="4">
        <v>27082500</v>
      </c>
      <c r="R30" s="4">
        <v>7121810</v>
      </c>
      <c r="S30" s="4">
        <v>5644007</v>
      </c>
      <c r="T30" s="4">
        <v>20916875</v>
      </c>
      <c r="U30" s="4">
        <v>2560525</v>
      </c>
      <c r="V30" s="4">
        <v>4774950</v>
      </c>
      <c r="W30" s="4">
        <v>1822363</v>
      </c>
      <c r="X30" s="4">
        <v>1374750</v>
      </c>
      <c r="Y30" s="4">
        <v>1803840</v>
      </c>
      <c r="Z30" s="4">
        <v>2300803</v>
      </c>
      <c r="AA30" s="4">
        <v>7483750</v>
      </c>
      <c r="AB30" s="4">
        <v>2343750</v>
      </c>
      <c r="AC30" s="4">
        <v>16316247</v>
      </c>
      <c r="AD30" s="4">
        <v>1050000</v>
      </c>
      <c r="AE30" s="4">
        <v>81480000</v>
      </c>
      <c r="AF30" s="4">
        <v>1360000</v>
      </c>
      <c r="AG30" s="4">
        <v>93746588.676477998</v>
      </c>
      <c r="AH30" s="4">
        <f>(+P30+C30+'Stock Prices'!R31*'Daily Position'!$H$4+'Stock Prices'!J31*'Daily Position'!$H$9+'Stock Prices'!N31*'Daily Position'!$H$10+'Stock Prices'!Z31*'Daily Position'!$H$11)/0.6*0.3612</f>
        <v>7894403.0418475969</v>
      </c>
    </row>
    <row r="31" spans="1:35" x14ac:dyDescent="0.25">
      <c r="A31" s="266">
        <v>36777</v>
      </c>
      <c r="B31" s="4">
        <v>1250000</v>
      </c>
      <c r="C31" s="4">
        <v>4563600</v>
      </c>
      <c r="D31" s="4">
        <v>2136334</v>
      </c>
      <c r="E31" s="4">
        <v>429975</v>
      </c>
      <c r="F31" s="4">
        <v>12500000</v>
      </c>
      <c r="G31" s="4">
        <v>116115000</v>
      </c>
      <c r="H31" s="4">
        <v>1663000</v>
      </c>
      <c r="I31" s="4">
        <v>12878050</v>
      </c>
      <c r="J31" s="4">
        <v>1012500</v>
      </c>
      <c r="K31" s="4">
        <v>23507914.999999996</v>
      </c>
      <c r="L31" s="4">
        <v>10372212</v>
      </c>
      <c r="M31" s="4">
        <v>1302980</v>
      </c>
      <c r="N31" s="4">
        <v>3486752</v>
      </c>
      <c r="O31" s="4">
        <v>429210</v>
      </c>
      <c r="P31" s="4">
        <v>470790</v>
      </c>
      <c r="Q31" s="4">
        <v>27082500</v>
      </c>
      <c r="R31" s="4">
        <v>7121810</v>
      </c>
      <c r="S31" s="4">
        <v>5644007</v>
      </c>
      <c r="T31" s="4">
        <v>20916875</v>
      </c>
      <c r="U31" s="4">
        <v>2560525</v>
      </c>
      <c r="V31" s="4">
        <v>4774950</v>
      </c>
      <c r="W31" s="4">
        <v>1822363</v>
      </c>
      <c r="X31" s="4">
        <v>1374750</v>
      </c>
      <c r="Y31" s="4">
        <v>1803840</v>
      </c>
      <c r="Z31" s="4">
        <v>2300803</v>
      </c>
      <c r="AA31" s="4">
        <v>7483750</v>
      </c>
      <c r="AB31" s="4">
        <v>2343750</v>
      </c>
      <c r="AC31" s="4">
        <v>16316247</v>
      </c>
      <c r="AD31" s="4">
        <v>1050000</v>
      </c>
      <c r="AE31" s="4">
        <v>81480000</v>
      </c>
      <c r="AF31" s="4">
        <v>1360000</v>
      </c>
      <c r="AG31" s="4">
        <v>93746588.676477998</v>
      </c>
      <c r="AH31" s="4">
        <f>(+P31+C31+'Stock Prices'!R32*'Daily Position'!$H$4+'Stock Prices'!J32*'Daily Position'!$H$9+'Stock Prices'!N32*'Daily Position'!$H$10+'Stock Prices'!Z32*'Daily Position'!$H$11)/0.6*0.3612</f>
        <v>7853501.3723968957</v>
      </c>
    </row>
    <row r="32" spans="1:35" x14ac:dyDescent="0.25">
      <c r="A32" s="266">
        <v>36780</v>
      </c>
      <c r="B32" s="4">
        <v>1250000</v>
      </c>
      <c r="C32" s="4">
        <v>4563600</v>
      </c>
      <c r="D32" s="4">
        <v>2136334</v>
      </c>
      <c r="E32" s="4">
        <v>429975</v>
      </c>
      <c r="F32" s="4">
        <v>12500000</v>
      </c>
      <c r="G32" s="4">
        <v>116115000</v>
      </c>
      <c r="H32" s="4">
        <v>1663000</v>
      </c>
      <c r="I32" s="4">
        <v>12878050</v>
      </c>
      <c r="J32" s="4">
        <v>1012500</v>
      </c>
      <c r="K32" s="4">
        <v>23507914.999999996</v>
      </c>
      <c r="L32" s="4">
        <v>10372212</v>
      </c>
      <c r="M32" s="4">
        <v>1302980</v>
      </c>
      <c r="N32" s="4">
        <v>3486752</v>
      </c>
      <c r="O32" s="4">
        <v>429210</v>
      </c>
      <c r="P32" s="4">
        <v>470790</v>
      </c>
      <c r="Q32" s="4">
        <v>27082500</v>
      </c>
      <c r="R32" s="4">
        <v>7121810</v>
      </c>
      <c r="S32" s="4">
        <v>5644007</v>
      </c>
      <c r="T32" s="4">
        <v>20916875</v>
      </c>
      <c r="U32" s="4">
        <v>2560525</v>
      </c>
      <c r="V32" s="4">
        <v>4774950</v>
      </c>
      <c r="W32" s="4">
        <v>1822363</v>
      </c>
      <c r="X32" s="4">
        <v>1374750</v>
      </c>
      <c r="Y32" s="4">
        <v>1803840</v>
      </c>
      <c r="Z32" s="4">
        <v>2300803</v>
      </c>
      <c r="AA32" s="4">
        <v>7483750</v>
      </c>
      <c r="AB32" s="4">
        <v>2343750</v>
      </c>
      <c r="AC32" s="4">
        <v>16316247</v>
      </c>
      <c r="AD32" s="4">
        <v>1050000</v>
      </c>
      <c r="AE32" s="4">
        <v>81480000</v>
      </c>
      <c r="AF32" s="4">
        <v>1360000</v>
      </c>
      <c r="AG32" s="4">
        <v>93746588.676477998</v>
      </c>
      <c r="AH32" s="4">
        <f>(+P32+C32+'Stock Prices'!R33*'Daily Position'!$H$4+'Stock Prices'!J33*'Daily Position'!$H$9+'Stock Prices'!N33*'Daily Position'!$H$10+'Stock Prices'!Z33*'Daily Position'!$H$11)/0.6*0.3612</f>
        <v>7933468.8775729267</v>
      </c>
    </row>
    <row r="33" spans="1:34" x14ac:dyDescent="0.25">
      <c r="A33" s="266">
        <v>36781</v>
      </c>
      <c r="B33" s="4">
        <v>1250000</v>
      </c>
      <c r="C33" s="4">
        <v>4563600</v>
      </c>
      <c r="D33" s="4">
        <v>2136334</v>
      </c>
      <c r="E33" s="4">
        <v>429975</v>
      </c>
      <c r="F33" s="4">
        <v>12500000</v>
      </c>
      <c r="G33" s="4">
        <v>116115000</v>
      </c>
      <c r="H33" s="4">
        <v>1663000</v>
      </c>
      <c r="I33" s="4">
        <v>12878050</v>
      </c>
      <c r="J33" s="4">
        <v>1012500</v>
      </c>
      <c r="K33" s="4">
        <v>23507914.999999996</v>
      </c>
      <c r="L33" s="4">
        <v>10372212</v>
      </c>
      <c r="M33" s="4">
        <v>1302980</v>
      </c>
      <c r="N33" s="4">
        <v>3486752</v>
      </c>
      <c r="O33" s="4">
        <v>429210</v>
      </c>
      <c r="P33" s="4">
        <v>470790</v>
      </c>
      <c r="Q33" s="4">
        <v>27082500</v>
      </c>
      <c r="R33" s="4">
        <v>7121810</v>
      </c>
      <c r="S33" s="4">
        <v>5644007</v>
      </c>
      <c r="T33" s="4">
        <v>20916875</v>
      </c>
      <c r="U33" s="4">
        <v>2560525</v>
      </c>
      <c r="V33" s="4">
        <v>4774950</v>
      </c>
      <c r="W33" s="4">
        <v>1822363</v>
      </c>
      <c r="X33" s="4">
        <v>1374750</v>
      </c>
      <c r="Y33" s="4">
        <v>1803840</v>
      </c>
      <c r="Z33" s="4">
        <v>2300803</v>
      </c>
      <c r="AA33" s="4">
        <v>7483750</v>
      </c>
      <c r="AB33" s="4">
        <v>2343750</v>
      </c>
      <c r="AC33" s="4">
        <v>16316247</v>
      </c>
      <c r="AD33" s="4">
        <v>1050000</v>
      </c>
      <c r="AE33" s="4">
        <v>81480000</v>
      </c>
      <c r="AF33" s="4">
        <v>1360000</v>
      </c>
      <c r="AG33" s="4">
        <v>93746588.676477998</v>
      </c>
      <c r="AH33" s="4">
        <f>(+P33+C33+'Stock Prices'!R34*'Daily Position'!$H$4+'Stock Prices'!J34*'Daily Position'!$H$9+'Stock Prices'!N34*'Daily Position'!$H$10+'Stock Prices'!Z34*'Daily Position'!$H$11)/0.6*0.3612</f>
        <v>7939507.5711356811</v>
      </c>
    </row>
    <row r="34" spans="1:34" x14ac:dyDescent="0.25">
      <c r="A34" s="266">
        <v>36782</v>
      </c>
      <c r="B34" s="4">
        <v>1250000</v>
      </c>
      <c r="C34" s="4">
        <v>4563600</v>
      </c>
      <c r="D34" s="4">
        <v>2136334</v>
      </c>
      <c r="E34" s="4">
        <v>429975</v>
      </c>
      <c r="F34" s="4">
        <v>12500000</v>
      </c>
      <c r="G34" s="4">
        <v>116115000</v>
      </c>
      <c r="H34" s="4">
        <v>1663000</v>
      </c>
      <c r="I34" s="4">
        <v>12878050</v>
      </c>
      <c r="J34" s="4">
        <v>1012500</v>
      </c>
      <c r="K34" s="4">
        <v>23507914.999999996</v>
      </c>
      <c r="L34" s="4">
        <v>10372212</v>
      </c>
      <c r="M34" s="4">
        <v>1302980</v>
      </c>
      <c r="N34" s="4">
        <v>3486752</v>
      </c>
      <c r="O34" s="4">
        <v>429210</v>
      </c>
      <c r="P34" s="4">
        <v>470790</v>
      </c>
      <c r="Q34" s="4">
        <v>27082500</v>
      </c>
      <c r="R34" s="4">
        <v>7121810</v>
      </c>
      <c r="S34" s="4">
        <v>5644007</v>
      </c>
      <c r="T34" s="4">
        <v>20916875</v>
      </c>
      <c r="U34" s="4">
        <v>2560525</v>
      </c>
      <c r="V34" s="4">
        <v>4774950</v>
      </c>
      <c r="W34" s="4">
        <v>1822363</v>
      </c>
      <c r="X34" s="4">
        <v>1374750</v>
      </c>
      <c r="Y34" s="4">
        <v>1803840</v>
      </c>
      <c r="Z34" s="4">
        <v>2300803</v>
      </c>
      <c r="AA34" s="4">
        <v>7483750</v>
      </c>
      <c r="AB34" s="4">
        <v>2343750</v>
      </c>
      <c r="AC34" s="4">
        <v>16316247</v>
      </c>
      <c r="AD34" s="4">
        <v>1050000</v>
      </c>
      <c r="AE34" s="4">
        <v>81480000</v>
      </c>
      <c r="AF34" s="4">
        <v>1360000</v>
      </c>
      <c r="AG34" s="4">
        <v>93746588.676477998</v>
      </c>
      <c r="AH34" s="4">
        <f>(+P34+C34+'Stock Prices'!R35*'Daily Position'!$H$4+'Stock Prices'!J35*'Daily Position'!$H$9+'Stock Prices'!N35*'Daily Position'!$H$10+'Stock Prices'!Z35*'Daily Position'!$H$11)/0.6*0.3612</f>
        <v>7836360.7341768676</v>
      </c>
    </row>
    <row r="35" spans="1:34" x14ac:dyDescent="0.25">
      <c r="A35" s="266">
        <v>36783</v>
      </c>
      <c r="B35" s="4">
        <v>1250000</v>
      </c>
      <c r="C35" s="4">
        <v>4563600</v>
      </c>
      <c r="D35" s="4">
        <v>2136334</v>
      </c>
      <c r="E35" s="4">
        <v>429975</v>
      </c>
      <c r="F35" s="4">
        <v>12500000</v>
      </c>
      <c r="G35" s="4">
        <v>116115000</v>
      </c>
      <c r="H35" s="4">
        <v>1663000</v>
      </c>
      <c r="I35" s="4">
        <v>12878050</v>
      </c>
      <c r="J35" s="4">
        <v>1012500</v>
      </c>
      <c r="K35" s="4">
        <v>23507914.999999996</v>
      </c>
      <c r="L35" s="4">
        <v>10372212</v>
      </c>
      <c r="M35" s="4">
        <v>1302980</v>
      </c>
      <c r="N35" s="4">
        <v>3486752</v>
      </c>
      <c r="O35" s="4">
        <v>429210</v>
      </c>
      <c r="P35" s="4">
        <v>470790</v>
      </c>
      <c r="Q35" s="4">
        <v>27082500</v>
      </c>
      <c r="R35" s="4">
        <v>7121810</v>
      </c>
      <c r="S35" s="4">
        <v>5644007</v>
      </c>
      <c r="T35" s="4">
        <v>20916875</v>
      </c>
      <c r="U35" s="4">
        <v>2560525</v>
      </c>
      <c r="V35" s="4">
        <v>4774950</v>
      </c>
      <c r="W35" s="4">
        <v>2340380.6120532257</v>
      </c>
      <c r="X35" s="4">
        <v>1374750</v>
      </c>
      <c r="Y35" s="4">
        <v>2177389.5</v>
      </c>
      <c r="Z35" s="4">
        <v>1927253.5</v>
      </c>
      <c r="AA35" s="4">
        <v>7483750</v>
      </c>
      <c r="AB35" s="4">
        <v>2343750</v>
      </c>
      <c r="AC35" s="4">
        <v>16316247</v>
      </c>
      <c r="AD35" s="4">
        <v>1050000</v>
      </c>
      <c r="AE35" s="4">
        <v>81480000</v>
      </c>
      <c r="AF35" s="4">
        <v>1360000</v>
      </c>
      <c r="AG35" s="4">
        <v>93746588.676477998</v>
      </c>
      <c r="AH35" s="4">
        <v>8181870.9616273884</v>
      </c>
    </row>
    <row r="36" spans="1:34" x14ac:dyDescent="0.25">
      <c r="A36" s="266">
        <v>36784</v>
      </c>
      <c r="B36" s="4">
        <v>1250000</v>
      </c>
      <c r="C36" s="4">
        <v>4563600</v>
      </c>
      <c r="D36" s="4">
        <v>2136334</v>
      </c>
      <c r="E36" s="4">
        <v>429975</v>
      </c>
      <c r="F36" s="4">
        <v>12500000</v>
      </c>
      <c r="G36" s="4">
        <v>116115000</v>
      </c>
      <c r="H36" s="4">
        <v>1663000</v>
      </c>
      <c r="I36" s="4">
        <v>12878050</v>
      </c>
      <c r="J36" s="4">
        <v>1012500</v>
      </c>
      <c r="K36" s="4">
        <v>23507914.999999996</v>
      </c>
      <c r="L36" s="4">
        <v>10372212</v>
      </c>
      <c r="M36" s="4">
        <v>1302980</v>
      </c>
      <c r="N36" s="4">
        <v>3486752</v>
      </c>
      <c r="O36" s="4">
        <v>429210</v>
      </c>
      <c r="P36" s="4">
        <v>470790</v>
      </c>
      <c r="Q36" s="4">
        <v>27082500</v>
      </c>
      <c r="R36" s="4">
        <v>7121810</v>
      </c>
      <c r="S36" s="4">
        <v>5644007</v>
      </c>
      <c r="T36" s="4">
        <v>20916875</v>
      </c>
      <c r="U36" s="4">
        <v>2560525</v>
      </c>
      <c r="V36" s="4">
        <v>4774950</v>
      </c>
      <c r="W36" s="4">
        <v>2345283.662005493</v>
      </c>
      <c r="X36" s="4">
        <v>1374750</v>
      </c>
      <c r="Y36" s="4">
        <v>2177389.5</v>
      </c>
      <c r="Z36" s="4">
        <v>1927253.5</v>
      </c>
      <c r="AA36" s="4">
        <v>7483750</v>
      </c>
      <c r="AB36" s="4">
        <v>2343750</v>
      </c>
      <c r="AC36" s="4">
        <v>16316247</v>
      </c>
      <c r="AD36" s="4">
        <v>1050000</v>
      </c>
      <c r="AE36" s="4">
        <v>81480000</v>
      </c>
      <c r="AF36" s="4">
        <v>1360000</v>
      </c>
      <c r="AG36" s="4">
        <v>93746588.676477998</v>
      </c>
      <c r="AH36" s="4">
        <v>8311096.1479159668</v>
      </c>
    </row>
    <row r="37" spans="1:34" x14ac:dyDescent="0.25">
      <c r="A37" s="266">
        <v>36787</v>
      </c>
      <c r="B37" s="4">
        <v>1250000</v>
      </c>
      <c r="C37" s="4">
        <v>4563600</v>
      </c>
      <c r="D37" s="4">
        <v>2136334</v>
      </c>
      <c r="E37" s="4">
        <v>429975</v>
      </c>
      <c r="F37" s="4">
        <v>12500000</v>
      </c>
      <c r="G37" s="4">
        <v>116115000</v>
      </c>
      <c r="H37" s="4">
        <v>1663000</v>
      </c>
      <c r="I37" s="4">
        <v>12878050</v>
      </c>
      <c r="J37" s="4">
        <v>1012500</v>
      </c>
      <c r="K37" s="4">
        <v>23507914.999999996</v>
      </c>
      <c r="L37" s="4">
        <v>10372212</v>
      </c>
      <c r="M37" s="4">
        <v>1302980</v>
      </c>
      <c r="N37" s="4">
        <v>3486752</v>
      </c>
      <c r="O37" s="4">
        <v>429210</v>
      </c>
      <c r="P37" s="4">
        <v>470790</v>
      </c>
      <c r="Q37" s="4">
        <v>27082500</v>
      </c>
      <c r="R37" s="4">
        <v>7121810</v>
      </c>
      <c r="S37" s="4">
        <v>5644007</v>
      </c>
      <c r="T37" s="4">
        <v>20916875</v>
      </c>
      <c r="U37" s="4">
        <v>2560525</v>
      </c>
      <c r="V37" s="4">
        <v>4774950</v>
      </c>
      <c r="W37" s="4">
        <v>2354608.7512366064</v>
      </c>
      <c r="X37" s="4">
        <v>1374750</v>
      </c>
      <c r="Y37" s="4">
        <v>2177389.5</v>
      </c>
      <c r="Z37" s="4">
        <v>1927253.5</v>
      </c>
      <c r="AA37" s="4">
        <v>7483750</v>
      </c>
      <c r="AB37" s="4">
        <v>2343750</v>
      </c>
      <c r="AC37" s="4">
        <v>16316247</v>
      </c>
      <c r="AD37" s="4">
        <v>1050000</v>
      </c>
      <c r="AE37" s="4">
        <v>81480000</v>
      </c>
      <c r="AF37" s="4">
        <v>1360000</v>
      </c>
      <c r="AG37" s="4">
        <v>93746588.676477998</v>
      </c>
      <c r="AH37" s="4">
        <v>8113315.0260063987</v>
      </c>
    </row>
    <row r="38" spans="1:34" x14ac:dyDescent="0.25">
      <c r="A38" s="266">
        <v>36788</v>
      </c>
      <c r="B38" s="4">
        <v>1250000</v>
      </c>
      <c r="C38" s="4">
        <v>4563600</v>
      </c>
      <c r="D38" s="4">
        <v>2136334</v>
      </c>
      <c r="E38" s="4">
        <v>429975</v>
      </c>
      <c r="F38" s="4">
        <v>12500000</v>
      </c>
      <c r="G38" s="4">
        <v>116115000</v>
      </c>
      <c r="H38" s="4">
        <v>1663000</v>
      </c>
      <c r="I38" s="4">
        <v>12878050</v>
      </c>
      <c r="J38" s="4">
        <v>1012500</v>
      </c>
      <c r="K38" s="4">
        <v>23507914.999999996</v>
      </c>
      <c r="L38" s="4">
        <v>10372212</v>
      </c>
      <c r="M38" s="4">
        <v>1302980</v>
      </c>
      <c r="N38" s="4">
        <v>3486752</v>
      </c>
      <c r="O38" s="4">
        <v>429210</v>
      </c>
      <c r="P38" s="4">
        <v>470790</v>
      </c>
      <c r="Q38" s="4">
        <v>27082500</v>
      </c>
      <c r="R38" s="4">
        <v>7121810</v>
      </c>
      <c r="S38" s="4">
        <v>5644007</v>
      </c>
      <c r="T38" s="4">
        <v>20916875</v>
      </c>
      <c r="U38" s="4">
        <v>2560525</v>
      </c>
      <c r="V38" s="4">
        <v>4774950</v>
      </c>
      <c r="W38" s="4">
        <v>2359001.6518434854</v>
      </c>
      <c r="X38" s="4">
        <v>1374750</v>
      </c>
      <c r="Y38" s="4">
        <v>2177389.5</v>
      </c>
      <c r="Z38" s="4">
        <v>1927253.5</v>
      </c>
      <c r="AA38" s="4">
        <v>7483750</v>
      </c>
      <c r="AB38" s="4">
        <v>2343750</v>
      </c>
      <c r="AC38" s="4">
        <v>16316247</v>
      </c>
      <c r="AD38" s="4">
        <v>1050000</v>
      </c>
      <c r="AE38" s="4">
        <v>81480000</v>
      </c>
      <c r="AF38" s="4">
        <v>1360000</v>
      </c>
      <c r="AG38" s="4">
        <v>93746588.676477998</v>
      </c>
      <c r="AH38" s="4">
        <v>8222498.731563014</v>
      </c>
    </row>
    <row r="39" spans="1:34" x14ac:dyDescent="0.25">
      <c r="A39" s="266">
        <v>36789</v>
      </c>
      <c r="B39" s="4">
        <v>1250000</v>
      </c>
      <c r="C39" s="4">
        <v>4563600</v>
      </c>
      <c r="D39" s="4">
        <v>2136334</v>
      </c>
      <c r="E39" s="4">
        <v>429975</v>
      </c>
      <c r="F39" s="4">
        <v>12500000</v>
      </c>
      <c r="G39" s="4">
        <v>116115000</v>
      </c>
      <c r="H39" s="4">
        <v>1663000</v>
      </c>
      <c r="I39" s="4">
        <v>12878050</v>
      </c>
      <c r="J39" s="4">
        <v>1012500</v>
      </c>
      <c r="K39" s="4">
        <v>23507914.999999996</v>
      </c>
      <c r="L39" s="4">
        <v>10372212</v>
      </c>
      <c r="M39" s="4">
        <v>1302980</v>
      </c>
      <c r="N39" s="4">
        <v>3486752</v>
      </c>
      <c r="O39" s="4">
        <v>429210</v>
      </c>
      <c r="P39" s="4">
        <v>470790</v>
      </c>
      <c r="Q39" s="4">
        <v>27082500</v>
      </c>
      <c r="R39" s="4">
        <v>7121810</v>
      </c>
      <c r="S39" s="4">
        <v>5644007</v>
      </c>
      <c r="T39" s="4">
        <v>20916875</v>
      </c>
      <c r="U39" s="4">
        <v>2560525</v>
      </c>
      <c r="V39" s="4">
        <v>4774950</v>
      </c>
      <c r="W39" s="4">
        <v>2348107.8500882289</v>
      </c>
      <c r="X39" s="4">
        <v>1374750</v>
      </c>
      <c r="Y39" s="4">
        <v>2177389.5</v>
      </c>
      <c r="Z39" s="4">
        <v>1927253.5</v>
      </c>
      <c r="AA39" s="4">
        <v>7483750</v>
      </c>
      <c r="AB39" s="4">
        <v>2343750</v>
      </c>
      <c r="AC39" s="4">
        <v>16316247</v>
      </c>
      <c r="AD39" s="4">
        <v>1050000</v>
      </c>
      <c r="AE39" s="4">
        <v>81480000</v>
      </c>
      <c r="AF39" s="4">
        <v>1360000</v>
      </c>
      <c r="AG39" s="4">
        <v>93746588.676477998</v>
      </c>
      <c r="AH39" s="4">
        <v>8299504.8249137839</v>
      </c>
    </row>
    <row r="40" spans="1:34" x14ac:dyDescent="0.25">
      <c r="A40" s="266">
        <v>36790</v>
      </c>
      <c r="B40" s="4">
        <v>1250000</v>
      </c>
      <c r="C40" s="4">
        <v>4563600</v>
      </c>
      <c r="D40" s="4">
        <v>2136334</v>
      </c>
      <c r="E40" s="4">
        <v>429975</v>
      </c>
      <c r="F40" s="4">
        <v>12500000</v>
      </c>
      <c r="G40" s="4">
        <v>116115000</v>
      </c>
      <c r="H40" s="4">
        <v>1663000</v>
      </c>
      <c r="I40" s="4">
        <v>12878050</v>
      </c>
      <c r="J40" s="4">
        <v>1012500</v>
      </c>
      <c r="K40" s="4">
        <v>23507914.999999996</v>
      </c>
      <c r="L40" s="4">
        <v>10372212</v>
      </c>
      <c r="M40" s="4">
        <v>1302980</v>
      </c>
      <c r="N40" s="4">
        <v>3486752</v>
      </c>
      <c r="O40" s="4">
        <v>429210</v>
      </c>
      <c r="P40" s="4">
        <v>470790</v>
      </c>
      <c r="Q40" s="4">
        <v>27082500</v>
      </c>
      <c r="R40" s="4">
        <v>7121810</v>
      </c>
      <c r="S40" s="4">
        <v>5644007</v>
      </c>
      <c r="T40" s="4">
        <v>20916875</v>
      </c>
      <c r="U40" s="4">
        <v>2560525</v>
      </c>
      <c r="V40" s="4">
        <v>4774950</v>
      </c>
      <c r="W40" s="4">
        <v>2352511.5851241974</v>
      </c>
      <c r="X40" s="4">
        <v>1374750</v>
      </c>
      <c r="Y40" s="4">
        <v>2177389.5</v>
      </c>
      <c r="Z40" s="4">
        <v>1927253.5</v>
      </c>
      <c r="AA40" s="4">
        <v>7483750</v>
      </c>
      <c r="AB40" s="4">
        <v>2343750</v>
      </c>
      <c r="AC40" s="4">
        <v>16316247</v>
      </c>
      <c r="AD40" s="4">
        <v>1050000</v>
      </c>
      <c r="AE40" s="4">
        <v>81480000</v>
      </c>
      <c r="AF40" s="4">
        <v>1360000</v>
      </c>
      <c r="AG40" s="4">
        <v>93746588.676477998</v>
      </c>
      <c r="AH40" s="4">
        <v>8175747.0342703043</v>
      </c>
    </row>
    <row r="41" spans="1:34" x14ac:dyDescent="0.25">
      <c r="A41" s="266">
        <v>36791</v>
      </c>
      <c r="B41" s="4">
        <v>1250000</v>
      </c>
      <c r="C41" s="4">
        <v>4563600</v>
      </c>
      <c r="D41" s="4">
        <v>2136334</v>
      </c>
      <c r="E41" s="4">
        <v>429975</v>
      </c>
      <c r="F41" s="4">
        <v>12500000</v>
      </c>
      <c r="G41" s="4">
        <v>116115000</v>
      </c>
      <c r="H41" s="4">
        <v>1663000</v>
      </c>
      <c r="I41" s="4">
        <v>12878050</v>
      </c>
      <c r="J41" s="4">
        <v>1012500</v>
      </c>
      <c r="K41" s="4">
        <v>23507914.999999996</v>
      </c>
      <c r="L41" s="4">
        <v>10372212</v>
      </c>
      <c r="M41" s="4">
        <v>1302980</v>
      </c>
      <c r="N41" s="4">
        <v>3486752</v>
      </c>
      <c r="O41" s="4">
        <v>429210</v>
      </c>
      <c r="P41" s="4">
        <v>470790</v>
      </c>
      <c r="Q41" s="4">
        <v>27082500</v>
      </c>
      <c r="R41" s="4">
        <v>7121810</v>
      </c>
      <c r="S41" s="4">
        <v>5644007</v>
      </c>
      <c r="T41" s="4">
        <v>20916875</v>
      </c>
      <c r="U41" s="4">
        <v>2560525</v>
      </c>
      <c r="V41" s="4">
        <v>4774950</v>
      </c>
      <c r="W41" s="4">
        <v>2353293.0395529605</v>
      </c>
      <c r="X41" s="4">
        <v>1374750</v>
      </c>
      <c r="Y41" s="4">
        <v>2300803</v>
      </c>
      <c r="Z41" s="4">
        <v>1803840</v>
      </c>
      <c r="AA41" s="4">
        <v>7483750</v>
      </c>
      <c r="AB41" s="4">
        <v>2343750</v>
      </c>
      <c r="AC41" s="4">
        <v>16316247</v>
      </c>
      <c r="AD41" s="4">
        <v>1050000</v>
      </c>
      <c r="AE41" s="4">
        <v>81480000</v>
      </c>
      <c r="AF41" s="4">
        <v>1360000</v>
      </c>
      <c r="AG41" s="4">
        <v>93746588.676477998</v>
      </c>
      <c r="AH41" s="4">
        <v>8324555.2906789985</v>
      </c>
    </row>
    <row r="42" spans="1:34" x14ac:dyDescent="0.25">
      <c r="A42" s="266">
        <v>36794</v>
      </c>
      <c r="B42" s="4">
        <v>1250000</v>
      </c>
      <c r="C42" s="4">
        <v>4563600</v>
      </c>
      <c r="D42" s="4">
        <v>2136334</v>
      </c>
      <c r="E42" s="4">
        <v>429975</v>
      </c>
      <c r="F42" s="4">
        <v>12500000</v>
      </c>
      <c r="G42" s="4">
        <v>116115000</v>
      </c>
      <c r="H42" s="4">
        <v>1663000</v>
      </c>
      <c r="I42" s="4">
        <v>12878050</v>
      </c>
      <c r="J42" s="4">
        <v>1012500</v>
      </c>
      <c r="K42" s="4">
        <v>23507914.999999996</v>
      </c>
      <c r="L42" s="4">
        <v>10372212</v>
      </c>
      <c r="M42" s="4">
        <v>1302980</v>
      </c>
      <c r="N42" s="4">
        <v>3486752</v>
      </c>
      <c r="O42" s="4">
        <v>429210</v>
      </c>
      <c r="P42" s="4">
        <v>470790</v>
      </c>
      <c r="Q42" s="4">
        <v>27082500</v>
      </c>
      <c r="R42" s="4">
        <v>7121810</v>
      </c>
      <c r="S42" s="4">
        <v>5644007</v>
      </c>
      <c r="T42" s="4">
        <v>20916875</v>
      </c>
      <c r="U42" s="4">
        <v>2560525</v>
      </c>
      <c r="V42" s="4">
        <v>4774950</v>
      </c>
      <c r="W42" s="4">
        <v>1699096.7853972565</v>
      </c>
      <c r="X42" s="4">
        <v>1374750</v>
      </c>
      <c r="Y42" s="4">
        <v>2300803</v>
      </c>
      <c r="Z42" s="4">
        <v>1803840</v>
      </c>
      <c r="AA42" s="4">
        <v>7483750</v>
      </c>
      <c r="AB42" s="4">
        <v>2343750</v>
      </c>
      <c r="AC42" s="4">
        <v>16316247</v>
      </c>
      <c r="AD42" s="4">
        <v>1050000</v>
      </c>
      <c r="AE42" s="4">
        <v>81480000</v>
      </c>
      <c r="AF42" s="4">
        <v>1360000</v>
      </c>
      <c r="AG42" s="4">
        <v>93746588.676477998</v>
      </c>
      <c r="AH42" s="4">
        <v>8207201.6639580503</v>
      </c>
    </row>
    <row r="43" spans="1:34" x14ac:dyDescent="0.25">
      <c r="A43" s="266">
        <v>36795</v>
      </c>
      <c r="B43" s="4">
        <v>1250000</v>
      </c>
      <c r="C43" s="4">
        <v>4563600</v>
      </c>
      <c r="D43" s="4">
        <v>2136334</v>
      </c>
      <c r="E43" s="4">
        <v>429975</v>
      </c>
      <c r="F43" s="4">
        <v>12500000</v>
      </c>
      <c r="G43" s="4">
        <v>116115000</v>
      </c>
      <c r="H43" s="4">
        <v>1663000</v>
      </c>
      <c r="I43" s="4">
        <v>12878050</v>
      </c>
      <c r="J43" s="4">
        <v>1012500</v>
      </c>
      <c r="K43" s="4">
        <v>23507914.999999996</v>
      </c>
      <c r="L43" s="4">
        <v>10372212</v>
      </c>
      <c r="M43" s="4">
        <v>1302980</v>
      </c>
      <c r="N43" s="4">
        <v>3486752</v>
      </c>
      <c r="O43" s="4">
        <v>429210</v>
      </c>
      <c r="P43" s="4">
        <v>470790</v>
      </c>
      <c r="Q43" s="4">
        <v>27082500</v>
      </c>
      <c r="R43" s="4">
        <v>7121810</v>
      </c>
      <c r="S43" s="4">
        <v>5644007</v>
      </c>
      <c r="T43" s="4">
        <v>20916875</v>
      </c>
      <c r="U43" s="4">
        <v>2560525</v>
      </c>
      <c r="V43" s="4">
        <v>4774950</v>
      </c>
      <c r="W43" s="4">
        <v>1701579.355056321</v>
      </c>
      <c r="X43" s="4">
        <v>1374750</v>
      </c>
      <c r="Y43" s="4">
        <v>2300803</v>
      </c>
      <c r="Z43" s="4">
        <v>1803840</v>
      </c>
      <c r="AA43" s="4">
        <v>7483750</v>
      </c>
      <c r="AB43" s="4">
        <v>2343750</v>
      </c>
      <c r="AC43" s="4">
        <v>16316247</v>
      </c>
      <c r="AD43" s="4">
        <v>1050000</v>
      </c>
      <c r="AE43" s="4">
        <v>81480000</v>
      </c>
      <c r="AF43" s="4">
        <v>1360000</v>
      </c>
      <c r="AG43" s="4">
        <v>93746588.676477998</v>
      </c>
      <c r="AH43" s="4">
        <v>8178728.1817642581</v>
      </c>
    </row>
    <row r="44" spans="1:34" x14ac:dyDescent="0.25">
      <c r="A44" s="266">
        <v>36796</v>
      </c>
      <c r="B44" s="4">
        <v>1250000</v>
      </c>
      <c r="C44" s="4">
        <v>4563600</v>
      </c>
      <c r="D44" s="4">
        <v>2136334</v>
      </c>
      <c r="E44" s="4">
        <v>429975</v>
      </c>
      <c r="F44" s="4">
        <v>12500000</v>
      </c>
      <c r="G44" s="4">
        <v>116115000</v>
      </c>
      <c r="H44" s="4">
        <v>1663000</v>
      </c>
      <c r="I44" s="4">
        <v>12878050</v>
      </c>
      <c r="J44" s="4">
        <v>1012500</v>
      </c>
      <c r="K44" s="4">
        <v>23507914.999999996</v>
      </c>
      <c r="L44" s="4">
        <v>10372212</v>
      </c>
      <c r="M44" s="4">
        <v>1302980</v>
      </c>
      <c r="N44" s="4">
        <v>3486752</v>
      </c>
      <c r="O44" s="4">
        <v>429210</v>
      </c>
      <c r="P44" s="4">
        <v>470790</v>
      </c>
      <c r="Q44" s="4">
        <v>27082500</v>
      </c>
      <c r="R44" s="4">
        <v>7121810</v>
      </c>
      <c r="S44" s="4">
        <v>5644007</v>
      </c>
      <c r="T44" s="4">
        <v>20916875</v>
      </c>
      <c r="U44" s="4">
        <v>2560525</v>
      </c>
      <c r="V44" s="4">
        <v>4774950</v>
      </c>
      <c r="W44" s="4">
        <v>1702938.2556699589</v>
      </c>
      <c r="X44" s="4">
        <v>1374750</v>
      </c>
      <c r="Y44" s="4">
        <v>2300803</v>
      </c>
      <c r="Z44" s="4">
        <v>1803840</v>
      </c>
      <c r="AA44" s="4">
        <v>7483750</v>
      </c>
      <c r="AB44" s="4">
        <v>2343750</v>
      </c>
      <c r="AC44" s="4">
        <v>16316247</v>
      </c>
      <c r="AD44" s="4">
        <v>1050000</v>
      </c>
      <c r="AE44" s="4">
        <v>81480000</v>
      </c>
      <c r="AF44" s="4">
        <v>1360000</v>
      </c>
      <c r="AG44" s="4">
        <v>93746588.676477998</v>
      </c>
      <c r="AH44" s="4">
        <v>8300164.6548170978</v>
      </c>
    </row>
    <row r="45" spans="1:34" x14ac:dyDescent="0.25">
      <c r="A45" s="266">
        <v>36797</v>
      </c>
      <c r="B45" s="4">
        <v>1250000</v>
      </c>
      <c r="C45" s="4">
        <v>4563600</v>
      </c>
      <c r="D45" s="4">
        <v>2136334</v>
      </c>
      <c r="E45" s="4">
        <v>429975</v>
      </c>
      <c r="F45" s="4">
        <v>12500000</v>
      </c>
      <c r="G45" s="4">
        <v>116115000</v>
      </c>
      <c r="H45" s="4">
        <v>1663000</v>
      </c>
      <c r="I45" s="4">
        <v>12878050</v>
      </c>
      <c r="J45" s="4">
        <v>1012500</v>
      </c>
      <c r="K45" s="4">
        <v>23507914.999999996</v>
      </c>
      <c r="L45" s="4">
        <v>10372212</v>
      </c>
      <c r="M45" s="4">
        <v>1302980</v>
      </c>
      <c r="N45" s="4">
        <v>3486752</v>
      </c>
      <c r="O45" s="4">
        <v>429210</v>
      </c>
      <c r="P45" s="4">
        <v>470790</v>
      </c>
      <c r="Q45" s="4">
        <v>27082500</v>
      </c>
      <c r="R45" s="4">
        <v>7121810</v>
      </c>
      <c r="S45" s="4">
        <v>5644007</v>
      </c>
      <c r="T45" s="4">
        <v>20916875</v>
      </c>
      <c r="U45" s="4">
        <v>2560525</v>
      </c>
      <c r="V45" s="4">
        <v>4774950</v>
      </c>
      <c r="W45" s="4">
        <v>1704238.2804371053</v>
      </c>
      <c r="X45" s="4">
        <v>1374750</v>
      </c>
      <c r="Y45" s="4">
        <v>2300803</v>
      </c>
      <c r="Z45" s="4">
        <v>1803840</v>
      </c>
      <c r="AA45" s="4">
        <v>7483750</v>
      </c>
      <c r="AB45" s="4">
        <v>2343750</v>
      </c>
      <c r="AC45" s="4">
        <v>16316247</v>
      </c>
      <c r="AD45" s="4">
        <v>1050000</v>
      </c>
      <c r="AE45" s="4">
        <v>81480000</v>
      </c>
      <c r="AF45" s="4">
        <v>1360000</v>
      </c>
      <c r="AG45" s="4">
        <v>93746588.676477998</v>
      </c>
      <c r="AH45" s="4">
        <v>8245176.1259276355</v>
      </c>
    </row>
    <row r="46" spans="1:34" x14ac:dyDescent="0.25">
      <c r="A46" s="266">
        <v>36798</v>
      </c>
      <c r="B46" s="4">
        <v>1250000</v>
      </c>
      <c r="C46" s="4">
        <v>4563600</v>
      </c>
      <c r="D46" s="4">
        <v>2136334</v>
      </c>
      <c r="E46" s="4">
        <v>429975</v>
      </c>
      <c r="F46" s="4">
        <v>12500000</v>
      </c>
      <c r="G46" s="4">
        <v>116115000</v>
      </c>
      <c r="H46" s="4">
        <v>1663000</v>
      </c>
      <c r="I46" s="4">
        <v>12878050</v>
      </c>
      <c r="J46" s="4">
        <v>1012500</v>
      </c>
      <c r="K46" s="4">
        <v>23507914.999999996</v>
      </c>
      <c r="L46" s="4">
        <v>10372212</v>
      </c>
      <c r="M46" s="4">
        <v>1302980</v>
      </c>
      <c r="N46" s="4">
        <v>3486752</v>
      </c>
      <c r="O46" s="4">
        <v>429210</v>
      </c>
      <c r="P46" s="4">
        <v>470790</v>
      </c>
      <c r="Q46" s="4">
        <v>27082500</v>
      </c>
      <c r="R46" s="4">
        <v>7121810</v>
      </c>
      <c r="S46" s="4">
        <v>5644007</v>
      </c>
      <c r="T46" s="4">
        <v>20916875</v>
      </c>
      <c r="U46" s="4">
        <v>2560525</v>
      </c>
      <c r="V46" s="4">
        <v>4774950</v>
      </c>
      <c r="W46" s="4">
        <v>2002698.811523003</v>
      </c>
      <c r="X46" s="4">
        <v>1374750</v>
      </c>
      <c r="Y46" s="4">
        <v>1803840</v>
      </c>
      <c r="Z46" s="4">
        <v>2300803</v>
      </c>
      <c r="AA46" s="4">
        <v>7483750</v>
      </c>
      <c r="AB46" s="4">
        <v>2343750</v>
      </c>
      <c r="AC46" s="4">
        <v>16316247</v>
      </c>
      <c r="AD46" s="4">
        <v>1050000</v>
      </c>
      <c r="AE46" s="4">
        <v>81480000</v>
      </c>
      <c r="AF46" s="4">
        <v>1360000</v>
      </c>
      <c r="AG46" s="4">
        <v>93746588.676477998</v>
      </c>
      <c r="AH46" s="4">
        <v>8754483.0367082451</v>
      </c>
    </row>
    <row r="47" spans="1:34" x14ac:dyDescent="0.25">
      <c r="A47" s="266">
        <v>36801</v>
      </c>
      <c r="B47" s="4">
        <v>1250000</v>
      </c>
      <c r="C47" s="4">
        <v>4563600</v>
      </c>
      <c r="D47" s="4">
        <v>2136334</v>
      </c>
      <c r="E47" s="4">
        <v>429975</v>
      </c>
      <c r="F47" s="4">
        <v>12500000</v>
      </c>
      <c r="G47" s="4">
        <v>116115000</v>
      </c>
      <c r="H47" s="4">
        <v>1663000</v>
      </c>
      <c r="I47" s="4">
        <v>12878050</v>
      </c>
      <c r="J47" s="4">
        <v>1012500</v>
      </c>
      <c r="K47" s="4">
        <v>23507914.999999996</v>
      </c>
      <c r="L47" s="4">
        <v>10372212</v>
      </c>
      <c r="M47" s="4">
        <v>1302980</v>
      </c>
      <c r="N47" s="4">
        <v>3486752</v>
      </c>
      <c r="O47" s="4">
        <v>429210</v>
      </c>
      <c r="P47" s="4">
        <v>470790</v>
      </c>
      <c r="Q47" s="4">
        <v>27082500</v>
      </c>
      <c r="R47" s="4">
        <v>7121810</v>
      </c>
      <c r="S47" s="4">
        <v>5644007</v>
      </c>
      <c r="T47" s="4">
        <v>20916875</v>
      </c>
      <c r="U47" s="4">
        <v>2560525</v>
      </c>
      <c r="V47" s="4">
        <v>4774950</v>
      </c>
      <c r="W47" s="4">
        <v>2004958.5071993435</v>
      </c>
      <c r="X47" s="4">
        <v>1374750</v>
      </c>
      <c r="Y47" s="4">
        <v>1803840</v>
      </c>
      <c r="Z47" s="4">
        <v>2300803</v>
      </c>
      <c r="AA47" s="4">
        <v>7483750</v>
      </c>
      <c r="AB47" s="4">
        <v>2343750</v>
      </c>
      <c r="AC47" s="4">
        <v>16316247</v>
      </c>
      <c r="AD47" s="4">
        <v>1050000</v>
      </c>
      <c r="AE47" s="4">
        <v>81480000</v>
      </c>
      <c r="AF47" s="4">
        <v>1360000</v>
      </c>
      <c r="AG47" s="4">
        <v>93746588.676477998</v>
      </c>
      <c r="AH47" s="4">
        <v>8458501.8700410556</v>
      </c>
    </row>
    <row r="48" spans="1:34" x14ac:dyDescent="0.25">
      <c r="A48" s="266">
        <v>36802</v>
      </c>
      <c r="B48" s="4">
        <v>1250000</v>
      </c>
      <c r="C48" s="4">
        <v>4563600</v>
      </c>
      <c r="D48" s="4">
        <v>2136334</v>
      </c>
      <c r="E48" s="4">
        <v>429975</v>
      </c>
      <c r="F48" s="4">
        <v>12500000</v>
      </c>
      <c r="G48" s="4">
        <v>116115000</v>
      </c>
      <c r="H48" s="4">
        <v>1663000</v>
      </c>
      <c r="I48" s="4">
        <v>12878050</v>
      </c>
      <c r="J48" s="4">
        <v>1012500</v>
      </c>
      <c r="K48" s="4">
        <v>23507914.999999996</v>
      </c>
      <c r="L48" s="4">
        <v>10372212</v>
      </c>
      <c r="M48" s="4">
        <v>1302980</v>
      </c>
      <c r="N48" s="4">
        <v>3486752</v>
      </c>
      <c r="O48" s="4">
        <v>429210</v>
      </c>
      <c r="P48" s="4">
        <v>470790</v>
      </c>
      <c r="Q48" s="4">
        <v>27082500</v>
      </c>
      <c r="R48" s="4">
        <v>7121810</v>
      </c>
      <c r="S48" s="4">
        <v>5644007</v>
      </c>
      <c r="T48" s="4">
        <v>20916875</v>
      </c>
      <c r="U48" s="4">
        <v>2560525</v>
      </c>
      <c r="V48" s="4">
        <v>4774950</v>
      </c>
      <c r="W48" s="4">
        <v>2005557.8509598305</v>
      </c>
      <c r="X48" s="4">
        <v>1374750</v>
      </c>
      <c r="Y48" s="4">
        <v>1803840</v>
      </c>
      <c r="Z48" s="4">
        <v>2300803</v>
      </c>
      <c r="AA48" s="4">
        <v>7483750</v>
      </c>
      <c r="AB48" s="4">
        <v>2343750</v>
      </c>
      <c r="AC48" s="4">
        <v>16316247</v>
      </c>
      <c r="AD48" s="4">
        <v>1050000</v>
      </c>
      <c r="AE48" s="4">
        <v>81480000</v>
      </c>
      <c r="AF48" s="4">
        <v>1360000</v>
      </c>
      <c r="AG48" s="4">
        <v>93746588.676477998</v>
      </c>
      <c r="AH48" s="4">
        <v>8370856.0467595328</v>
      </c>
    </row>
    <row r="49" spans="1:34" x14ac:dyDescent="0.25">
      <c r="A49" s="266">
        <v>36803</v>
      </c>
      <c r="B49" s="4">
        <v>1250000</v>
      </c>
      <c r="C49" s="4">
        <v>4563600</v>
      </c>
      <c r="D49" s="4">
        <v>2136334</v>
      </c>
      <c r="E49" s="4">
        <v>429975</v>
      </c>
      <c r="F49" s="4">
        <v>12500000</v>
      </c>
      <c r="G49" s="4">
        <v>116115000</v>
      </c>
      <c r="H49" s="4">
        <v>1663000</v>
      </c>
      <c r="I49" s="4">
        <v>12878050</v>
      </c>
      <c r="J49" s="4">
        <v>1012500</v>
      </c>
      <c r="K49" s="4">
        <v>23507914.999999996</v>
      </c>
      <c r="L49" s="4">
        <v>10372212</v>
      </c>
      <c r="M49" s="4">
        <v>1302980</v>
      </c>
      <c r="N49" s="4">
        <v>3486752</v>
      </c>
      <c r="O49" s="4">
        <v>429210</v>
      </c>
      <c r="P49" s="4">
        <v>470790</v>
      </c>
      <c r="Q49" s="4">
        <v>27082500</v>
      </c>
      <c r="R49" s="4">
        <v>7121810</v>
      </c>
      <c r="S49" s="4">
        <v>5644007</v>
      </c>
      <c r="T49" s="4">
        <v>20916875</v>
      </c>
      <c r="U49" s="4">
        <v>2560525</v>
      </c>
      <c r="V49" s="4">
        <v>4774950</v>
      </c>
      <c r="W49" s="4">
        <v>2006300.5672105032</v>
      </c>
      <c r="X49" s="4">
        <v>1374750</v>
      </c>
      <c r="Y49" s="4">
        <v>1803840</v>
      </c>
      <c r="Z49" s="4">
        <v>2300803</v>
      </c>
      <c r="AA49" s="4">
        <v>7483750</v>
      </c>
      <c r="AB49" s="4">
        <v>2343750</v>
      </c>
      <c r="AC49" s="4">
        <v>16316247</v>
      </c>
      <c r="AD49" s="4">
        <v>1050000</v>
      </c>
      <c r="AE49" s="4">
        <v>81480000</v>
      </c>
      <c r="AF49" s="4">
        <v>1360000</v>
      </c>
      <c r="AG49" s="4">
        <v>93746588.676477998</v>
      </c>
      <c r="AH49" s="4">
        <v>8558370.5629322175</v>
      </c>
    </row>
    <row r="50" spans="1:34" x14ac:dyDescent="0.25">
      <c r="A50" s="266">
        <v>36804</v>
      </c>
      <c r="B50" s="4">
        <v>1250000</v>
      </c>
      <c r="C50" s="4">
        <v>4563600</v>
      </c>
      <c r="D50" s="4">
        <v>2136334</v>
      </c>
      <c r="E50" s="4">
        <v>429975</v>
      </c>
      <c r="F50" s="4">
        <v>12500000</v>
      </c>
      <c r="G50" s="4">
        <v>116115000</v>
      </c>
      <c r="H50" s="4">
        <v>1663000</v>
      </c>
      <c r="I50" s="4">
        <v>12878050</v>
      </c>
      <c r="J50" s="4">
        <v>1012500</v>
      </c>
      <c r="K50" s="4">
        <v>23507914.999999996</v>
      </c>
      <c r="L50" s="4">
        <v>10372212</v>
      </c>
      <c r="M50" s="4">
        <v>1302980</v>
      </c>
      <c r="N50" s="4">
        <v>3486752</v>
      </c>
      <c r="O50" s="4">
        <v>429210</v>
      </c>
      <c r="P50" s="4">
        <v>470790</v>
      </c>
      <c r="Q50" s="4">
        <v>27082500</v>
      </c>
      <c r="R50" s="4">
        <v>7121810</v>
      </c>
      <c r="S50" s="4">
        <v>5644007</v>
      </c>
      <c r="T50" s="4">
        <v>20916875</v>
      </c>
      <c r="U50" s="4">
        <v>2560525</v>
      </c>
      <c r="V50" s="4">
        <v>4774950</v>
      </c>
      <c r="W50" s="4">
        <v>2009139.7770950499</v>
      </c>
      <c r="X50" s="4">
        <v>1374750</v>
      </c>
      <c r="Y50" s="4">
        <v>1803840</v>
      </c>
      <c r="Z50" s="4">
        <v>2300803</v>
      </c>
      <c r="AA50" s="4">
        <v>7483750</v>
      </c>
      <c r="AB50" s="4">
        <v>2343750</v>
      </c>
      <c r="AC50" s="4">
        <v>16316247</v>
      </c>
      <c r="AD50" s="4">
        <v>1050000</v>
      </c>
      <c r="AE50" s="4">
        <v>81480000</v>
      </c>
      <c r="AF50" s="4">
        <v>1360000</v>
      </c>
      <c r="AG50" s="4">
        <v>93746588.676477998</v>
      </c>
      <c r="AH50" s="4">
        <v>8698448.8520311769</v>
      </c>
    </row>
    <row r="51" spans="1:34" x14ac:dyDescent="0.25">
      <c r="A51" s="266">
        <v>36805</v>
      </c>
      <c r="B51" s="4">
        <v>1250000</v>
      </c>
      <c r="C51" s="4">
        <v>4563600</v>
      </c>
      <c r="D51" s="4">
        <v>2136334</v>
      </c>
      <c r="E51" s="4">
        <v>429975</v>
      </c>
      <c r="F51" s="4">
        <v>12500000</v>
      </c>
      <c r="G51" s="4">
        <v>116115000</v>
      </c>
      <c r="H51" s="4">
        <v>1663000</v>
      </c>
      <c r="I51" s="4">
        <v>12878050</v>
      </c>
      <c r="J51" s="4">
        <v>1012500</v>
      </c>
      <c r="K51" s="4">
        <v>23507914.999999996</v>
      </c>
      <c r="L51" s="4">
        <v>10372212</v>
      </c>
      <c r="M51" s="4">
        <v>1302980</v>
      </c>
      <c r="N51" s="4">
        <v>3486752</v>
      </c>
      <c r="O51" s="4">
        <v>429210</v>
      </c>
      <c r="P51" s="4">
        <v>470790</v>
      </c>
      <c r="Q51" s="4">
        <v>27082500</v>
      </c>
      <c r="R51" s="4">
        <v>7121810</v>
      </c>
      <c r="S51" s="4">
        <v>5644007</v>
      </c>
      <c r="T51" s="4">
        <v>20916875</v>
      </c>
      <c r="U51" s="4">
        <v>2560525</v>
      </c>
      <c r="V51" s="4">
        <v>4774950</v>
      </c>
      <c r="W51" s="4">
        <v>2010318.1012884027</v>
      </c>
      <c r="X51" s="4">
        <v>1374750</v>
      </c>
      <c r="Y51" s="4">
        <v>1803840</v>
      </c>
      <c r="Z51" s="4">
        <v>2300803</v>
      </c>
      <c r="AA51" s="4">
        <v>7483750</v>
      </c>
      <c r="AB51" s="4">
        <v>2343750</v>
      </c>
      <c r="AC51" s="4">
        <v>16316247</v>
      </c>
      <c r="AD51" s="4">
        <v>1050000</v>
      </c>
      <c r="AE51" s="4">
        <v>81480000</v>
      </c>
      <c r="AF51" s="4">
        <v>1360000</v>
      </c>
      <c r="AG51" s="4">
        <v>93746588.676477998</v>
      </c>
      <c r="AH51" s="4">
        <v>8456199.711053161</v>
      </c>
    </row>
    <row r="52" spans="1:34" x14ac:dyDescent="0.25">
      <c r="A52" s="266">
        <v>36808</v>
      </c>
      <c r="B52" s="4">
        <v>1250000</v>
      </c>
      <c r="C52" s="4">
        <v>4563600</v>
      </c>
      <c r="D52" s="4">
        <v>2136334</v>
      </c>
      <c r="E52" s="4">
        <v>429975</v>
      </c>
      <c r="F52" s="4">
        <v>12500000</v>
      </c>
      <c r="G52" s="4">
        <v>116115000</v>
      </c>
      <c r="H52" s="4">
        <v>1663000</v>
      </c>
      <c r="I52" s="4">
        <v>12878050</v>
      </c>
      <c r="J52" s="4">
        <v>1012500</v>
      </c>
      <c r="K52" s="4">
        <v>23507915</v>
      </c>
      <c r="L52" s="4">
        <v>10372212</v>
      </c>
      <c r="M52" s="4">
        <v>1302980</v>
      </c>
      <c r="N52" s="4">
        <v>3486752</v>
      </c>
      <c r="O52" s="4">
        <v>429210</v>
      </c>
      <c r="P52" s="4">
        <v>470790</v>
      </c>
      <c r="Q52" s="4">
        <v>27082500</v>
      </c>
      <c r="R52" s="4">
        <v>7121810</v>
      </c>
      <c r="S52" s="4">
        <v>5644007</v>
      </c>
      <c r="T52" s="4">
        <v>20916875</v>
      </c>
      <c r="U52" s="4">
        <v>2560525</v>
      </c>
      <c r="V52" s="4">
        <v>4774950</v>
      </c>
      <c r="W52" s="4">
        <v>2013591.6599838925</v>
      </c>
      <c r="X52" s="4">
        <v>1374750</v>
      </c>
      <c r="Y52" s="4">
        <v>1803840</v>
      </c>
      <c r="Z52" s="4">
        <v>2300803</v>
      </c>
      <c r="AA52" s="4">
        <v>7483750</v>
      </c>
      <c r="AB52" s="4">
        <v>2343750</v>
      </c>
      <c r="AC52" s="4">
        <v>16316247</v>
      </c>
      <c r="AD52" s="4">
        <v>1050000</v>
      </c>
      <c r="AE52" s="4">
        <v>81480000</v>
      </c>
      <c r="AF52" s="4">
        <v>1360000</v>
      </c>
      <c r="AG52" s="4">
        <v>93746588.676477998</v>
      </c>
      <c r="AH52" s="4">
        <v>8497088.3606142513</v>
      </c>
    </row>
    <row r="53" spans="1:34" x14ac:dyDescent="0.25">
      <c r="A53" s="266">
        <v>36809</v>
      </c>
      <c r="B53" s="4">
        <v>1250000</v>
      </c>
      <c r="C53" s="4">
        <v>4563600</v>
      </c>
      <c r="D53" s="4">
        <v>2136334</v>
      </c>
      <c r="E53" s="4">
        <v>429975</v>
      </c>
      <c r="F53" s="4">
        <v>12500000</v>
      </c>
      <c r="G53" s="4">
        <v>116115000</v>
      </c>
      <c r="H53" s="4">
        <v>1663000</v>
      </c>
      <c r="I53" s="4">
        <v>12878050</v>
      </c>
      <c r="J53" s="4">
        <v>1012500</v>
      </c>
      <c r="K53" s="4">
        <v>23507915.000000004</v>
      </c>
      <c r="L53" s="4">
        <v>10372212</v>
      </c>
      <c r="M53" s="4">
        <v>1302980</v>
      </c>
      <c r="N53" s="4">
        <v>3486752</v>
      </c>
      <c r="O53" s="4">
        <v>429210</v>
      </c>
      <c r="P53" s="4">
        <v>470790</v>
      </c>
      <c r="Q53" s="4">
        <v>27082500</v>
      </c>
      <c r="R53" s="4">
        <v>7121810</v>
      </c>
      <c r="S53" s="4">
        <v>5644007</v>
      </c>
      <c r="T53" s="4">
        <v>20916875</v>
      </c>
      <c r="U53" s="4">
        <v>2560525</v>
      </c>
      <c r="V53" s="4">
        <v>4774950</v>
      </c>
      <c r="W53" s="4">
        <v>2015677.7154848531</v>
      </c>
      <c r="X53" s="4">
        <v>1374750</v>
      </c>
      <c r="Y53" s="4">
        <v>1803840</v>
      </c>
      <c r="Z53" s="4">
        <v>2300803</v>
      </c>
      <c r="AA53" s="4">
        <v>7483750</v>
      </c>
      <c r="AB53" s="4">
        <v>2343750</v>
      </c>
      <c r="AC53" s="4">
        <v>16316247</v>
      </c>
      <c r="AD53" s="4">
        <v>1050000</v>
      </c>
      <c r="AE53" s="4">
        <v>81480000</v>
      </c>
      <c r="AF53" s="4">
        <v>1360000</v>
      </c>
      <c r="AG53" s="4">
        <v>93746588.676477998</v>
      </c>
      <c r="AH53" s="4">
        <v>8497088.3606142513</v>
      </c>
    </row>
    <row r="54" spans="1:34" x14ac:dyDescent="0.25">
      <c r="A54" s="266">
        <v>36810</v>
      </c>
      <c r="B54" s="4">
        <v>1250000</v>
      </c>
      <c r="C54" s="4">
        <v>4563600</v>
      </c>
      <c r="D54" s="4">
        <v>2136334</v>
      </c>
      <c r="E54" s="4">
        <v>429975</v>
      </c>
      <c r="F54" s="4">
        <v>12500000</v>
      </c>
      <c r="G54" s="4">
        <v>116115000</v>
      </c>
      <c r="H54" s="4">
        <v>1663000</v>
      </c>
      <c r="I54" s="4">
        <v>12878050</v>
      </c>
      <c r="J54" s="4">
        <v>1012500</v>
      </c>
      <c r="K54" s="4">
        <v>23507915.000000007</v>
      </c>
      <c r="L54" s="4">
        <v>10372212</v>
      </c>
      <c r="M54" s="4">
        <v>1302980</v>
      </c>
      <c r="N54" s="4">
        <v>3486752</v>
      </c>
      <c r="O54" s="4">
        <v>429210</v>
      </c>
      <c r="P54" s="4">
        <v>470790</v>
      </c>
      <c r="Q54" s="4">
        <v>27082500</v>
      </c>
      <c r="R54" s="4">
        <v>7121810</v>
      </c>
      <c r="S54" s="4">
        <v>5644007</v>
      </c>
      <c r="T54" s="4">
        <v>20916875</v>
      </c>
      <c r="U54" s="4">
        <v>2560525</v>
      </c>
      <c r="V54" s="4">
        <v>4774950</v>
      </c>
      <c r="W54" s="4">
        <v>2018571.7518391546</v>
      </c>
      <c r="X54" s="4">
        <v>1374750</v>
      </c>
      <c r="Y54" s="4">
        <v>1803840</v>
      </c>
      <c r="Z54" s="4">
        <v>2300803</v>
      </c>
      <c r="AA54" s="4">
        <v>7483750</v>
      </c>
      <c r="AB54" s="4">
        <v>2343750</v>
      </c>
      <c r="AC54" s="4">
        <v>16316247</v>
      </c>
      <c r="AD54" s="4">
        <v>1050000</v>
      </c>
      <c r="AE54" s="4">
        <v>81480000</v>
      </c>
      <c r="AF54" s="4">
        <v>1360000</v>
      </c>
      <c r="AG54" s="4">
        <v>93746588.676477998</v>
      </c>
      <c r="AH54" s="4">
        <v>8555776.7910983972</v>
      </c>
    </row>
    <row r="55" spans="1:34" x14ac:dyDescent="0.25">
      <c r="A55" s="266">
        <v>36811</v>
      </c>
      <c r="B55" s="4">
        <v>1250000</v>
      </c>
      <c r="C55" s="4">
        <v>4563600</v>
      </c>
      <c r="D55" s="4">
        <v>2136334</v>
      </c>
      <c r="E55" s="4">
        <v>429975</v>
      </c>
      <c r="F55" s="4">
        <v>12500000</v>
      </c>
      <c r="G55" s="4">
        <v>116115000</v>
      </c>
      <c r="H55" s="4">
        <v>1663000</v>
      </c>
      <c r="I55" s="4">
        <v>12878050</v>
      </c>
      <c r="J55" s="4">
        <v>1012500</v>
      </c>
      <c r="K55" s="4">
        <v>23507915.000000011</v>
      </c>
      <c r="L55" s="4">
        <v>10372212</v>
      </c>
      <c r="M55" s="4">
        <v>1302980</v>
      </c>
      <c r="N55" s="4">
        <v>3486752</v>
      </c>
      <c r="O55" s="4">
        <v>429210</v>
      </c>
      <c r="P55" s="4">
        <v>470790</v>
      </c>
      <c r="Q55" s="4">
        <v>27082500</v>
      </c>
      <c r="R55" s="4">
        <v>7121810</v>
      </c>
      <c r="S55" s="4">
        <v>5644007</v>
      </c>
      <c r="T55" s="4">
        <v>20916875</v>
      </c>
      <c r="U55" s="4">
        <v>2560525</v>
      </c>
      <c r="V55" s="4">
        <v>4774950</v>
      </c>
      <c r="W55" s="4">
        <v>2025396.6547067768</v>
      </c>
      <c r="X55" s="4">
        <v>1374750</v>
      </c>
      <c r="Y55" s="4">
        <v>1803840</v>
      </c>
      <c r="Z55" s="4">
        <v>2300803</v>
      </c>
      <c r="AA55" s="4">
        <v>7483750</v>
      </c>
      <c r="AB55" s="4">
        <v>2343750</v>
      </c>
      <c r="AC55" s="4">
        <v>16316247</v>
      </c>
      <c r="AD55" s="4">
        <v>1050000</v>
      </c>
      <c r="AE55" s="4">
        <v>81480000</v>
      </c>
      <c r="AF55" s="4">
        <v>1360000</v>
      </c>
      <c r="AG55" s="4">
        <v>93746588.676477998</v>
      </c>
      <c r="AH55" s="4">
        <v>8594554.415274322</v>
      </c>
    </row>
    <row r="56" spans="1:34" x14ac:dyDescent="0.25">
      <c r="A56" s="266">
        <v>36812</v>
      </c>
      <c r="B56" s="4">
        <v>1250000</v>
      </c>
      <c r="C56" s="4">
        <v>4563600</v>
      </c>
      <c r="D56" s="4">
        <v>2136334</v>
      </c>
      <c r="E56" s="4">
        <v>429975</v>
      </c>
      <c r="F56" s="4">
        <v>12500000</v>
      </c>
      <c r="G56" s="4">
        <v>116115000</v>
      </c>
      <c r="H56" s="4">
        <v>1663000</v>
      </c>
      <c r="I56" s="4">
        <v>12878050</v>
      </c>
      <c r="J56" s="4">
        <v>1012500</v>
      </c>
      <c r="K56" s="4">
        <v>23507915.000000011</v>
      </c>
      <c r="L56" s="4">
        <v>10372212</v>
      </c>
      <c r="M56" s="4">
        <v>1302980</v>
      </c>
      <c r="N56" s="4">
        <v>3486752</v>
      </c>
      <c r="O56" s="4">
        <v>429210</v>
      </c>
      <c r="P56" s="4">
        <v>470790</v>
      </c>
      <c r="Q56" s="4">
        <v>27082500</v>
      </c>
      <c r="R56" s="4">
        <v>7121810</v>
      </c>
      <c r="S56" s="4">
        <v>5644007</v>
      </c>
      <c r="T56" s="4">
        <v>20916875</v>
      </c>
      <c r="U56" s="4">
        <v>2560525</v>
      </c>
      <c r="V56" s="4">
        <v>4774950</v>
      </c>
      <c r="W56" s="4">
        <v>2021597.4397495899</v>
      </c>
      <c r="X56" s="4">
        <v>1374750</v>
      </c>
      <c r="Y56" s="4">
        <v>1803840</v>
      </c>
      <c r="Z56" s="4">
        <v>2300803</v>
      </c>
      <c r="AA56" s="4">
        <v>7483750</v>
      </c>
      <c r="AB56" s="4">
        <v>2343750</v>
      </c>
      <c r="AC56" s="4">
        <v>16316247</v>
      </c>
      <c r="AD56" s="4">
        <v>1050000</v>
      </c>
      <c r="AE56" s="4">
        <v>81480000</v>
      </c>
      <c r="AF56" s="4">
        <v>1360000</v>
      </c>
      <c r="AG56" s="4">
        <v>93746588.676477998</v>
      </c>
      <c r="AH56" s="4">
        <v>8749730.5996974166</v>
      </c>
    </row>
    <row r="57" spans="1:34" x14ac:dyDescent="0.25">
      <c r="A57" s="266">
        <v>36815</v>
      </c>
      <c r="B57" s="4">
        <v>1250000</v>
      </c>
      <c r="C57" s="4">
        <v>4563600</v>
      </c>
      <c r="D57" s="4">
        <v>2136334</v>
      </c>
      <c r="E57" s="4">
        <v>429975</v>
      </c>
      <c r="F57" s="4">
        <v>12500000</v>
      </c>
      <c r="G57" s="4">
        <v>116115000</v>
      </c>
      <c r="H57" s="4">
        <v>1663000</v>
      </c>
      <c r="I57" s="4">
        <v>12878050</v>
      </c>
      <c r="J57" s="4">
        <v>1012500</v>
      </c>
      <c r="K57" s="4">
        <v>23507915.000000019</v>
      </c>
      <c r="L57" s="4">
        <v>10372212</v>
      </c>
      <c r="M57" s="4">
        <v>1302980</v>
      </c>
      <c r="N57" s="4">
        <v>3486752</v>
      </c>
      <c r="O57" s="4">
        <v>429210</v>
      </c>
      <c r="P57" s="4">
        <v>470790</v>
      </c>
      <c r="Q57" s="4">
        <v>27082500</v>
      </c>
      <c r="R57" s="4">
        <v>7121810</v>
      </c>
      <c r="S57" s="4">
        <v>5644007</v>
      </c>
      <c r="T57" s="4">
        <v>20916875</v>
      </c>
      <c r="U57" s="4">
        <v>2560525</v>
      </c>
      <c r="V57" s="4">
        <v>4774950</v>
      </c>
      <c r="W57" s="4">
        <v>2022929.2971664874</v>
      </c>
      <c r="X57" s="4">
        <v>1374750</v>
      </c>
      <c r="Y57" s="4">
        <v>1803840</v>
      </c>
      <c r="Z57" s="4">
        <v>2300803</v>
      </c>
      <c r="AA57" s="4">
        <v>7483750</v>
      </c>
      <c r="AB57" s="4">
        <v>2343750</v>
      </c>
      <c r="AC57" s="4">
        <v>16316247</v>
      </c>
      <c r="AD57" s="4">
        <v>1050000</v>
      </c>
      <c r="AE57" s="4">
        <v>81480000</v>
      </c>
      <c r="AF57" s="4">
        <v>1360000</v>
      </c>
      <c r="AG57" s="4">
        <v>93746588.676477998</v>
      </c>
      <c r="AH57" s="4">
        <v>8749730.5996974166</v>
      </c>
    </row>
    <row r="58" spans="1:34" x14ac:dyDescent="0.25">
      <c r="A58" s="266">
        <v>36816</v>
      </c>
      <c r="B58" s="4">
        <v>1250000</v>
      </c>
      <c r="C58" s="4">
        <v>4563600</v>
      </c>
      <c r="D58" s="4">
        <v>2136334</v>
      </c>
      <c r="E58" s="4">
        <v>429975</v>
      </c>
      <c r="F58" s="4">
        <v>12500000</v>
      </c>
      <c r="G58" s="4">
        <v>116115000</v>
      </c>
      <c r="H58" s="4">
        <v>1663000</v>
      </c>
      <c r="I58" s="4">
        <v>12878050</v>
      </c>
      <c r="J58" s="4">
        <v>1012500</v>
      </c>
      <c r="K58" s="4">
        <v>23507915.000000022</v>
      </c>
      <c r="L58" s="4">
        <v>10372212</v>
      </c>
      <c r="M58" s="4">
        <v>1302980</v>
      </c>
      <c r="N58" s="4">
        <v>3486752</v>
      </c>
      <c r="O58" s="4">
        <v>429210</v>
      </c>
      <c r="P58" s="4">
        <v>470790</v>
      </c>
      <c r="Q58" s="4">
        <v>27082500</v>
      </c>
      <c r="R58" s="4">
        <v>7121810</v>
      </c>
      <c r="S58" s="4">
        <v>5644007</v>
      </c>
      <c r="T58" s="4">
        <v>20916875</v>
      </c>
      <c r="U58" s="4">
        <v>2560525</v>
      </c>
      <c r="V58" s="4">
        <v>4774950</v>
      </c>
      <c r="W58" s="4">
        <v>2013591.6599838899</v>
      </c>
      <c r="X58" s="4">
        <v>1374750</v>
      </c>
      <c r="Y58" s="4">
        <v>1803840</v>
      </c>
      <c r="Z58" s="4">
        <v>2300803</v>
      </c>
      <c r="AA58" s="4">
        <v>7483750</v>
      </c>
      <c r="AB58" s="4">
        <v>2343750</v>
      </c>
      <c r="AC58" s="4">
        <v>16316247</v>
      </c>
      <c r="AD58" s="4">
        <v>1050000</v>
      </c>
      <c r="AE58" s="4">
        <v>81480000</v>
      </c>
      <c r="AF58" s="4">
        <v>1360000</v>
      </c>
      <c r="AG58" s="4">
        <v>93746588.676477998</v>
      </c>
      <c r="AH58" s="4">
        <v>8758398.6690105591</v>
      </c>
    </row>
    <row r="59" spans="1:34" x14ac:dyDescent="0.25">
      <c r="A59" s="266">
        <v>36817</v>
      </c>
      <c r="B59" s="4">
        <v>1250000</v>
      </c>
      <c r="C59" s="4">
        <v>4563600</v>
      </c>
      <c r="D59" s="4">
        <v>2136334</v>
      </c>
      <c r="E59" s="4">
        <v>429975</v>
      </c>
      <c r="F59" s="4">
        <v>12500000</v>
      </c>
      <c r="G59" s="4">
        <v>116115000</v>
      </c>
      <c r="H59" s="4">
        <v>1663000</v>
      </c>
      <c r="I59" s="4">
        <v>12878050</v>
      </c>
      <c r="J59" s="4">
        <v>1012500</v>
      </c>
      <c r="K59" s="4">
        <v>23507915.000000026</v>
      </c>
      <c r="L59" s="4">
        <v>10372212</v>
      </c>
      <c r="M59" s="4">
        <v>1302980</v>
      </c>
      <c r="N59" s="4">
        <v>3486752</v>
      </c>
      <c r="O59" s="4">
        <v>429210</v>
      </c>
      <c r="P59" s="4">
        <v>470790</v>
      </c>
      <c r="Q59" s="4">
        <v>27082500</v>
      </c>
      <c r="R59" s="4">
        <v>7121810</v>
      </c>
      <c r="S59" s="4">
        <v>5644007</v>
      </c>
      <c r="T59" s="4">
        <v>20916875</v>
      </c>
      <c r="U59" s="4">
        <v>2560525</v>
      </c>
      <c r="V59" s="4">
        <v>4774950</v>
      </c>
      <c r="W59" s="4">
        <v>2013591.6599838899</v>
      </c>
      <c r="X59" s="4">
        <v>1374750</v>
      </c>
      <c r="Y59" s="4">
        <v>1803840</v>
      </c>
      <c r="Z59" s="4">
        <v>2300803</v>
      </c>
      <c r="AA59" s="4">
        <v>7483750</v>
      </c>
      <c r="AB59" s="4">
        <v>2343750</v>
      </c>
      <c r="AC59" s="4">
        <v>16316247</v>
      </c>
      <c r="AD59" s="4">
        <v>1050000</v>
      </c>
      <c r="AE59" s="4">
        <v>81480000</v>
      </c>
      <c r="AF59" s="4">
        <v>1360000</v>
      </c>
      <c r="AG59" s="4">
        <v>93746588.676477998</v>
      </c>
      <c r="AH59" s="4">
        <v>8758398.6690105591</v>
      </c>
    </row>
    <row r="60" spans="1:34" x14ac:dyDescent="0.25">
      <c r="A60" s="266">
        <v>36818</v>
      </c>
      <c r="B60" s="4">
        <v>1250000</v>
      </c>
      <c r="C60" s="4">
        <v>4563600</v>
      </c>
      <c r="D60" s="4">
        <v>2136334</v>
      </c>
      <c r="E60" s="4">
        <v>429975</v>
      </c>
      <c r="F60" s="4">
        <v>12500000</v>
      </c>
      <c r="G60" s="4">
        <v>116115000</v>
      </c>
      <c r="H60" s="4">
        <v>1663000</v>
      </c>
      <c r="I60" s="4">
        <v>12878050</v>
      </c>
      <c r="J60" s="4">
        <v>1012500</v>
      </c>
      <c r="K60" s="4">
        <v>23507915.00000003</v>
      </c>
      <c r="L60" s="4">
        <v>10372212</v>
      </c>
      <c r="M60" s="4">
        <v>1302980</v>
      </c>
      <c r="N60" s="4">
        <v>3486752</v>
      </c>
      <c r="O60" s="4">
        <v>429210</v>
      </c>
      <c r="P60" s="4">
        <v>470790</v>
      </c>
      <c r="Q60" s="4">
        <v>27082500</v>
      </c>
      <c r="R60" s="4">
        <v>7121810</v>
      </c>
      <c r="S60" s="4">
        <v>5644007</v>
      </c>
      <c r="T60" s="4">
        <v>20916875</v>
      </c>
      <c r="U60" s="4">
        <v>2560525</v>
      </c>
      <c r="V60" s="4">
        <v>4774950</v>
      </c>
      <c r="W60" s="4">
        <v>2013591.6599838899</v>
      </c>
      <c r="X60" s="4">
        <v>1374750</v>
      </c>
      <c r="Y60" s="4">
        <v>1803840</v>
      </c>
      <c r="Z60" s="4">
        <v>2300803</v>
      </c>
      <c r="AA60" s="4">
        <v>7483750</v>
      </c>
      <c r="AB60" s="4">
        <v>2343750</v>
      </c>
      <c r="AC60" s="4">
        <v>16316247</v>
      </c>
      <c r="AD60" s="4">
        <v>1050000</v>
      </c>
      <c r="AE60" s="4">
        <v>81480000</v>
      </c>
      <c r="AF60" s="4">
        <v>1360000</v>
      </c>
      <c r="AG60" s="4">
        <v>93746588.676477998</v>
      </c>
      <c r="AH60" s="4">
        <v>8524443.8093858026</v>
      </c>
    </row>
    <row r="61" spans="1:34" x14ac:dyDescent="0.25">
      <c r="A61" s="266">
        <v>36819</v>
      </c>
      <c r="B61" s="4">
        <v>1250000</v>
      </c>
      <c r="C61" s="4">
        <v>4563600</v>
      </c>
      <c r="D61" s="4">
        <v>2136334</v>
      </c>
      <c r="E61" s="4">
        <v>429975</v>
      </c>
      <c r="F61" s="4">
        <v>12500000</v>
      </c>
      <c r="G61" s="4">
        <v>116115000</v>
      </c>
      <c r="H61" s="4">
        <v>1663000</v>
      </c>
      <c r="I61" s="4">
        <v>12878050</v>
      </c>
      <c r="J61" s="4">
        <v>1012500</v>
      </c>
      <c r="K61" s="4">
        <v>23507915.000000034</v>
      </c>
      <c r="L61" s="4">
        <v>10372212</v>
      </c>
      <c r="M61" s="4">
        <v>1302980</v>
      </c>
      <c r="N61" s="4">
        <v>3486752</v>
      </c>
      <c r="O61" s="4">
        <v>429210</v>
      </c>
      <c r="P61" s="4">
        <v>470790</v>
      </c>
      <c r="Q61" s="4">
        <v>27082500</v>
      </c>
      <c r="R61" s="4">
        <v>7121810</v>
      </c>
      <c r="S61" s="4">
        <v>5644007</v>
      </c>
      <c r="T61" s="4">
        <v>20916875</v>
      </c>
      <c r="U61" s="4">
        <v>2560525</v>
      </c>
      <c r="V61" s="4">
        <v>4774950</v>
      </c>
      <c r="W61" s="4">
        <v>2013591.6599838899</v>
      </c>
      <c r="X61" s="4">
        <v>1374750</v>
      </c>
      <c r="Y61" s="4">
        <v>1803840</v>
      </c>
      <c r="Z61" s="4">
        <v>2300803</v>
      </c>
      <c r="AA61" s="4">
        <v>7483750</v>
      </c>
      <c r="AB61" s="4">
        <v>2343750</v>
      </c>
      <c r="AC61" s="4">
        <v>16316247</v>
      </c>
      <c r="AD61" s="4">
        <v>1050000</v>
      </c>
      <c r="AE61" s="4">
        <v>81480000</v>
      </c>
      <c r="AF61" s="4">
        <v>1360000</v>
      </c>
      <c r="AG61" s="4">
        <v>93746588.676477998</v>
      </c>
      <c r="AH61" s="4">
        <v>8842991.7588454001</v>
      </c>
    </row>
    <row r="62" spans="1:34" x14ac:dyDescent="0.25">
      <c r="A62" s="266">
        <v>36822</v>
      </c>
      <c r="B62" s="4">
        <v>1250000</v>
      </c>
      <c r="C62" s="4">
        <v>4563600</v>
      </c>
      <c r="D62" s="4">
        <v>2136334</v>
      </c>
      <c r="E62" s="4">
        <v>429975</v>
      </c>
      <c r="F62" s="4">
        <v>12500000</v>
      </c>
      <c r="G62" s="4">
        <v>116115000</v>
      </c>
      <c r="H62" s="4">
        <v>1663000</v>
      </c>
      <c r="I62" s="4">
        <v>12878050</v>
      </c>
      <c r="J62" s="4">
        <v>1012500</v>
      </c>
      <c r="K62" s="4">
        <v>23507915.000000037</v>
      </c>
      <c r="L62" s="4">
        <v>10372212</v>
      </c>
      <c r="M62" s="4">
        <v>1302980</v>
      </c>
      <c r="N62" s="4">
        <v>3486752</v>
      </c>
      <c r="O62" s="4">
        <v>429210</v>
      </c>
      <c r="P62" s="4">
        <v>470790</v>
      </c>
      <c r="Q62" s="4">
        <v>27082500</v>
      </c>
      <c r="R62" s="4">
        <v>7121810</v>
      </c>
      <c r="S62" s="4">
        <v>5644007</v>
      </c>
      <c r="T62" s="4">
        <v>20916875</v>
      </c>
      <c r="U62" s="4">
        <v>2560525</v>
      </c>
      <c r="V62" s="4">
        <v>4774950</v>
      </c>
      <c r="W62" s="4">
        <v>2013591.6599838899</v>
      </c>
      <c r="X62" s="4">
        <v>1374750</v>
      </c>
      <c r="Y62" s="4">
        <v>1803840</v>
      </c>
      <c r="Z62" s="4">
        <v>2300803</v>
      </c>
      <c r="AA62" s="4">
        <v>7483750</v>
      </c>
      <c r="AB62" s="4">
        <v>2343750</v>
      </c>
      <c r="AC62" s="4">
        <v>16316247</v>
      </c>
      <c r="AD62" s="4">
        <v>1050000</v>
      </c>
      <c r="AE62" s="4">
        <v>81480000</v>
      </c>
      <c r="AF62" s="4">
        <v>1360000</v>
      </c>
      <c r="AG62" s="4">
        <v>93746588.676477998</v>
      </c>
      <c r="AH62" s="4">
        <v>8783368.2522070706</v>
      </c>
    </row>
    <row r="63" spans="1:34" x14ac:dyDescent="0.25">
      <c r="A63" s="266">
        <v>36823</v>
      </c>
      <c r="B63" s="4">
        <v>1250000</v>
      </c>
      <c r="C63" s="4">
        <v>4563600</v>
      </c>
      <c r="D63" s="4">
        <v>2136334</v>
      </c>
      <c r="E63" s="4">
        <v>429975</v>
      </c>
      <c r="F63" s="4">
        <v>12500000</v>
      </c>
      <c r="G63" s="4">
        <v>116115000</v>
      </c>
      <c r="H63" s="4">
        <v>1663000</v>
      </c>
      <c r="I63" s="4">
        <v>12878050</v>
      </c>
      <c r="J63" s="4">
        <v>1012500</v>
      </c>
      <c r="K63" s="4">
        <v>23507915.000000041</v>
      </c>
      <c r="L63" s="4">
        <v>10372212</v>
      </c>
      <c r="M63" s="4">
        <v>1302980</v>
      </c>
      <c r="N63" s="4">
        <v>3486752</v>
      </c>
      <c r="O63" s="4">
        <v>429210</v>
      </c>
      <c r="P63" s="4">
        <v>470790</v>
      </c>
      <c r="Q63" s="4">
        <v>27082500</v>
      </c>
      <c r="R63" s="4">
        <v>7121810</v>
      </c>
      <c r="S63" s="4">
        <v>5644007</v>
      </c>
      <c r="T63" s="4">
        <v>20916875</v>
      </c>
      <c r="U63" s="4">
        <v>2560525</v>
      </c>
      <c r="V63" s="4">
        <v>4774950</v>
      </c>
      <c r="W63" s="4">
        <v>2013591.6599838899</v>
      </c>
      <c r="X63" s="4">
        <v>1374750</v>
      </c>
      <c r="Y63" s="4">
        <v>1803840</v>
      </c>
      <c r="Z63" s="4">
        <v>2300803</v>
      </c>
      <c r="AA63" s="4">
        <v>7483750</v>
      </c>
      <c r="AB63" s="4">
        <v>2343750</v>
      </c>
      <c r="AC63" s="4">
        <v>16316247</v>
      </c>
      <c r="AD63" s="4">
        <v>1050000</v>
      </c>
      <c r="AE63" s="4">
        <v>81480000</v>
      </c>
      <c r="AF63" s="4">
        <v>1360000</v>
      </c>
      <c r="AG63" s="4">
        <v>93746588.676477998</v>
      </c>
      <c r="AH63" s="4">
        <v>8768414.7562132198</v>
      </c>
    </row>
    <row r="64" spans="1:34" x14ac:dyDescent="0.25">
      <c r="A64" s="266">
        <v>36824</v>
      </c>
      <c r="B64" s="4">
        <v>1250000</v>
      </c>
      <c r="C64" s="4">
        <v>4563600</v>
      </c>
      <c r="D64" s="4">
        <v>2136334</v>
      </c>
      <c r="E64" s="4">
        <v>429975</v>
      </c>
      <c r="F64" s="4">
        <v>12500000</v>
      </c>
      <c r="G64" s="4">
        <v>116115000</v>
      </c>
      <c r="H64" s="4">
        <v>1663000</v>
      </c>
      <c r="I64" s="4">
        <v>12878050</v>
      </c>
      <c r="J64" s="4">
        <v>1012500</v>
      </c>
      <c r="K64" s="4">
        <v>23507915.000000045</v>
      </c>
      <c r="L64" s="4">
        <v>10372212</v>
      </c>
      <c r="M64" s="4">
        <v>1302980</v>
      </c>
      <c r="N64" s="4">
        <v>3486752</v>
      </c>
      <c r="O64" s="4">
        <v>429210</v>
      </c>
      <c r="P64" s="4">
        <v>470790</v>
      </c>
      <c r="Q64" s="4">
        <v>27082500</v>
      </c>
      <c r="R64" s="4">
        <v>7121810</v>
      </c>
      <c r="S64" s="4">
        <v>5644007</v>
      </c>
      <c r="T64" s="4">
        <v>20916875</v>
      </c>
      <c r="U64" s="4">
        <v>2560525</v>
      </c>
      <c r="V64" s="4">
        <v>4774950</v>
      </c>
      <c r="W64" s="4">
        <v>2013591.6599838899</v>
      </c>
      <c r="X64" s="4">
        <v>1374750</v>
      </c>
      <c r="Y64" s="4">
        <v>1803840</v>
      </c>
      <c r="Z64" s="4">
        <v>2300803</v>
      </c>
      <c r="AA64" s="4">
        <v>7483750</v>
      </c>
      <c r="AB64" s="4">
        <v>2343750</v>
      </c>
      <c r="AC64" s="4">
        <v>16316247</v>
      </c>
      <c r="AD64" s="4">
        <v>1050000</v>
      </c>
      <c r="AE64" s="4">
        <v>81480000</v>
      </c>
      <c r="AF64" s="4">
        <v>1360000</v>
      </c>
      <c r="AG64" s="4">
        <v>93746588.676477998</v>
      </c>
      <c r="AH64" s="4">
        <v>8606783.3955013454</v>
      </c>
    </row>
    <row r="65" spans="1:34" x14ac:dyDescent="0.25">
      <c r="A65" s="266">
        <v>36825</v>
      </c>
      <c r="B65" s="4">
        <v>1250000</v>
      </c>
      <c r="C65" s="4">
        <v>4563600</v>
      </c>
      <c r="D65" s="4">
        <v>2136334</v>
      </c>
      <c r="E65" s="4">
        <v>429975</v>
      </c>
      <c r="F65" s="4">
        <v>12500000</v>
      </c>
      <c r="G65" s="4">
        <v>116115000</v>
      </c>
      <c r="H65" s="4">
        <v>1663000</v>
      </c>
      <c r="I65" s="4">
        <v>12878050</v>
      </c>
      <c r="J65" s="4">
        <v>1012500</v>
      </c>
      <c r="K65" s="4">
        <v>23507915.000000048</v>
      </c>
      <c r="L65" s="4">
        <v>10372212</v>
      </c>
      <c r="M65" s="4">
        <v>1302980</v>
      </c>
      <c r="N65" s="4">
        <v>3486752</v>
      </c>
      <c r="O65" s="4">
        <v>429210</v>
      </c>
      <c r="P65" s="4">
        <v>470790</v>
      </c>
      <c r="Q65" s="4">
        <v>27082500</v>
      </c>
      <c r="R65" s="4">
        <v>7121810</v>
      </c>
      <c r="S65" s="4">
        <v>5644007</v>
      </c>
      <c r="T65" s="4">
        <v>20916875</v>
      </c>
      <c r="U65" s="4">
        <v>2560525</v>
      </c>
      <c r="V65" s="4">
        <v>4774950</v>
      </c>
      <c r="W65" s="4">
        <v>2013591.6599838899</v>
      </c>
      <c r="X65" s="4">
        <v>1374750</v>
      </c>
      <c r="Y65" s="4">
        <v>1803840</v>
      </c>
      <c r="Z65" s="4">
        <v>2300803</v>
      </c>
      <c r="AA65" s="4">
        <v>7483750</v>
      </c>
      <c r="AB65" s="4">
        <v>2343750</v>
      </c>
      <c r="AC65" s="4">
        <v>16316247</v>
      </c>
      <c r="AD65" s="4">
        <v>1050000</v>
      </c>
      <c r="AE65" s="4">
        <v>81480000</v>
      </c>
      <c r="AF65" s="4">
        <v>1360000</v>
      </c>
      <c r="AG65" s="4">
        <v>93746588.676477998</v>
      </c>
      <c r="AH65" s="4">
        <v>8460895.6057368759</v>
      </c>
    </row>
    <row r="66" spans="1:34" x14ac:dyDescent="0.25">
      <c r="A66" s="266">
        <v>36826</v>
      </c>
      <c r="B66" s="4">
        <v>1250000</v>
      </c>
      <c r="C66" s="4">
        <v>4563600</v>
      </c>
      <c r="D66" s="4">
        <v>2136334</v>
      </c>
      <c r="E66" s="4">
        <v>429975</v>
      </c>
      <c r="F66" s="4">
        <v>12500000</v>
      </c>
      <c r="G66" s="4">
        <v>116115000</v>
      </c>
      <c r="H66" s="4">
        <v>1663000</v>
      </c>
      <c r="I66" s="4">
        <v>12878050</v>
      </c>
      <c r="J66" s="4">
        <v>1012500</v>
      </c>
      <c r="K66" s="4">
        <v>23507915.000000052</v>
      </c>
      <c r="L66" s="4">
        <v>10372212</v>
      </c>
      <c r="M66" s="4">
        <v>1302980</v>
      </c>
      <c r="N66" s="4">
        <v>3486752</v>
      </c>
      <c r="O66" s="4">
        <v>429210</v>
      </c>
      <c r="P66" s="4">
        <v>470790</v>
      </c>
      <c r="Q66" s="4">
        <v>27082500</v>
      </c>
      <c r="R66" s="4">
        <v>7121810</v>
      </c>
      <c r="S66" s="4">
        <v>5644007</v>
      </c>
      <c r="T66" s="4">
        <v>20916875</v>
      </c>
      <c r="U66" s="4">
        <v>2560525</v>
      </c>
      <c r="V66" s="4">
        <v>4774950</v>
      </c>
      <c r="W66" s="4">
        <v>2013591.6599838899</v>
      </c>
      <c r="X66" s="4">
        <v>1374750</v>
      </c>
      <c r="Y66" s="4">
        <v>1803840</v>
      </c>
      <c r="Z66" s="4">
        <v>2300803</v>
      </c>
      <c r="AA66" s="4">
        <v>7483750</v>
      </c>
      <c r="AB66" s="4">
        <v>2343750</v>
      </c>
      <c r="AC66" s="4">
        <v>16316247</v>
      </c>
      <c r="AD66" s="4">
        <v>1050000</v>
      </c>
      <c r="AE66" s="4">
        <v>81480000</v>
      </c>
      <c r="AF66" s="4">
        <v>1360000</v>
      </c>
      <c r="AG66" s="4">
        <v>93746588.676477998</v>
      </c>
      <c r="AH66" s="4">
        <v>8598647.2987281699</v>
      </c>
    </row>
    <row r="67" spans="1:34" x14ac:dyDescent="0.25">
      <c r="A67" s="266">
        <v>36829</v>
      </c>
      <c r="B67" s="4">
        <v>1250000</v>
      </c>
      <c r="C67" s="4">
        <v>4563600</v>
      </c>
      <c r="D67" s="4">
        <v>2136334</v>
      </c>
      <c r="E67" s="4">
        <v>429975</v>
      </c>
      <c r="F67" s="4">
        <v>12500000</v>
      </c>
      <c r="G67" s="4">
        <v>116115000</v>
      </c>
      <c r="H67" s="4">
        <v>1663000</v>
      </c>
      <c r="I67" s="4">
        <v>12878050</v>
      </c>
      <c r="J67" s="4">
        <v>1012500</v>
      </c>
      <c r="K67" s="4">
        <v>23507915.000000056</v>
      </c>
      <c r="L67" s="4">
        <v>10372212</v>
      </c>
      <c r="M67" s="4">
        <v>1302980</v>
      </c>
      <c r="N67" s="4">
        <v>3486752</v>
      </c>
      <c r="O67" s="4">
        <v>429210</v>
      </c>
      <c r="P67" s="4">
        <v>470790</v>
      </c>
      <c r="Q67" s="4">
        <v>27082500</v>
      </c>
      <c r="R67" s="4">
        <v>7121810</v>
      </c>
      <c r="S67" s="4">
        <v>5644007</v>
      </c>
      <c r="T67" s="4">
        <v>20916875</v>
      </c>
      <c r="U67" s="4">
        <v>2560525</v>
      </c>
      <c r="V67" s="4">
        <v>4774950</v>
      </c>
      <c r="W67" s="4">
        <v>2013591.6599838899</v>
      </c>
      <c r="X67" s="4">
        <v>1374750</v>
      </c>
      <c r="Y67" s="4">
        <v>1803840</v>
      </c>
      <c r="Z67" s="4">
        <v>2300803</v>
      </c>
      <c r="AA67" s="4">
        <v>7483750</v>
      </c>
      <c r="AB67" s="4">
        <v>2343750</v>
      </c>
      <c r="AC67" s="4">
        <v>16316247</v>
      </c>
      <c r="AD67" s="4">
        <v>1050000</v>
      </c>
      <c r="AE67" s="4">
        <v>81480000</v>
      </c>
      <c r="AF67" s="4">
        <v>1360000</v>
      </c>
      <c r="AG67" s="4">
        <v>93746588.676477998</v>
      </c>
      <c r="AH67" s="4">
        <v>8365770.8454302819</v>
      </c>
    </row>
    <row r="68" spans="1:34" x14ac:dyDescent="0.25">
      <c r="A68" s="266">
        <v>36830</v>
      </c>
      <c r="B68" s="4">
        <v>1250000</v>
      </c>
      <c r="C68" s="4">
        <v>4563600</v>
      </c>
      <c r="D68" s="4">
        <v>2136334</v>
      </c>
      <c r="E68" s="4">
        <v>429975</v>
      </c>
      <c r="F68" s="4">
        <v>12500000</v>
      </c>
      <c r="G68" s="4">
        <v>116115000</v>
      </c>
      <c r="H68" s="4">
        <v>1663000</v>
      </c>
      <c r="I68" s="4">
        <v>12878050</v>
      </c>
      <c r="J68" s="4">
        <v>1012500</v>
      </c>
      <c r="K68" s="4">
        <v>23507915.00000006</v>
      </c>
      <c r="L68" s="4">
        <v>10372212</v>
      </c>
      <c r="M68" s="4">
        <v>1302980</v>
      </c>
      <c r="N68" s="4">
        <v>3486752</v>
      </c>
      <c r="O68" s="4">
        <v>429210</v>
      </c>
      <c r="P68" s="4">
        <v>470790</v>
      </c>
      <c r="Q68" s="4">
        <v>27082500</v>
      </c>
      <c r="R68" s="4">
        <v>7121810</v>
      </c>
      <c r="S68" s="4">
        <v>5644007</v>
      </c>
      <c r="T68" s="4">
        <v>20916875</v>
      </c>
      <c r="U68" s="4">
        <v>2560525</v>
      </c>
      <c r="V68" s="4">
        <v>4774950</v>
      </c>
      <c r="W68" s="4">
        <v>2013591.6599838899</v>
      </c>
      <c r="X68" s="4">
        <v>1374750</v>
      </c>
      <c r="Y68" s="4">
        <v>1803840</v>
      </c>
      <c r="Z68" s="4">
        <v>2300803</v>
      </c>
      <c r="AA68" s="4">
        <v>7483750</v>
      </c>
      <c r="AB68" s="4">
        <v>2343750</v>
      </c>
      <c r="AC68" s="4">
        <v>16316247</v>
      </c>
      <c r="AD68" s="4">
        <v>1050000</v>
      </c>
      <c r="AE68" s="4">
        <v>81480000</v>
      </c>
      <c r="AF68" s="4">
        <v>1360000</v>
      </c>
      <c r="AG68" s="4">
        <v>93746588.676477998</v>
      </c>
      <c r="AH68" s="4">
        <v>8324132.1882727798</v>
      </c>
    </row>
    <row r="69" spans="1:34" x14ac:dyDescent="0.25">
      <c r="A69" s="266">
        <v>36831</v>
      </c>
      <c r="B69" s="4">
        <v>1250000</v>
      </c>
      <c r="C69" s="4">
        <v>4563600</v>
      </c>
      <c r="D69" s="4">
        <v>2136334</v>
      </c>
      <c r="E69" s="4">
        <v>429975</v>
      </c>
      <c r="F69" s="4">
        <v>12500000</v>
      </c>
      <c r="G69" s="4">
        <v>116115000</v>
      </c>
      <c r="H69" s="4">
        <v>1663000</v>
      </c>
      <c r="I69" s="4">
        <v>12878050</v>
      </c>
      <c r="J69" s="4">
        <v>1012500</v>
      </c>
      <c r="K69" s="4">
        <v>23507915.000000063</v>
      </c>
      <c r="L69" s="4">
        <v>10372212</v>
      </c>
      <c r="M69" s="4">
        <v>1302980</v>
      </c>
      <c r="N69" s="4">
        <v>3486752</v>
      </c>
      <c r="O69" s="4">
        <v>429210</v>
      </c>
      <c r="P69" s="4">
        <v>470790</v>
      </c>
      <c r="Q69" s="4">
        <v>27082500</v>
      </c>
      <c r="R69" s="4">
        <v>7121810</v>
      </c>
      <c r="S69" s="4">
        <v>5644007</v>
      </c>
      <c r="T69" s="4">
        <v>20916875</v>
      </c>
      <c r="U69" s="4">
        <v>2560525</v>
      </c>
      <c r="V69" s="4">
        <v>4774950</v>
      </c>
      <c r="W69" s="4">
        <v>2013591.6599838899</v>
      </c>
      <c r="X69" s="4">
        <v>1374750</v>
      </c>
      <c r="Y69" s="4">
        <v>1803840</v>
      </c>
      <c r="Z69" s="4">
        <v>2300803</v>
      </c>
      <c r="AA69" s="4">
        <v>7483750</v>
      </c>
      <c r="AB69" s="4">
        <v>2343750</v>
      </c>
      <c r="AC69" s="4">
        <v>16316247</v>
      </c>
      <c r="AD69" s="4">
        <v>1050000</v>
      </c>
      <c r="AE69" s="4">
        <v>81480000</v>
      </c>
      <c r="AF69" s="4">
        <v>1360000</v>
      </c>
      <c r="AG69" s="4">
        <v>93746588.676477998</v>
      </c>
      <c r="AH69" s="4">
        <v>8325490.2362822983</v>
      </c>
    </row>
    <row r="70" spans="1:34" x14ac:dyDescent="0.25">
      <c r="A70" s="266">
        <v>36832</v>
      </c>
      <c r="B70" s="4">
        <v>1250000</v>
      </c>
      <c r="C70" s="4">
        <v>4563600</v>
      </c>
      <c r="D70" s="4">
        <v>2136334</v>
      </c>
      <c r="E70" s="4">
        <v>429975</v>
      </c>
      <c r="F70" s="4">
        <v>0</v>
      </c>
      <c r="G70" s="4">
        <v>116115000</v>
      </c>
      <c r="H70" s="4">
        <v>1663000</v>
      </c>
      <c r="I70" s="4">
        <v>12878050</v>
      </c>
      <c r="J70" s="4">
        <v>1012500</v>
      </c>
      <c r="K70" s="4">
        <v>23507915.000000067</v>
      </c>
      <c r="L70" s="4">
        <v>10372212</v>
      </c>
      <c r="M70" s="4">
        <v>1302980</v>
      </c>
      <c r="N70" s="4">
        <v>3486752</v>
      </c>
      <c r="O70" s="4">
        <v>429210</v>
      </c>
      <c r="P70" s="4">
        <v>470790</v>
      </c>
      <c r="Q70" s="4">
        <v>27082500</v>
      </c>
      <c r="R70" s="4">
        <v>7121810</v>
      </c>
      <c r="S70" s="4">
        <v>5644007</v>
      </c>
      <c r="T70" s="4">
        <v>20916875</v>
      </c>
      <c r="U70" s="4">
        <v>2560525</v>
      </c>
      <c r="V70" s="4">
        <v>4774950</v>
      </c>
      <c r="W70" s="4">
        <v>2013591.6599838899</v>
      </c>
      <c r="X70" s="4">
        <v>1374750</v>
      </c>
      <c r="Y70" s="4">
        <v>1803840</v>
      </c>
      <c r="Z70" s="4">
        <v>2300803</v>
      </c>
      <c r="AA70" s="4">
        <v>7483750</v>
      </c>
      <c r="AB70" s="4">
        <v>2343750</v>
      </c>
      <c r="AC70" s="4">
        <v>16316247</v>
      </c>
      <c r="AD70" s="4">
        <v>1050000</v>
      </c>
      <c r="AE70" s="4">
        <v>81480000</v>
      </c>
      <c r="AF70" s="4">
        <v>1360000</v>
      </c>
      <c r="AG70" s="4">
        <v>93746588.676477998</v>
      </c>
      <c r="AH70" s="4">
        <v>8698547.7956844997</v>
      </c>
    </row>
    <row r="71" spans="1:34" x14ac:dyDescent="0.25">
      <c r="A71" s="266">
        <v>36833</v>
      </c>
      <c r="B71" s="4">
        <v>1250000</v>
      </c>
      <c r="C71" s="4">
        <v>4563600</v>
      </c>
      <c r="D71" s="4">
        <v>2136334</v>
      </c>
      <c r="E71" s="4">
        <v>429975</v>
      </c>
      <c r="F71" s="4">
        <v>0</v>
      </c>
      <c r="G71" s="4">
        <v>116115000</v>
      </c>
      <c r="H71" s="4">
        <v>1663000</v>
      </c>
      <c r="I71" s="4">
        <v>12878050</v>
      </c>
      <c r="J71" s="4">
        <v>1012500</v>
      </c>
      <c r="K71" s="4">
        <v>23507915.000000071</v>
      </c>
      <c r="L71" s="4">
        <v>10372212</v>
      </c>
      <c r="M71" s="4">
        <v>1302980</v>
      </c>
      <c r="N71" s="4">
        <v>3486752</v>
      </c>
      <c r="O71" s="4">
        <v>429210</v>
      </c>
      <c r="P71" s="4">
        <v>470790</v>
      </c>
      <c r="Q71" s="4">
        <v>27082500</v>
      </c>
      <c r="R71" s="4">
        <v>7121810</v>
      </c>
      <c r="S71" s="4">
        <v>5644007</v>
      </c>
      <c r="T71" s="4">
        <v>20916875</v>
      </c>
      <c r="U71" s="4">
        <v>2560525</v>
      </c>
      <c r="V71" s="4">
        <v>4774950</v>
      </c>
      <c r="W71" s="4">
        <v>2013591.6599838899</v>
      </c>
      <c r="X71" s="4">
        <v>1374750</v>
      </c>
      <c r="Y71" s="4">
        <v>1803840</v>
      </c>
      <c r="Z71" s="4">
        <v>2300803</v>
      </c>
      <c r="AA71" s="4">
        <v>7483750</v>
      </c>
      <c r="AB71" s="4">
        <v>2343750</v>
      </c>
      <c r="AC71" s="4">
        <v>16316247</v>
      </c>
      <c r="AD71" s="4">
        <v>1050000</v>
      </c>
      <c r="AE71" s="4">
        <v>81480000</v>
      </c>
      <c r="AF71" s="4">
        <v>1360000</v>
      </c>
      <c r="AG71" s="4">
        <v>93746588.676477998</v>
      </c>
      <c r="AH71" s="4">
        <v>8698547.7956844997</v>
      </c>
    </row>
    <row r="72" spans="1:34" x14ac:dyDescent="0.25">
      <c r="A72" s="266">
        <v>36836</v>
      </c>
      <c r="B72" s="4">
        <v>1250000</v>
      </c>
      <c r="C72" s="4">
        <v>4563600</v>
      </c>
      <c r="D72" s="4">
        <v>2136334</v>
      </c>
      <c r="E72" s="4">
        <v>429975</v>
      </c>
      <c r="F72" s="4">
        <v>0</v>
      </c>
      <c r="G72" s="4">
        <v>116115000</v>
      </c>
      <c r="H72" s="4">
        <v>1663000</v>
      </c>
      <c r="I72" s="4">
        <v>12878050</v>
      </c>
      <c r="J72" s="4">
        <v>1012500</v>
      </c>
      <c r="K72" s="4">
        <v>23507915.000000075</v>
      </c>
      <c r="L72" s="4">
        <v>10372212</v>
      </c>
      <c r="M72" s="4">
        <v>1302980</v>
      </c>
      <c r="N72" s="4">
        <v>3486752</v>
      </c>
      <c r="O72" s="4">
        <v>429210</v>
      </c>
      <c r="P72" s="4">
        <v>470790</v>
      </c>
      <c r="Q72" s="4">
        <v>27082500</v>
      </c>
      <c r="R72" s="4">
        <v>7121810</v>
      </c>
      <c r="S72" s="4">
        <v>5644007</v>
      </c>
      <c r="T72" s="4">
        <v>20916875</v>
      </c>
      <c r="U72" s="4">
        <v>2560525</v>
      </c>
      <c r="V72" s="4">
        <v>4774950</v>
      </c>
      <c r="W72" s="4">
        <v>2013591.6599838899</v>
      </c>
      <c r="X72" s="4">
        <v>1374750</v>
      </c>
      <c r="Y72" s="4">
        <v>1803840</v>
      </c>
      <c r="Z72" s="4">
        <v>2300803</v>
      </c>
      <c r="AA72" s="4">
        <v>7483750</v>
      </c>
      <c r="AB72" s="4">
        <v>2343750</v>
      </c>
      <c r="AC72" s="4">
        <v>16316247</v>
      </c>
      <c r="AD72" s="4">
        <v>1050000</v>
      </c>
      <c r="AE72" s="4">
        <v>81480000</v>
      </c>
      <c r="AF72" s="4">
        <v>1360000</v>
      </c>
      <c r="AG72" s="4">
        <v>93746588.676477998</v>
      </c>
      <c r="AH72" s="4">
        <v>9170660.169584265</v>
      </c>
    </row>
    <row r="73" spans="1:34" x14ac:dyDescent="0.25">
      <c r="A73" s="266">
        <v>36837</v>
      </c>
      <c r="B73" s="4">
        <v>1250000</v>
      </c>
      <c r="C73" s="4">
        <v>4563600</v>
      </c>
      <c r="D73" s="4">
        <v>2136334</v>
      </c>
      <c r="E73" s="4">
        <v>429975</v>
      </c>
      <c r="F73" s="4">
        <v>0</v>
      </c>
      <c r="G73" s="4">
        <v>116115000</v>
      </c>
      <c r="H73" s="4">
        <v>1663000</v>
      </c>
      <c r="I73" s="4">
        <v>12878050</v>
      </c>
      <c r="J73" s="4">
        <v>1012500</v>
      </c>
      <c r="K73" s="4">
        <v>23507915.000000078</v>
      </c>
      <c r="L73" s="4">
        <v>10372212</v>
      </c>
      <c r="M73" s="4">
        <v>1302980</v>
      </c>
      <c r="N73" s="4">
        <v>3486752</v>
      </c>
      <c r="O73" s="4">
        <v>429210</v>
      </c>
      <c r="P73" s="4">
        <v>470790</v>
      </c>
      <c r="Q73" s="4">
        <v>27082500</v>
      </c>
      <c r="R73" s="4">
        <v>7121810</v>
      </c>
      <c r="S73" s="4">
        <v>5644007</v>
      </c>
      <c r="T73" s="4">
        <v>20916875</v>
      </c>
      <c r="U73" s="4">
        <v>2560525</v>
      </c>
      <c r="V73" s="4">
        <v>4774950</v>
      </c>
      <c r="W73" s="4">
        <v>2013591.6599838899</v>
      </c>
      <c r="X73" s="4">
        <v>1374750</v>
      </c>
      <c r="Y73" s="4">
        <v>1803840</v>
      </c>
      <c r="Z73" s="4">
        <v>2300803</v>
      </c>
      <c r="AA73" s="4">
        <v>7483750</v>
      </c>
      <c r="AB73" s="4">
        <v>2343750</v>
      </c>
      <c r="AC73" s="4">
        <v>16316247</v>
      </c>
      <c r="AD73" s="4">
        <v>1050000</v>
      </c>
      <c r="AE73" s="4">
        <v>81480000</v>
      </c>
      <c r="AF73" s="4">
        <v>1360000</v>
      </c>
      <c r="AG73" s="4">
        <v>93746588.676477998</v>
      </c>
      <c r="AH73" s="4">
        <v>8903465.9873355012</v>
      </c>
    </row>
    <row r="74" spans="1:34" x14ac:dyDescent="0.25">
      <c r="A74" s="266">
        <v>36838</v>
      </c>
      <c r="B74" s="4">
        <v>1250000</v>
      </c>
      <c r="C74" s="4">
        <v>4563600</v>
      </c>
      <c r="D74" s="4">
        <v>2136334</v>
      </c>
      <c r="E74" s="4">
        <v>429975</v>
      </c>
      <c r="F74" s="4">
        <v>0</v>
      </c>
      <c r="G74" s="4">
        <v>116115000</v>
      </c>
      <c r="H74" s="4">
        <v>1663000</v>
      </c>
      <c r="I74" s="4">
        <v>12878050</v>
      </c>
      <c r="J74" s="4">
        <v>1012500</v>
      </c>
      <c r="K74" s="4">
        <v>23507915.000000082</v>
      </c>
      <c r="L74" s="4">
        <v>10372212</v>
      </c>
      <c r="M74" s="4">
        <v>1302980</v>
      </c>
      <c r="N74" s="4">
        <v>3486752</v>
      </c>
      <c r="O74" s="4">
        <v>429210</v>
      </c>
      <c r="P74" s="4">
        <v>470790</v>
      </c>
      <c r="Q74" s="4">
        <v>27082500</v>
      </c>
      <c r="R74" s="4">
        <v>7121810</v>
      </c>
      <c r="S74" s="4">
        <v>5644007</v>
      </c>
      <c r="T74" s="4">
        <v>20916875</v>
      </c>
      <c r="U74" s="4">
        <v>2560525</v>
      </c>
      <c r="V74" s="4">
        <v>4774950</v>
      </c>
      <c r="W74" s="4">
        <v>2013591.6599838899</v>
      </c>
      <c r="X74" s="4">
        <v>1374750</v>
      </c>
      <c r="Y74" s="4">
        <v>1803840</v>
      </c>
      <c r="Z74" s="4">
        <v>2300803</v>
      </c>
      <c r="AA74" s="4">
        <v>7483750</v>
      </c>
      <c r="AB74" s="4">
        <v>2343750</v>
      </c>
      <c r="AC74" s="4">
        <v>16316247</v>
      </c>
      <c r="AD74" s="4">
        <v>1050000</v>
      </c>
      <c r="AE74" s="4">
        <v>81480000</v>
      </c>
      <c r="AF74" s="4">
        <v>1360000</v>
      </c>
      <c r="AG74" s="4">
        <v>93746588.676477998</v>
      </c>
      <c r="AH74" s="4">
        <v>8971339.3282200806</v>
      </c>
    </row>
    <row r="75" spans="1:34" x14ac:dyDescent="0.25">
      <c r="A75" s="266">
        <v>36839</v>
      </c>
      <c r="B75" s="4">
        <v>1250000</v>
      </c>
      <c r="C75" s="4">
        <v>4563600</v>
      </c>
      <c r="D75" s="4">
        <v>2136334</v>
      </c>
      <c r="E75" s="4">
        <v>429975</v>
      </c>
      <c r="F75" s="4">
        <v>0</v>
      </c>
      <c r="G75" s="4">
        <v>116115000</v>
      </c>
      <c r="H75" s="4">
        <v>1663000</v>
      </c>
      <c r="I75" s="4">
        <v>12878050</v>
      </c>
      <c r="J75" s="4">
        <v>1012500</v>
      </c>
      <c r="K75" s="4">
        <v>23507915.000000086</v>
      </c>
      <c r="L75" s="4">
        <v>10372212</v>
      </c>
      <c r="M75" s="4">
        <v>1302980</v>
      </c>
      <c r="N75" s="4">
        <v>3486752</v>
      </c>
      <c r="O75" s="4">
        <v>429210</v>
      </c>
      <c r="P75" s="4">
        <v>470790</v>
      </c>
      <c r="Q75" s="4">
        <v>27082500</v>
      </c>
      <c r="R75" s="4">
        <v>7121810</v>
      </c>
      <c r="S75" s="4">
        <v>5644007</v>
      </c>
      <c r="T75" s="4">
        <v>20916875</v>
      </c>
      <c r="U75" s="4">
        <v>2560525</v>
      </c>
      <c r="V75" s="4">
        <v>4774950</v>
      </c>
      <c r="W75" s="4">
        <v>2013591.6599838899</v>
      </c>
      <c r="X75" s="4">
        <v>1374750</v>
      </c>
      <c r="Y75" s="4">
        <v>1803840</v>
      </c>
      <c r="Z75" s="4">
        <v>2300803</v>
      </c>
      <c r="AA75" s="4">
        <v>7483750</v>
      </c>
      <c r="AB75" s="4">
        <v>2343750</v>
      </c>
      <c r="AC75" s="4">
        <v>16316247</v>
      </c>
      <c r="AD75" s="4">
        <v>1050000</v>
      </c>
      <c r="AE75" s="4">
        <v>81480000</v>
      </c>
      <c r="AF75" s="4">
        <v>1360000</v>
      </c>
      <c r="AG75" s="4">
        <v>93746588.676477998</v>
      </c>
      <c r="AH75" s="4">
        <v>9033356.6311990321</v>
      </c>
    </row>
    <row r="76" spans="1:34" x14ac:dyDescent="0.25">
      <c r="A76" s="266">
        <v>36840</v>
      </c>
      <c r="B76" s="4">
        <v>1250000</v>
      </c>
      <c r="C76" s="4">
        <v>4563600</v>
      </c>
      <c r="D76" s="4">
        <v>2136334</v>
      </c>
      <c r="E76" s="4">
        <v>429975</v>
      </c>
      <c r="F76" s="4">
        <v>0</v>
      </c>
      <c r="G76" s="4">
        <v>116115000</v>
      </c>
      <c r="H76" s="4">
        <v>1663000</v>
      </c>
      <c r="I76" s="4">
        <v>12878050</v>
      </c>
      <c r="J76" s="4">
        <v>1012500</v>
      </c>
      <c r="K76" s="4">
        <v>23507915.000000089</v>
      </c>
      <c r="L76" s="4">
        <v>10372212</v>
      </c>
      <c r="M76" s="4">
        <v>1302980</v>
      </c>
      <c r="N76" s="4">
        <v>3486752</v>
      </c>
      <c r="O76" s="4">
        <v>429210</v>
      </c>
      <c r="P76" s="4">
        <v>470790</v>
      </c>
      <c r="Q76" s="4">
        <v>27082500</v>
      </c>
      <c r="R76" s="4">
        <v>7121810</v>
      </c>
      <c r="S76" s="4">
        <v>5644007</v>
      </c>
      <c r="T76" s="4">
        <v>20916875</v>
      </c>
      <c r="U76" s="4">
        <v>2560525</v>
      </c>
      <c r="V76" s="4">
        <v>4774950</v>
      </c>
      <c r="W76" s="4">
        <v>2013591.6599838899</v>
      </c>
      <c r="X76" s="4">
        <v>1374750</v>
      </c>
      <c r="Y76" s="4">
        <v>1803840</v>
      </c>
      <c r="Z76" s="4">
        <v>2300803</v>
      </c>
      <c r="AA76" s="4">
        <v>7483750</v>
      </c>
      <c r="AB76" s="4">
        <v>2343750</v>
      </c>
      <c r="AC76" s="4">
        <v>16316247</v>
      </c>
      <c r="AD76" s="4">
        <v>1050000</v>
      </c>
      <c r="AE76" s="4">
        <v>81480000</v>
      </c>
      <c r="AF76" s="4">
        <v>1360000</v>
      </c>
      <c r="AG76" s="4">
        <v>93746588.676477998</v>
      </c>
      <c r="AH76" s="4">
        <v>8823189.6387037802</v>
      </c>
    </row>
    <row r="77" spans="1:34" x14ac:dyDescent="0.25">
      <c r="A77" s="266">
        <v>36843</v>
      </c>
      <c r="B77" s="4">
        <v>1250000</v>
      </c>
      <c r="C77" s="4">
        <v>4563600</v>
      </c>
      <c r="D77" s="4">
        <v>2136334</v>
      </c>
      <c r="E77" s="4">
        <v>429975</v>
      </c>
      <c r="F77" s="4">
        <v>0</v>
      </c>
      <c r="G77" s="4">
        <v>116115000</v>
      </c>
      <c r="H77" s="4">
        <v>1663000</v>
      </c>
      <c r="I77" s="4">
        <v>12878050</v>
      </c>
      <c r="J77" s="4">
        <v>1012500</v>
      </c>
      <c r="K77" s="4">
        <v>23507915.000000093</v>
      </c>
      <c r="L77" s="4">
        <v>10372212</v>
      </c>
      <c r="M77" s="4">
        <v>1302980</v>
      </c>
      <c r="N77" s="4">
        <v>3486752</v>
      </c>
      <c r="O77" s="4">
        <v>429210</v>
      </c>
      <c r="P77" s="4">
        <v>470790</v>
      </c>
      <c r="Q77" s="4">
        <v>27082500</v>
      </c>
      <c r="R77" s="4">
        <v>7121810</v>
      </c>
      <c r="S77" s="4">
        <v>5644007</v>
      </c>
      <c r="T77" s="4">
        <v>20916875</v>
      </c>
      <c r="U77" s="4">
        <v>2560525</v>
      </c>
      <c r="V77" s="4">
        <v>4774950</v>
      </c>
      <c r="W77" s="4">
        <v>2013591.6599838899</v>
      </c>
      <c r="X77" s="4">
        <v>1374750</v>
      </c>
      <c r="Y77" s="4">
        <v>1803840</v>
      </c>
      <c r="Z77" s="4">
        <v>2300803</v>
      </c>
      <c r="AA77" s="4">
        <v>7483750</v>
      </c>
      <c r="AB77" s="4">
        <v>2343750</v>
      </c>
      <c r="AC77" s="4">
        <v>16316247</v>
      </c>
      <c r="AD77" s="4">
        <v>1050000</v>
      </c>
      <c r="AE77" s="4">
        <v>81480000</v>
      </c>
      <c r="AF77" s="4">
        <v>1360000</v>
      </c>
      <c r="AG77" s="4">
        <v>93746588.676477998</v>
      </c>
      <c r="AH77" s="4">
        <v>8973660.9168634005</v>
      </c>
    </row>
    <row r="78" spans="1:34" x14ac:dyDescent="0.25">
      <c r="A78" s="266">
        <v>36844</v>
      </c>
      <c r="B78" s="4">
        <v>1250000</v>
      </c>
      <c r="C78" s="4">
        <v>4563600</v>
      </c>
      <c r="D78" s="4">
        <v>2136334</v>
      </c>
      <c r="E78" s="4">
        <v>429975</v>
      </c>
      <c r="F78" s="4">
        <v>0</v>
      </c>
      <c r="G78" s="4">
        <v>116115000</v>
      </c>
      <c r="H78" s="4">
        <v>1663000</v>
      </c>
      <c r="I78" s="4">
        <v>12878050</v>
      </c>
      <c r="J78" s="4">
        <v>1012500</v>
      </c>
      <c r="K78" s="4">
        <v>23507915.000000097</v>
      </c>
      <c r="L78" s="4">
        <v>10372212</v>
      </c>
      <c r="M78" s="4">
        <v>1302980</v>
      </c>
      <c r="N78" s="4">
        <v>3486752</v>
      </c>
      <c r="O78" s="4">
        <v>429210</v>
      </c>
      <c r="P78" s="4">
        <v>470790</v>
      </c>
      <c r="Q78" s="4">
        <v>27082500</v>
      </c>
      <c r="R78" s="4">
        <v>7121810</v>
      </c>
      <c r="S78" s="4">
        <v>5644007</v>
      </c>
      <c r="T78" s="4">
        <v>20916875</v>
      </c>
      <c r="U78" s="4">
        <v>2560525</v>
      </c>
      <c r="V78" s="4">
        <v>4774950</v>
      </c>
      <c r="W78" s="4">
        <v>2013591.6599838899</v>
      </c>
      <c r="X78" s="4">
        <v>1374750</v>
      </c>
      <c r="Y78" s="4">
        <v>1803840</v>
      </c>
      <c r="Z78" s="4">
        <v>2300803</v>
      </c>
      <c r="AA78" s="4">
        <v>7483750</v>
      </c>
      <c r="AB78" s="4">
        <v>2343750</v>
      </c>
      <c r="AC78" s="4">
        <v>16316247</v>
      </c>
      <c r="AD78" s="4">
        <v>1050000</v>
      </c>
      <c r="AE78" s="4">
        <v>81480000</v>
      </c>
      <c r="AF78" s="4">
        <v>1360000</v>
      </c>
      <c r="AG78" s="4">
        <v>93746588.676477998</v>
      </c>
      <c r="AH78" s="4">
        <v>8817231.4835669491</v>
      </c>
    </row>
    <row r="79" spans="1:34" x14ac:dyDescent="0.25">
      <c r="A79" s="266">
        <v>36845</v>
      </c>
      <c r="B79" s="4">
        <v>1250000</v>
      </c>
      <c r="C79" s="4">
        <v>4563600</v>
      </c>
      <c r="D79" s="4">
        <v>2136334</v>
      </c>
      <c r="E79" s="4">
        <v>429975</v>
      </c>
      <c r="F79" s="4">
        <v>0</v>
      </c>
      <c r="G79" s="4">
        <v>116115000</v>
      </c>
      <c r="H79" s="4">
        <v>1663000</v>
      </c>
      <c r="I79" s="4">
        <v>12878050</v>
      </c>
      <c r="J79" s="4">
        <v>1012500</v>
      </c>
      <c r="K79" s="4">
        <v>23507915.000000101</v>
      </c>
      <c r="L79" s="4">
        <v>10372212</v>
      </c>
      <c r="M79" s="4">
        <v>1302980</v>
      </c>
      <c r="N79" s="4">
        <v>3486752</v>
      </c>
      <c r="O79" s="4">
        <v>429210</v>
      </c>
      <c r="P79" s="4">
        <v>470790</v>
      </c>
      <c r="Q79" s="4">
        <v>27082500</v>
      </c>
      <c r="R79" s="4">
        <v>7121810</v>
      </c>
      <c r="S79" s="4">
        <v>5644007</v>
      </c>
      <c r="T79" s="4">
        <v>20916875</v>
      </c>
      <c r="U79" s="4">
        <v>2560525</v>
      </c>
      <c r="V79" s="4">
        <v>4774950</v>
      </c>
      <c r="W79" s="4">
        <v>2013591.6599838899</v>
      </c>
      <c r="X79" s="4">
        <v>1374750</v>
      </c>
      <c r="Y79" s="4">
        <v>1803840</v>
      </c>
      <c r="Z79" s="4">
        <v>2300803</v>
      </c>
      <c r="AA79" s="4">
        <v>7483750</v>
      </c>
      <c r="AB79" s="4">
        <v>2343750</v>
      </c>
      <c r="AC79" s="4">
        <v>16316247</v>
      </c>
      <c r="AD79" s="4">
        <v>1050000</v>
      </c>
      <c r="AE79" s="4">
        <v>81480000</v>
      </c>
      <c r="AF79" s="4">
        <v>1360000</v>
      </c>
      <c r="AG79" s="4">
        <v>93746588.676477998</v>
      </c>
      <c r="AH79" s="4">
        <v>8849448.6649004575</v>
      </c>
    </row>
    <row r="80" spans="1:34" x14ac:dyDescent="0.25">
      <c r="A80" s="266">
        <v>36846</v>
      </c>
      <c r="B80" s="4">
        <v>1250000</v>
      </c>
      <c r="C80" s="4">
        <v>4563600</v>
      </c>
      <c r="D80" s="4">
        <v>2136334</v>
      </c>
      <c r="E80" s="4">
        <v>429975</v>
      </c>
      <c r="F80" s="4">
        <v>0</v>
      </c>
      <c r="G80" s="4">
        <v>116115000</v>
      </c>
      <c r="H80" s="4">
        <v>1663000</v>
      </c>
      <c r="I80" s="4">
        <v>12878050</v>
      </c>
      <c r="J80" s="4">
        <v>1012500</v>
      </c>
      <c r="K80" s="4">
        <v>23507915.000000104</v>
      </c>
      <c r="L80" s="4">
        <v>10372212</v>
      </c>
      <c r="M80" s="4">
        <v>1302980</v>
      </c>
      <c r="N80" s="4">
        <v>3486752</v>
      </c>
      <c r="O80" s="4">
        <v>429210</v>
      </c>
      <c r="P80" s="4">
        <v>470790</v>
      </c>
      <c r="Q80" s="4">
        <v>27082500</v>
      </c>
      <c r="R80" s="4">
        <v>7121810</v>
      </c>
      <c r="S80" s="4">
        <v>5644007</v>
      </c>
      <c r="T80" s="4">
        <v>20916875</v>
      </c>
      <c r="U80" s="4">
        <v>2560525</v>
      </c>
      <c r="V80" s="4">
        <v>4774950</v>
      </c>
      <c r="W80" s="4">
        <v>2013591.6599838899</v>
      </c>
      <c r="X80" s="4">
        <v>1374750</v>
      </c>
      <c r="Y80" s="4">
        <v>1803840</v>
      </c>
      <c r="Z80" s="4">
        <v>2300803</v>
      </c>
      <c r="AA80" s="4">
        <v>7483750</v>
      </c>
      <c r="AB80" s="4">
        <v>2343750</v>
      </c>
      <c r="AC80" s="4">
        <v>16316247</v>
      </c>
      <c r="AD80" s="4">
        <v>1050000</v>
      </c>
      <c r="AE80" s="4">
        <v>81480000</v>
      </c>
      <c r="AF80" s="4">
        <v>1360000</v>
      </c>
      <c r="AG80" s="4">
        <v>93746588.676477998</v>
      </c>
      <c r="AH80" s="4">
        <v>8848191.4414719157</v>
      </c>
    </row>
    <row r="81" spans="1:34" x14ac:dyDescent="0.25">
      <c r="A81" s="266">
        <v>36847</v>
      </c>
      <c r="B81" s="4">
        <v>1250000</v>
      </c>
      <c r="C81" s="4">
        <v>4563600</v>
      </c>
      <c r="D81" s="4">
        <v>2136334</v>
      </c>
      <c r="E81" s="4">
        <v>429975</v>
      </c>
      <c r="F81" s="4">
        <v>0</v>
      </c>
      <c r="G81" s="4">
        <v>116115000</v>
      </c>
      <c r="H81" s="4">
        <v>1663000</v>
      </c>
      <c r="I81" s="4">
        <v>12878050</v>
      </c>
      <c r="J81" s="4">
        <v>1012500</v>
      </c>
      <c r="K81" s="4">
        <v>23507915.000000108</v>
      </c>
      <c r="L81" s="4">
        <v>10372212</v>
      </c>
      <c r="M81" s="4">
        <v>1302980</v>
      </c>
      <c r="N81" s="4">
        <v>3486752</v>
      </c>
      <c r="O81" s="4">
        <v>429210</v>
      </c>
      <c r="P81" s="4">
        <v>470790</v>
      </c>
      <c r="Q81" s="4">
        <v>27082500</v>
      </c>
      <c r="R81" s="4">
        <v>7121810</v>
      </c>
      <c r="S81" s="4">
        <v>5644007</v>
      </c>
      <c r="T81" s="4">
        <v>20916875</v>
      </c>
      <c r="U81" s="4">
        <v>2560525</v>
      </c>
      <c r="V81" s="4">
        <v>4774950</v>
      </c>
      <c r="W81" s="4">
        <v>2013591.6599838899</v>
      </c>
      <c r="X81" s="4">
        <v>1374750</v>
      </c>
      <c r="Y81" s="4">
        <v>1803840</v>
      </c>
      <c r="Z81" s="4">
        <v>2300803</v>
      </c>
      <c r="AA81" s="4">
        <v>7483750</v>
      </c>
      <c r="AB81" s="4">
        <v>2343750</v>
      </c>
      <c r="AC81" s="4">
        <v>16316247</v>
      </c>
      <c r="AD81" s="4">
        <v>1050000</v>
      </c>
      <c r="AE81" s="4">
        <v>81480000</v>
      </c>
      <c r="AF81" s="4">
        <v>1360000</v>
      </c>
      <c r="AG81" s="4">
        <v>93746588.676477998</v>
      </c>
      <c r="AH81" s="4">
        <v>8906864.5224927869</v>
      </c>
    </row>
    <row r="82" spans="1:34" x14ac:dyDescent="0.25">
      <c r="A82" s="266">
        <v>36850</v>
      </c>
      <c r="B82" s="4">
        <v>1250000</v>
      </c>
      <c r="C82" s="4">
        <v>4563600</v>
      </c>
      <c r="D82" s="4">
        <v>2136334</v>
      </c>
      <c r="E82" s="4">
        <v>429975</v>
      </c>
      <c r="F82" s="4">
        <v>0</v>
      </c>
      <c r="G82" s="4">
        <v>116115000</v>
      </c>
      <c r="H82" s="4">
        <v>1663000</v>
      </c>
      <c r="I82" s="4">
        <v>12878050</v>
      </c>
      <c r="J82" s="4">
        <v>1012500</v>
      </c>
      <c r="K82" s="4">
        <v>23507915.000000112</v>
      </c>
      <c r="L82" s="4">
        <v>10372212</v>
      </c>
      <c r="M82" s="4">
        <v>1302980</v>
      </c>
      <c r="N82" s="4">
        <v>3486752</v>
      </c>
      <c r="O82" s="4">
        <v>429210</v>
      </c>
      <c r="P82" s="4">
        <v>470790</v>
      </c>
      <c r="Q82" s="4">
        <v>27082500</v>
      </c>
      <c r="R82" s="4">
        <v>7121810</v>
      </c>
      <c r="S82" s="4">
        <v>5644007</v>
      </c>
      <c r="T82" s="4">
        <v>20916875</v>
      </c>
      <c r="U82" s="4">
        <v>2560525</v>
      </c>
      <c r="V82" s="4">
        <v>4774950</v>
      </c>
      <c r="W82" s="4">
        <v>2013591.6599838899</v>
      </c>
      <c r="X82" s="4">
        <v>1374750</v>
      </c>
      <c r="Y82" s="4">
        <v>1803840</v>
      </c>
      <c r="Z82" s="4">
        <v>2300803</v>
      </c>
      <c r="AA82" s="4">
        <v>7483750</v>
      </c>
      <c r="AB82" s="4">
        <v>2343750</v>
      </c>
      <c r="AC82" s="4">
        <v>16316247</v>
      </c>
      <c r="AD82" s="4">
        <v>1050000</v>
      </c>
      <c r="AE82" s="4">
        <v>81480000</v>
      </c>
      <c r="AF82" s="4">
        <v>1360000</v>
      </c>
      <c r="AG82" s="4">
        <v>93746588.676477998</v>
      </c>
      <c r="AH82" s="4">
        <v>8909411.438766636</v>
      </c>
    </row>
    <row r="257" ht="14.25" customHeight="1" x14ac:dyDescent="0.25"/>
    <row r="374" spans="1:34" x14ac:dyDescent="0.25">
      <c r="A374" s="266" t="s">
        <v>183</v>
      </c>
      <c r="B374" t="s">
        <v>183</v>
      </c>
      <c r="C374" t="s">
        <v>183</v>
      </c>
      <c r="D374" t="s">
        <v>183</v>
      </c>
      <c r="E374" t="s">
        <v>183</v>
      </c>
      <c r="F374" t="s">
        <v>183</v>
      </c>
      <c r="G374" t="s">
        <v>183</v>
      </c>
      <c r="H374" t="s">
        <v>183</v>
      </c>
      <c r="I374" t="s">
        <v>183</v>
      </c>
      <c r="J374" t="s">
        <v>183</v>
      </c>
      <c r="K374" t="s">
        <v>183</v>
      </c>
      <c r="L374" t="s">
        <v>183</v>
      </c>
      <c r="M374" t="s">
        <v>183</v>
      </c>
      <c r="N374" t="s">
        <v>183</v>
      </c>
      <c r="O374" t="s">
        <v>183</v>
      </c>
      <c r="P374" t="s">
        <v>183</v>
      </c>
      <c r="Q374" t="s">
        <v>183</v>
      </c>
      <c r="R374" t="s">
        <v>183</v>
      </c>
      <c r="S374" t="s">
        <v>183</v>
      </c>
      <c r="T374" t="s">
        <v>183</v>
      </c>
      <c r="U374" t="s">
        <v>183</v>
      </c>
      <c r="V374" t="s">
        <v>183</v>
      </c>
      <c r="W374" t="s">
        <v>183</v>
      </c>
      <c r="X374" t="s">
        <v>183</v>
      </c>
      <c r="Y374" t="s">
        <v>183</v>
      </c>
      <c r="Z374" t="s">
        <v>183</v>
      </c>
      <c r="AA374" t="s">
        <v>183</v>
      </c>
      <c r="AB374" t="s">
        <v>183</v>
      </c>
      <c r="AC374" t="s">
        <v>183</v>
      </c>
      <c r="AD374" t="s">
        <v>183</v>
      </c>
      <c r="AE374" t="s">
        <v>183</v>
      </c>
      <c r="AF374" t="s">
        <v>183</v>
      </c>
      <c r="AG374" t="s">
        <v>183</v>
      </c>
      <c r="AH374" t="s">
        <v>183</v>
      </c>
    </row>
    <row r="376" spans="1:34" x14ac:dyDescent="0.25">
      <c r="A376" s="266">
        <f>+'MRP Raptor'!$U$3</f>
        <v>36850</v>
      </c>
      <c r="B376" s="4">
        <f>INDEX([0]!MPRR, MATCH("Amerada Hess Exposure Raptor I",'MRP Raptor'!$E$3:$E$140,), MATCH("Per Share",'MRP Raptor'!$E$3:$CM$3,))-'Private Cash'!B375</f>
        <v>1250000</v>
      </c>
      <c r="C376" s="4">
        <f>INDEX([0]!MPRR, MATCH("Ameritex Raptor I",'MRP Raptor'!$E$3:$E$140,), MATCH("Per Share",'MRP Raptor'!$E$3:$CM$3,))-'Private Cash'!C375</f>
        <v>4563600</v>
      </c>
      <c r="D376" s="4">
        <f>INDEX([0]!MPRR, MATCH("Basic Energy Preferred Raptor I",'MRP Raptor'!$E$3:$E$140,), MATCH("Per Share",'MRP Raptor'!$E$3:$CM$3,))-'Private Cash'!D375</f>
        <v>2136334</v>
      </c>
      <c r="E376" s="4">
        <f>INDEX([0]!MPRR, MATCH("Black Bay Raptor I",'MRP Raptor'!$E$3:$E$140,), MATCH("Per Share",'MRP Raptor'!$E$3:$CM$3,))-'Private Cash'!E375</f>
        <v>429975</v>
      </c>
      <c r="F376" s="4">
        <f>IF('Daily Position'!K18&gt;'Daily Position'!T18,0,INDEX([0]!MPRR, MATCH("Brigham Secured SubDebt Raptor I",'MRP Raptor'!$E$3:$E$140,), MATCH("Per Share",'MRP Raptor'!$E$3:$CM$3,))-'Private Cash'!F375)</f>
        <v>0</v>
      </c>
      <c r="G376" s="4">
        <f>INDEX([0]!MPRR, MATCH("Catalytica Raptor I",'MRP Raptor'!$E$3:$E$140,), MATCH("Per Share",'MRP Raptor'!$E$3:$CM$3,))*'Daily Position'!$H$19-'Private Cash'!G375</f>
        <v>116115000</v>
      </c>
      <c r="H376" s="4">
        <f>INDEX([0]!MPRR, MATCH("City Forest IPC Raptor I",'MRP Raptor'!$E$3:$E$140,), MATCH("Per Share",'MRP Raptor'!$E$3:$CM$3,))-'Private Cash'!H375</f>
        <v>1663000</v>
      </c>
      <c r="I376" s="4">
        <f>INDEX([0]!MPRR, MATCH("Ecogas Loan Raptor I",'MRP Raptor'!$E$3:$E$140,), MATCH("Per Share",'MRP Raptor'!$E$3:$CM$3,))-'Private Cash'!I375</f>
        <v>12878050</v>
      </c>
      <c r="J376" s="4">
        <f>INDEX([0]!MPRR, MATCH("Geo. Pursuit (EBGB) Raptor I",'MRP Raptor'!$E$3:$E$140,), MATCH("Per Share",'MRP Raptor'!$E$3:$CM$3,))-'Private Cash'!J375</f>
        <v>1012500</v>
      </c>
      <c r="K376" s="4">
        <f>INDEX([0]!MPRR, MATCH("Heartland Steel Common Raptor I",'MRP Raptor'!$E$3:$E$140,), MATCH("Per Share",'MRP Raptor'!$E$3:$CM$3,))*'Daily Position'!$H$23-'Private Cash'!K375</f>
        <v>23507915.000000112</v>
      </c>
      <c r="L376" s="4">
        <f>INDEX([0]!MPRR, MATCH("Heartland Steel Common Condor Raptor I",'MRP Raptor'!$E$3:$E$140,), MATCH("Per Share",'MRP Raptor'!$E$3:$CM$3,))-'Private Cash'!L375</f>
        <v>10372212</v>
      </c>
      <c r="M376" s="4">
        <f>INDEX([0]!MPRR, MATCH("Heartland Contingent Construction Loan Raptor I",'MRP Raptor'!$E$3:$E$140,), MATCH("Per Share",'MRP Raptor'!$E$3:$CM$3,))-'Private Cash'!M375</f>
        <v>1302980</v>
      </c>
      <c r="N376" s="4">
        <f>INDEX([0]!MPRR, MATCH("Heartland Steel Warrants Raptor I",'MRP Raptor'!$E$3:$E$140,), MATCH("Per Share",'MRP Raptor'!$E$3:$CM$3,))-'Private Cash'!N375</f>
        <v>3486752</v>
      </c>
      <c r="O376" s="4">
        <f>INDEX([0]!MPRR, MATCH("Hughes Rawls Loan Raptor I",'MRP Raptor'!$E$3:$E$140,), MATCH("Per Share",'MRP Raptor'!$E$3:$CM$3,))-'Private Cash'!O375</f>
        <v>429210</v>
      </c>
      <c r="P376" s="4">
        <f>INDEX([0]!MPRR, MATCH("Hughes Rawls Note Raptor I",'MRP Raptor'!$E$3:$E$140,), MATCH("Per Share",'MRP Raptor'!$E$3:$CM$3,))-'Private Cash'!P375</f>
        <v>470790</v>
      </c>
      <c r="Q376" s="4">
        <f>INDEX([0]!MPRR, MATCH("HV Marine Warrants Raptor I",'MRP Raptor'!$E$3:$E$140,), MATCH("Per Share",'MRP Raptor'!$E$3:$CM$3,))-'Private Cash'!Q375</f>
        <v>27082500</v>
      </c>
      <c r="R376" s="4">
        <f>INDEX([0]!MPRR, MATCH("Industrial Holdings Raptor I",'MRP Raptor'!$E$3:$E$140,), MATCH("Per Share",'MRP Raptor'!$E$3:$CM$3,))-'Private Cash'!R375</f>
        <v>7121810</v>
      </c>
      <c r="S376" s="4">
        <f>INDEX([0]!MPRR, MATCH("Invasion Energy Raptor I",'MRP Raptor'!$E$3:$E$140,), MATCH("Per Share",'MRP Raptor'!$E$3:$CM$3,))-'Private Cash'!S375</f>
        <v>5644007</v>
      </c>
      <c r="T376" s="4">
        <f>INDEX([0]!MPRR, MATCH("Juniper Raptor I",'MRP Raptor'!$E$3:$E$140,), MATCH("Per Share",'MRP Raptor'!$E$3:$CM$3,))-'Private Cash'!T375</f>
        <v>20916875</v>
      </c>
      <c r="U376" s="4">
        <f>INDEX([0]!MPRR, MATCH("Juniper Exposure Raptor I",'MRP Raptor'!$E$3:$E$140,), MATCH("Per Share",'MRP Raptor'!$E$3:$CM$3,))-'Private Cash'!U375</f>
        <v>2560525</v>
      </c>
      <c r="V376" s="4">
        <f>INDEX([0]!MPRR, MATCH("Keathley Canyon Raptor I",'MRP Raptor'!$E$3:$E$140,), MATCH("Per Share",'MRP Raptor'!$E$3:$CM$3,))-'Private Cash'!V375</f>
        <v>4774950</v>
      </c>
      <c r="W376" s="4">
        <f>INDEX([0]!MPRR, MATCH("LSI Preferred Raptor I",'MRP Raptor'!$E$3:$E$140,), MATCH("Per Share",'MRP Raptor'!$E$3:$CM$3,))-'Private Cash'!W375</f>
        <v>2013591.6599838899</v>
      </c>
      <c r="X376" s="4">
        <f>INDEX([0]!MPRR, MATCH("LSI Warrants Raptor I",'MRP Raptor'!$E$3:$E$140,), MATCH("Per Share",'MRP Raptor'!$E$3:$CM$3,))-'Private Cash'!X375</f>
        <v>1374750</v>
      </c>
      <c r="Y376" s="4">
        <f>INDEX([0]!MPRR, MATCH("Oconto Falls Common Raptor I",'MRP Raptor'!$E$3:$E$140,), MATCH("Per Share",'MRP Raptor'!$E$3:$CM$3,))-'Private Cash'!Y375</f>
        <v>1803840</v>
      </c>
      <c r="Z376" s="4">
        <f>INDEX([0]!MPRR, MATCH("Oconto Falls IPC Raptor I",'MRP Raptor'!$E$3:$E$140,), MATCH("Per Share",'MRP Raptor'!$E$3:$CM$3,))-'Private Cash'!Z375</f>
        <v>2300803</v>
      </c>
      <c r="AA376" s="4">
        <f>INDEX([0]!MPRR, MATCH("Texland Raptor I",'MRP Raptor'!$E$3:$E$140,), MATCH("Per Share",'MRP Raptor'!$E$3:$CM$3,))-'Private Cash'!AA375</f>
        <v>7483750</v>
      </c>
      <c r="AB376" s="4">
        <f>INDEX([0]!MPRR, MATCH("Texland Exposure Raptor I",'MRP Raptor'!$E$3:$E$140,), MATCH("Per Share",'MRP Raptor'!$E$3:$CM$3,))-'Private Cash'!AB375</f>
        <v>2343750</v>
      </c>
      <c r="AC376" s="4">
        <f>INDEX([0]!MPRR, MATCH("Vastar Raptor I",'MRP Raptor'!$E$3:$E$140,), MATCH("Per Share",'MRP Raptor'!$E$3:$CM$3,))-'Private Cash'!AC375</f>
        <v>16316247</v>
      </c>
      <c r="AD376" s="4">
        <f>INDEX([0]!MPRR, MATCH("Vastar Exposure Raptor I",'MRP Raptor'!$E$3:$E$140,), MATCH("Per Share",'MRP Raptor'!$E$3:$CM$3,))-'Private Cash'!AD375</f>
        <v>1050000</v>
      </c>
      <c r="AE376" s="4">
        <f>INDEX([0]!MPRR, MATCH("Venoco Convertible Raptor I",'MRP Raptor'!$E$3:$E$140,), MATCH("Per Share",'MRP Raptor'!$E$3:$CM$3,))*'Daily Position'!$H$43-'Private Cash'!AE375</f>
        <v>81480000</v>
      </c>
      <c r="AF376" s="4">
        <f>INDEX([0]!MPRR, MATCH("WB Oil &amp; Gas Raptor I",'MRP Raptor'!$E$3:$E$140,), MATCH("Per Share",'MRP Raptor'!$E$3:$CM$3,))*'Daily Position'!$H$44-'Private Cash'!AF375</f>
        <v>1360000</v>
      </c>
      <c r="AG376" s="4">
        <f>INDEX([0]!MPRR, MATCH("Merlin Credit Derivative Raptor I",'MRP Raptor'!$E$3:$E$140,), MATCH("Per Share",'MRP Raptor'!$E$3:$CM$3,))-'Private Cash'!AG375</f>
        <v>93746588.676477998</v>
      </c>
      <c r="AH376" s="4">
        <f>(+P376+C376+'Daily Position'!$J$4*'Daily Position'!$H$4+'Daily Position'!$J$9*'Daily Position'!$H$9+'Daily Position'!$J$10*'Daily Position'!$H$10+'Daily Position'!$J$11*'Daily Position'!$H$11)/0.6*0.3612</f>
        <v>8723586.9066635054</v>
      </c>
    </row>
    <row r="377" spans="1:34" x14ac:dyDescent="0.25">
      <c r="B377"/>
      <c r="D377"/>
      <c r="F377"/>
      <c r="H377"/>
      <c r="J377"/>
      <c r="L377"/>
      <c r="N377"/>
      <c r="P377"/>
      <c r="Q377"/>
      <c r="R377"/>
      <c r="T377"/>
      <c r="V377"/>
      <c r="X377"/>
      <c r="Z377"/>
    </row>
    <row r="378" spans="1:34" x14ac:dyDescent="0.25">
      <c r="B378"/>
      <c r="D378"/>
      <c r="F378"/>
      <c r="H378"/>
      <c r="J378"/>
      <c r="L378"/>
      <c r="N378"/>
      <c r="P378"/>
      <c r="Q378"/>
      <c r="R378"/>
      <c r="T378"/>
      <c r="V378"/>
      <c r="X378"/>
      <c r="Z378"/>
    </row>
    <row r="379" spans="1:34" x14ac:dyDescent="0.25">
      <c r="B379"/>
      <c r="D379"/>
      <c r="F379"/>
      <c r="H379"/>
      <c r="J379"/>
      <c r="L379"/>
      <c r="N379"/>
      <c r="P379"/>
      <c r="Q379"/>
      <c r="R379"/>
      <c r="T379"/>
      <c r="V379"/>
      <c r="X379"/>
      <c r="Z379"/>
    </row>
    <row r="380" spans="1:34" x14ac:dyDescent="0.25">
      <c r="B380"/>
      <c r="D380"/>
      <c r="F380"/>
      <c r="H380"/>
      <c r="J380"/>
      <c r="L380"/>
      <c r="N380"/>
      <c r="P380"/>
      <c r="Q380"/>
      <c r="R380"/>
      <c r="T380"/>
      <c r="V380"/>
      <c r="X380"/>
      <c r="Z380"/>
    </row>
    <row r="381" spans="1:34" x14ac:dyDescent="0.25">
      <c r="B381"/>
      <c r="D381"/>
      <c r="F381"/>
      <c r="H381"/>
      <c r="J381"/>
      <c r="L381"/>
      <c r="N381"/>
      <c r="P381"/>
      <c r="Q381"/>
      <c r="R381"/>
      <c r="T381"/>
      <c r="V381"/>
      <c r="X381"/>
      <c r="Z381"/>
    </row>
    <row r="382" spans="1:34" x14ac:dyDescent="0.25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4" x14ac:dyDescent="0.25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4" x14ac:dyDescent="0.25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25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25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25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25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25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25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25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25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25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25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25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25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25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25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25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25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0"/>
  <sheetViews>
    <sheetView topLeftCell="A81" workbookViewId="0">
      <selection activeCell="A82" sqref="A82"/>
    </sheetView>
  </sheetViews>
  <sheetFormatPr defaultRowHeight="15.75" x14ac:dyDescent="0.25"/>
  <cols>
    <col min="1" max="1" width="8.75" style="266" customWidth="1"/>
    <col min="2" max="2" width="11.125" style="130" customWidth="1"/>
    <col min="3" max="3" width="12" customWidth="1"/>
    <col min="4" max="4" width="11.125" style="130" customWidth="1"/>
    <col min="5" max="5" width="11.125" customWidth="1"/>
    <col min="6" max="6" width="12.125" style="130" customWidth="1"/>
    <col min="7" max="7" width="14.5" customWidth="1"/>
    <col min="8" max="8" width="11.125" style="130" customWidth="1"/>
    <col min="9" max="9" width="12.125" customWidth="1"/>
    <col min="10" max="10" width="11.125" style="133" customWidth="1"/>
    <col min="11" max="11" width="12.125" customWidth="1"/>
    <col min="12" max="12" width="12.125" style="130" customWidth="1"/>
    <col min="13" max="13" width="11.125" customWidth="1"/>
    <col min="14" max="14" width="11.125" style="130" customWidth="1"/>
    <col min="15" max="15" width="11.125" customWidth="1"/>
    <col min="16" max="16" width="9.625" style="130" customWidth="1"/>
    <col min="17" max="17" width="12.125" style="130" customWidth="1"/>
    <col min="18" max="18" width="11.125" style="130" customWidth="1"/>
    <col min="19" max="19" width="11.125" customWidth="1"/>
    <col min="20" max="20" width="12.125" style="131" customWidth="1"/>
    <col min="21" max="21" width="11.125" customWidth="1"/>
    <col min="22" max="22" width="11.125" style="130" customWidth="1"/>
    <col min="23" max="23" width="11.125" customWidth="1"/>
    <col min="24" max="24" width="11.125" style="130" customWidth="1"/>
    <col min="25" max="25" width="11.125" customWidth="1"/>
    <col min="26" max="26" width="11.125" style="130" customWidth="1"/>
    <col min="27" max="28" width="11.125" customWidth="1"/>
    <col min="29" max="29" width="12.125" customWidth="1"/>
    <col min="30" max="30" width="11.125" customWidth="1"/>
    <col min="31" max="31" width="12.125" customWidth="1"/>
    <col min="32" max="32" width="11.125" customWidth="1"/>
    <col min="33" max="33" width="12.125" customWidth="1"/>
  </cols>
  <sheetData>
    <row r="1" spans="1:34" x14ac:dyDescent="0.25">
      <c r="A1" s="263" t="s">
        <v>162</v>
      </c>
      <c r="B1" s="126"/>
      <c r="C1" s="2"/>
      <c r="D1" s="129"/>
    </row>
    <row r="2" spans="1:34" s="103" customFormat="1" x14ac:dyDescent="0.25">
      <c r="A2" s="264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</row>
    <row r="3" spans="1:34" s="236" customFormat="1" ht="47.25" x14ac:dyDescent="0.25">
      <c r="A3" s="265" t="s">
        <v>1</v>
      </c>
      <c r="B3" s="234" t="s">
        <v>534</v>
      </c>
      <c r="C3" s="235" t="s">
        <v>239</v>
      </c>
      <c r="D3" s="235" t="s">
        <v>504</v>
      </c>
      <c r="E3" s="235" t="s">
        <v>240</v>
      </c>
      <c r="F3" s="235" t="s">
        <v>241</v>
      </c>
      <c r="G3" s="235" t="s">
        <v>187</v>
      </c>
      <c r="H3" s="235" t="s">
        <v>242</v>
      </c>
      <c r="I3" s="236" t="s">
        <v>530</v>
      </c>
      <c r="J3" s="235" t="s">
        <v>243</v>
      </c>
      <c r="K3" s="235" t="s">
        <v>520</v>
      </c>
      <c r="L3" s="235" t="s">
        <v>488</v>
      </c>
      <c r="M3" s="235" t="s">
        <v>521</v>
      </c>
      <c r="N3" s="235" t="s">
        <v>522</v>
      </c>
      <c r="O3" s="235" t="s">
        <v>244</v>
      </c>
      <c r="P3" s="235" t="s">
        <v>245</v>
      </c>
      <c r="Q3" s="235" t="s">
        <v>189</v>
      </c>
      <c r="R3" s="235" t="s">
        <v>246</v>
      </c>
      <c r="S3" s="235" t="s">
        <v>188</v>
      </c>
      <c r="T3" s="235" t="s">
        <v>247</v>
      </c>
      <c r="U3" s="235" t="s">
        <v>254</v>
      </c>
      <c r="V3" s="235" t="s">
        <v>248</v>
      </c>
      <c r="W3" s="235" t="s">
        <v>249</v>
      </c>
      <c r="X3" s="235" t="s">
        <v>250</v>
      </c>
      <c r="Y3" s="235" t="s">
        <v>251</v>
      </c>
      <c r="Z3" s="235" t="s">
        <v>531</v>
      </c>
      <c r="AA3" s="235" t="s">
        <v>252</v>
      </c>
      <c r="AB3" s="235" t="s">
        <v>255</v>
      </c>
      <c r="AC3" s="236" t="s">
        <v>523</v>
      </c>
      <c r="AD3" s="236" t="s">
        <v>524</v>
      </c>
      <c r="AE3" s="235" t="s">
        <v>490</v>
      </c>
      <c r="AF3" s="235" t="s">
        <v>489</v>
      </c>
      <c r="AG3" s="235" t="s">
        <v>190</v>
      </c>
    </row>
    <row r="4" spans="1:34" x14ac:dyDescent="0.25">
      <c r="A4" s="266">
        <v>36739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147"/>
    </row>
    <row r="5" spans="1:34" x14ac:dyDescent="0.25">
      <c r="A5" s="266">
        <v>36740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147"/>
    </row>
    <row r="6" spans="1:34" x14ac:dyDescent="0.25">
      <c r="A6" s="266">
        <v>36741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147"/>
    </row>
    <row r="7" spans="1:34" x14ac:dyDescent="0.25">
      <c r="A7" s="266">
        <v>36742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147"/>
    </row>
    <row r="8" spans="1:34" x14ac:dyDescent="0.25">
      <c r="A8" s="266">
        <v>36745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147"/>
    </row>
    <row r="9" spans="1:34" x14ac:dyDescent="0.25">
      <c r="A9" s="266">
        <v>36746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47"/>
    </row>
    <row r="10" spans="1:34" x14ac:dyDescent="0.25">
      <c r="A10" s="266">
        <v>36747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147"/>
    </row>
    <row r="11" spans="1:34" x14ac:dyDescent="0.25">
      <c r="A11" s="266">
        <v>36748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147"/>
    </row>
    <row r="12" spans="1:34" x14ac:dyDescent="0.25">
      <c r="A12" s="266">
        <v>36749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147"/>
    </row>
    <row r="13" spans="1:34" x14ac:dyDescent="0.25">
      <c r="A13" s="266">
        <v>36752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147"/>
    </row>
    <row r="14" spans="1:34" x14ac:dyDescent="0.25">
      <c r="A14" s="266">
        <v>36753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147"/>
    </row>
    <row r="15" spans="1:34" x14ac:dyDescent="0.25">
      <c r="A15" s="266">
        <v>36754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147"/>
    </row>
    <row r="16" spans="1:34" x14ac:dyDescent="0.25">
      <c r="A16" s="266">
        <v>36755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147"/>
    </row>
    <row r="17" spans="1:34" x14ac:dyDescent="0.25">
      <c r="A17" s="266">
        <v>36756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147"/>
    </row>
    <row r="18" spans="1:34" x14ac:dyDescent="0.25">
      <c r="A18" s="266">
        <v>36759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147"/>
    </row>
    <row r="19" spans="1:34" x14ac:dyDescent="0.25">
      <c r="A19" s="266">
        <v>36760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4" x14ac:dyDescent="0.25">
      <c r="A20" s="266">
        <v>36761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4" x14ac:dyDescent="0.25">
      <c r="A21" s="266">
        <v>36762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4" x14ac:dyDescent="0.25">
      <c r="A22" s="266">
        <v>36763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4" x14ac:dyDescent="0.25">
      <c r="A23" s="266">
        <v>36766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4" x14ac:dyDescent="0.25">
      <c r="A24" s="266">
        <v>36767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4" x14ac:dyDescent="0.25">
      <c r="A25" s="266">
        <v>36768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4" x14ac:dyDescent="0.25">
      <c r="A26" s="266">
        <v>36769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4" x14ac:dyDescent="0.25">
      <c r="A27" s="266">
        <v>36770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4" x14ac:dyDescent="0.25">
      <c r="A28" s="266">
        <v>36774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4" x14ac:dyDescent="0.25">
      <c r="A29" s="266">
        <v>36775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4" x14ac:dyDescent="0.25">
      <c r="A30" s="266">
        <v>36776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4" x14ac:dyDescent="0.25">
      <c r="A31" s="266">
        <v>36777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4" x14ac:dyDescent="0.25">
      <c r="A32" s="266">
        <v>36780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5">
      <c r="A33" s="266">
        <v>36781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5">
      <c r="A34" s="266">
        <v>36782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25">
      <c r="A35" s="266">
        <v>36783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>
        <v>373549.5</v>
      </c>
      <c r="Z35" s="4">
        <v>-373549.5</v>
      </c>
      <c r="AA35" s="4"/>
      <c r="AB35" s="4"/>
      <c r="AC35" s="4"/>
      <c r="AD35" s="4"/>
      <c r="AE35" s="4"/>
      <c r="AF35" s="4"/>
      <c r="AG35" s="4"/>
    </row>
    <row r="36" spans="1:33" x14ac:dyDescent="0.25">
      <c r="A36" s="266">
        <v>36784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25">
      <c r="A37" s="266">
        <v>36787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f>-44447.3800000008-27</f>
        <v>-44474.380000000798</v>
      </c>
      <c r="AD37" s="4"/>
      <c r="AE37" s="4"/>
      <c r="AF37" s="4"/>
      <c r="AG37" s="4"/>
    </row>
    <row r="38" spans="1:33" x14ac:dyDescent="0.25">
      <c r="A38" s="266">
        <v>36788</v>
      </c>
      <c r="B38" s="4"/>
      <c r="C38" s="4"/>
      <c r="D38" s="4"/>
      <c r="E38" s="4">
        <v>-182250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-303750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25">
      <c r="A39" s="266">
        <v>36789</v>
      </c>
      <c r="B39" s="4"/>
      <c r="C39" s="4">
        <v>37184.429999999702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25">
      <c r="A40" s="266">
        <v>36790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25">
      <c r="A41" s="266">
        <v>36791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>
        <v>123413.5</v>
      </c>
      <c r="Z41" s="4">
        <v>-123413.5</v>
      </c>
      <c r="AA41" s="4"/>
      <c r="AB41" s="4"/>
      <c r="AC41" s="4"/>
      <c r="AD41" s="4"/>
      <c r="AE41" s="4"/>
      <c r="AF41" s="4"/>
      <c r="AG41" s="4"/>
    </row>
    <row r="42" spans="1:33" x14ac:dyDescent="0.25">
      <c r="A42" s="266">
        <v>36794</v>
      </c>
      <c r="B42" s="4"/>
      <c r="C42" s="4"/>
      <c r="D42" s="4"/>
      <c r="E42" s="4"/>
      <c r="F42" s="4">
        <v>87484.240000000224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25">
      <c r="A43" s="266">
        <v>36795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>
        <v>50000</v>
      </c>
      <c r="AD43" s="4"/>
      <c r="AE43" s="4"/>
      <c r="AF43" s="4"/>
      <c r="AG43" s="4"/>
    </row>
    <row r="44" spans="1:33" x14ac:dyDescent="0.25">
      <c r="A44" s="266">
        <v>36796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25">
      <c r="A45" s="266">
        <v>36797</v>
      </c>
      <c r="B45" s="4"/>
      <c r="C45" s="4">
        <v>-28084.3599999994</v>
      </c>
      <c r="D45" s="4"/>
      <c r="E45" s="4"/>
      <c r="F45" s="4">
        <v>-50549.580000000075</v>
      </c>
      <c r="G45" s="4"/>
      <c r="H45" s="4"/>
      <c r="I45" s="4">
        <v>350000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>
        <v>-1180793.81</v>
      </c>
      <c r="AD45" s="4"/>
      <c r="AE45" s="4"/>
      <c r="AF45" s="4"/>
      <c r="AG45" s="4"/>
    </row>
    <row r="46" spans="1:33" x14ac:dyDescent="0.25">
      <c r="A46" s="266">
        <v>36798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>
        <v>-496963</v>
      </c>
      <c r="Z46" s="4">
        <v>496963</v>
      </c>
      <c r="AA46" s="4"/>
      <c r="AB46" s="4"/>
      <c r="AC46" s="4">
        <v>-729223.04999999888</v>
      </c>
      <c r="AD46" s="4"/>
      <c r="AE46" s="4"/>
      <c r="AF46" s="4"/>
      <c r="AG46" s="4"/>
    </row>
    <row r="47" spans="1:33" x14ac:dyDescent="0.25">
      <c r="A47" s="266">
        <v>36801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x14ac:dyDescent="0.25">
      <c r="A48" s="266">
        <v>36802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x14ac:dyDescent="0.25">
      <c r="A49" s="266">
        <v>36803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x14ac:dyDescent="0.25">
      <c r="A50" s="266">
        <v>36804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25">
      <c r="A51" s="266">
        <v>36805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s="4" customFormat="1" x14ac:dyDescent="0.25">
      <c r="A52" s="266">
        <v>36808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-3.7252902984619141E-9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s="4" customFormat="1" x14ac:dyDescent="0.25">
      <c r="A53" s="266">
        <v>36809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-3.7252902984619141E-9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s="4" customFormat="1" x14ac:dyDescent="0.25">
      <c r="A54" s="266">
        <v>36810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-3.7252902984619141E-9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s="4" customFormat="1" x14ac:dyDescent="0.25">
      <c r="A55" s="266">
        <v>36811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-3.7252902984619141E-9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</row>
    <row r="56" spans="1:33" s="4" customFormat="1" x14ac:dyDescent="0.25">
      <c r="A56" s="266">
        <v>36812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-3.7252902984619141E-9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s="4" customFormat="1" x14ac:dyDescent="0.25">
      <c r="A57" s="266">
        <v>36815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-3.7252902984619141E-9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</row>
    <row r="58" spans="1:33" s="4" customFormat="1" x14ac:dyDescent="0.25">
      <c r="A58" s="266">
        <v>36816</v>
      </c>
      <c r="B58" s="4">
        <v>0</v>
      </c>
      <c r="C58" s="4">
        <v>0</v>
      </c>
      <c r="D58" s="4">
        <v>84413.160000000149</v>
      </c>
      <c r="E58" s="4">
        <v>0</v>
      </c>
      <c r="F58" s="4">
        <v>-102442.09</v>
      </c>
      <c r="G58" s="4">
        <v>0</v>
      </c>
      <c r="H58" s="4">
        <v>0</v>
      </c>
      <c r="I58" s="4">
        <v>0</v>
      </c>
      <c r="J58" s="4">
        <v>0</v>
      </c>
      <c r="K58" s="4">
        <v>-3.7252902984619141E-9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-120125.11</v>
      </c>
      <c r="T58" s="4">
        <v>0</v>
      </c>
      <c r="U58" s="4">
        <v>0</v>
      </c>
      <c r="V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</row>
    <row r="59" spans="1:33" s="4" customFormat="1" x14ac:dyDescent="0.25">
      <c r="A59" s="266">
        <v>36817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-3.7252902984619141E-9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</row>
    <row r="60" spans="1:33" s="4" customFormat="1" x14ac:dyDescent="0.25">
      <c r="A60" s="266">
        <v>36818</v>
      </c>
      <c r="B60" s="4">
        <v>0</v>
      </c>
      <c r="C60" s="4">
        <v>230355.81999999937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-3.7252902984619141E-9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229939.41</v>
      </c>
      <c r="U60" s="4">
        <v>0</v>
      </c>
      <c r="V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s="4" customFormat="1" x14ac:dyDescent="0.25">
      <c r="A61" s="266">
        <v>36819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-3.7252902984619141E-9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</row>
    <row r="62" spans="1:33" s="4" customFormat="1" x14ac:dyDescent="0.25">
      <c r="A62" s="266">
        <v>36822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-3.7252902984619141E-9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</row>
    <row r="63" spans="1:33" s="4" customFormat="1" x14ac:dyDescent="0.25">
      <c r="A63" s="266">
        <v>36823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-3.7252902984619141E-9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</row>
    <row r="64" spans="1:33" s="4" customFormat="1" x14ac:dyDescent="0.25">
      <c r="A64" s="266">
        <v>36824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-3.7252902984619141E-9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156250</v>
      </c>
      <c r="U64" s="4">
        <v>0</v>
      </c>
      <c r="V64" s="4">
        <v>0</v>
      </c>
      <c r="X64" s="4">
        <v>0</v>
      </c>
      <c r="Y64" s="4">
        <v>0</v>
      </c>
      <c r="Z64" s="4">
        <v>0</v>
      </c>
      <c r="AA64" s="4">
        <v>450942.51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</row>
    <row r="65" spans="1:33" s="4" customFormat="1" x14ac:dyDescent="0.25">
      <c r="A65" s="266">
        <v>36825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-3.7252902984619141E-9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</row>
    <row r="66" spans="1:33" s="4" customFormat="1" x14ac:dyDescent="0.25">
      <c r="A66" s="266">
        <v>36826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-3.7252902984619141E-9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1:33" s="4" customFormat="1" x14ac:dyDescent="0.25">
      <c r="A67" s="266">
        <v>36829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-3.7252902984619141E-9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</row>
    <row r="68" spans="1:33" s="4" customFormat="1" x14ac:dyDescent="0.25">
      <c r="A68" s="266">
        <v>36830</v>
      </c>
      <c r="B68" s="4">
        <v>0</v>
      </c>
      <c r="C68" s="4">
        <v>-202835.56999999937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-3.7252902984619141E-9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-386189</v>
      </c>
      <c r="V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-450943</v>
      </c>
      <c r="AC68" s="4">
        <v>-1096518.58</v>
      </c>
      <c r="AD68" s="4">
        <v>0</v>
      </c>
      <c r="AE68" s="4">
        <v>0</v>
      </c>
      <c r="AF68" s="4">
        <v>0</v>
      </c>
      <c r="AG68" s="4">
        <v>0</v>
      </c>
    </row>
    <row r="69" spans="1:33" s="4" customFormat="1" x14ac:dyDescent="0.25">
      <c r="A69" s="266">
        <v>36831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-3.7252902984619141E-9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</row>
    <row r="70" spans="1:33" s="4" customFormat="1" x14ac:dyDescent="0.25">
      <c r="A70" s="266">
        <v>36832</v>
      </c>
      <c r="B70" s="4">
        <v>0</v>
      </c>
      <c r="C70" s="4">
        <v>0</v>
      </c>
      <c r="D70" s="4">
        <v>0</v>
      </c>
      <c r="E70" s="4">
        <v>0</v>
      </c>
      <c r="F70" s="4">
        <f>-12500000+12500000</f>
        <v>0</v>
      </c>
      <c r="G70" s="4">
        <v>0</v>
      </c>
      <c r="H70" s="4">
        <v>0</v>
      </c>
      <c r="I70" s="4">
        <v>0</v>
      </c>
      <c r="J70" s="4">
        <v>0</v>
      </c>
      <c r="K70" s="4">
        <v>-3.7252902984619141E-9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</row>
    <row r="71" spans="1:33" s="4" customFormat="1" x14ac:dyDescent="0.25">
      <c r="A71" s="266">
        <v>36833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-3.7252902984619141E-9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</row>
    <row r="72" spans="1:33" s="4" customFormat="1" x14ac:dyDescent="0.25">
      <c r="A72" s="266">
        <v>36836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-3.7252902984619141E-9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</row>
    <row r="73" spans="1:33" s="4" customFormat="1" x14ac:dyDescent="0.25">
      <c r="A73" s="266">
        <v>36837</v>
      </c>
      <c r="B73" s="4">
        <v>0</v>
      </c>
      <c r="C73" s="4">
        <v>61189.739999999292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-3.7252902984619141E-9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219340.73</v>
      </c>
      <c r="U73" s="4">
        <v>-219340.73</v>
      </c>
      <c r="V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131253.51</v>
      </c>
      <c r="AD73" s="4">
        <v>-131253.51</v>
      </c>
      <c r="AE73" s="4">
        <v>1008138.52</v>
      </c>
      <c r="AF73" s="4">
        <v>0</v>
      </c>
      <c r="AG73" s="4">
        <v>0</v>
      </c>
    </row>
    <row r="74" spans="1:33" s="4" customFormat="1" x14ac:dyDescent="0.25">
      <c r="A74" s="266">
        <v>36838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-3.7252902984619141E-9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</row>
    <row r="75" spans="1:33" s="4" customFormat="1" x14ac:dyDescent="0.25">
      <c r="A75" s="266">
        <v>36839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-3.7252902984619141E-9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</row>
    <row r="76" spans="1:33" s="4" customFormat="1" x14ac:dyDescent="0.25">
      <c r="A76" s="266">
        <v>36840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-3.7252902984619141E-9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</row>
    <row r="77" spans="1:33" s="4" customFormat="1" x14ac:dyDescent="0.25">
      <c r="A77" s="266">
        <v>36843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-3.7252902984619141E-9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</row>
    <row r="78" spans="1:33" s="4" customFormat="1" x14ac:dyDescent="0.25">
      <c r="A78" s="266">
        <v>36844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-3.7252902984619141E-9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</row>
    <row r="79" spans="1:33" s="4" customFormat="1" x14ac:dyDescent="0.25">
      <c r="A79" s="266">
        <v>36845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-3.7252902984619141E-9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</row>
    <row r="80" spans="1:33" s="4" customFormat="1" x14ac:dyDescent="0.25">
      <c r="A80" s="266">
        <v>36846</v>
      </c>
      <c r="B80" s="4">
        <v>0</v>
      </c>
      <c r="C80" s="4">
        <v>0</v>
      </c>
      <c r="D80" s="4">
        <v>0</v>
      </c>
      <c r="E80" s="4">
        <v>-4970.63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-3.7252902984619141E-9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-19348.879999999888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-369099.93</v>
      </c>
      <c r="AD80" s="4">
        <v>0</v>
      </c>
      <c r="AE80" s="4">
        <v>0</v>
      </c>
      <c r="AF80" s="4">
        <v>0</v>
      </c>
      <c r="AG80" s="4">
        <v>0</v>
      </c>
    </row>
    <row r="81" spans="1:33" s="4" customFormat="1" x14ac:dyDescent="0.25">
      <c r="A81" s="266">
        <v>36847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-3.7252902984619141E-9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</row>
    <row r="82" spans="1:33" s="4" customFormat="1" x14ac:dyDescent="0.25">
      <c r="A82" s="266">
        <v>36850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-3.7252902984619141E-9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</row>
    <row r="257" ht="14.25" customHeight="1" x14ac:dyDescent="0.25"/>
    <row r="374" spans="1:33" x14ac:dyDescent="0.25">
      <c r="A374" s="266" t="s">
        <v>183</v>
      </c>
      <c r="B374" t="s">
        <v>183</v>
      </c>
      <c r="C374" t="s">
        <v>183</v>
      </c>
      <c r="D374" t="s">
        <v>183</v>
      </c>
      <c r="E374" t="s">
        <v>183</v>
      </c>
      <c r="F374" t="s">
        <v>183</v>
      </c>
      <c r="G374" t="s">
        <v>183</v>
      </c>
      <c r="H374" t="s">
        <v>183</v>
      </c>
      <c r="I374" t="s">
        <v>183</v>
      </c>
      <c r="J374" t="s">
        <v>183</v>
      </c>
      <c r="K374" t="s">
        <v>183</v>
      </c>
      <c r="L374" t="s">
        <v>183</v>
      </c>
      <c r="M374" t="s">
        <v>183</v>
      </c>
      <c r="N374" t="s">
        <v>183</v>
      </c>
      <c r="O374" t="s">
        <v>183</v>
      </c>
      <c r="P374" t="s">
        <v>183</v>
      </c>
      <c r="Q374" t="s">
        <v>183</v>
      </c>
      <c r="R374" t="s">
        <v>183</v>
      </c>
      <c r="S374" t="s">
        <v>183</v>
      </c>
      <c r="T374" t="s">
        <v>183</v>
      </c>
      <c r="U374" t="s">
        <v>183</v>
      </c>
      <c r="V374" t="s">
        <v>183</v>
      </c>
      <c r="W374" t="s">
        <v>183</v>
      </c>
      <c r="X374" t="s">
        <v>183</v>
      </c>
      <c r="Y374" t="s">
        <v>183</v>
      </c>
      <c r="Z374" t="s">
        <v>183</v>
      </c>
      <c r="AA374" t="s">
        <v>183</v>
      </c>
      <c r="AB374" t="s">
        <v>183</v>
      </c>
      <c r="AC374" t="s">
        <v>183</v>
      </c>
      <c r="AD374" t="s">
        <v>183</v>
      </c>
      <c r="AE374" t="s">
        <v>183</v>
      </c>
      <c r="AF374" t="s">
        <v>183</v>
      </c>
      <c r="AG374" t="s">
        <v>183</v>
      </c>
    </row>
    <row r="375" spans="1:33" x14ac:dyDescent="0.25">
      <c r="A375" s="266" t="s">
        <v>7</v>
      </c>
      <c r="B375" s="5">
        <f>SUM(B6:B374)</f>
        <v>0</v>
      </c>
      <c r="C375" s="5">
        <f t="shared" ref="C375:AG375" si="0">SUM(C6:C374)</f>
        <v>97810.05999999959</v>
      </c>
      <c r="D375" s="5">
        <f t="shared" si="0"/>
        <v>84413.160000000149</v>
      </c>
      <c r="E375" s="5">
        <f t="shared" si="0"/>
        <v>-187220.63</v>
      </c>
      <c r="F375" s="5">
        <f t="shared" si="0"/>
        <v>-65507.429999999847</v>
      </c>
      <c r="G375" s="5">
        <f t="shared" si="0"/>
        <v>0</v>
      </c>
      <c r="H375" s="5">
        <f t="shared" si="0"/>
        <v>0</v>
      </c>
      <c r="I375" s="5">
        <f t="shared" si="0"/>
        <v>350000</v>
      </c>
      <c r="J375" s="5">
        <f t="shared" si="0"/>
        <v>0</v>
      </c>
      <c r="K375" s="5">
        <f t="shared" si="0"/>
        <v>-1.1548399925231934E-7</v>
      </c>
      <c r="L375" s="5">
        <f t="shared" si="0"/>
        <v>0</v>
      </c>
      <c r="M375" s="5">
        <f t="shared" si="0"/>
        <v>0</v>
      </c>
      <c r="N375" s="5">
        <f t="shared" si="0"/>
        <v>0</v>
      </c>
      <c r="O375" s="5">
        <f t="shared" si="0"/>
        <v>0</v>
      </c>
      <c r="P375" s="5">
        <f t="shared" si="0"/>
        <v>0</v>
      </c>
      <c r="Q375" s="5">
        <f t="shared" si="0"/>
        <v>0</v>
      </c>
      <c r="R375" s="5">
        <f t="shared" si="0"/>
        <v>0</v>
      </c>
      <c r="S375" s="5">
        <f t="shared" si="0"/>
        <v>-120125.11</v>
      </c>
      <c r="T375" s="5">
        <f t="shared" si="0"/>
        <v>605530.14</v>
      </c>
      <c r="U375" s="5">
        <f t="shared" si="0"/>
        <v>-605529.73</v>
      </c>
      <c r="V375" s="5">
        <f t="shared" si="0"/>
        <v>-323098.87999999989</v>
      </c>
      <c r="W375" s="5">
        <f t="shared" si="0"/>
        <v>0</v>
      </c>
      <c r="X375" s="5">
        <f t="shared" si="0"/>
        <v>0</v>
      </c>
      <c r="Y375" s="5">
        <f t="shared" si="0"/>
        <v>0</v>
      </c>
      <c r="Z375" s="5">
        <f t="shared" si="0"/>
        <v>0</v>
      </c>
      <c r="AA375" s="5">
        <f t="shared" si="0"/>
        <v>450942.51</v>
      </c>
      <c r="AB375" s="5">
        <f t="shared" si="0"/>
        <v>-450943</v>
      </c>
      <c r="AC375" s="5">
        <f t="shared" si="0"/>
        <v>-3238856.2399999998</v>
      </c>
      <c r="AD375" s="5">
        <f t="shared" si="0"/>
        <v>-131253.51</v>
      </c>
      <c r="AE375" s="5">
        <f t="shared" si="0"/>
        <v>1008138.52</v>
      </c>
      <c r="AF375" s="5">
        <f t="shared" si="0"/>
        <v>0</v>
      </c>
      <c r="AG375" s="5">
        <f t="shared" si="0"/>
        <v>0</v>
      </c>
    </row>
    <row r="377" spans="1:33" s="4" customFormat="1" x14ac:dyDescent="0.25">
      <c r="A377" s="266">
        <f>+A379</f>
        <v>36850</v>
      </c>
      <c r="B377" s="4">
        <f>+B379-B380-B381</f>
        <v>0</v>
      </c>
      <c r="C377" s="4">
        <f t="shared" ref="C377:AG377" si="1">+C379-C380-C381</f>
        <v>0</v>
      </c>
      <c r="D377" s="4">
        <f t="shared" si="1"/>
        <v>0</v>
      </c>
      <c r="E377" s="4">
        <f t="shared" si="1"/>
        <v>0</v>
      </c>
      <c r="F377" s="4">
        <f t="shared" si="1"/>
        <v>0</v>
      </c>
      <c r="G377" s="4">
        <f t="shared" si="1"/>
        <v>0</v>
      </c>
      <c r="H377" s="4">
        <f t="shared" si="1"/>
        <v>0</v>
      </c>
      <c r="I377" s="4">
        <f t="shared" si="1"/>
        <v>0</v>
      </c>
      <c r="J377" s="4">
        <f t="shared" si="1"/>
        <v>0</v>
      </c>
      <c r="K377" s="4">
        <f t="shared" si="1"/>
        <v>-3.7252902984619141E-9</v>
      </c>
      <c r="L377" s="4">
        <f t="shared" si="1"/>
        <v>0</v>
      </c>
      <c r="M377" s="4">
        <f t="shared" si="1"/>
        <v>0</v>
      </c>
      <c r="N377" s="4">
        <f t="shared" si="1"/>
        <v>0</v>
      </c>
      <c r="O377" s="4">
        <f t="shared" si="1"/>
        <v>0</v>
      </c>
      <c r="P377" s="4">
        <f t="shared" si="1"/>
        <v>0</v>
      </c>
      <c r="Q377" s="4">
        <f t="shared" si="1"/>
        <v>0</v>
      </c>
      <c r="R377" s="4">
        <f t="shared" si="1"/>
        <v>0</v>
      </c>
      <c r="S377" s="4">
        <f t="shared" si="1"/>
        <v>0</v>
      </c>
      <c r="T377" s="4">
        <f t="shared" si="1"/>
        <v>0</v>
      </c>
      <c r="U377" s="4">
        <f t="shared" si="1"/>
        <v>0</v>
      </c>
      <c r="V377" s="4">
        <f t="shared" si="1"/>
        <v>0</v>
      </c>
      <c r="X377" s="4">
        <f t="shared" si="1"/>
        <v>0</v>
      </c>
      <c r="Y377" s="4">
        <f t="shared" si="1"/>
        <v>0</v>
      </c>
      <c r="Z377" s="4">
        <f t="shared" si="1"/>
        <v>0</v>
      </c>
      <c r="AA377" s="4">
        <f t="shared" si="1"/>
        <v>0</v>
      </c>
      <c r="AB377" s="4">
        <f t="shared" si="1"/>
        <v>0</v>
      </c>
      <c r="AC377" s="4">
        <f t="shared" si="1"/>
        <v>0</v>
      </c>
      <c r="AD377" s="4">
        <f t="shared" si="1"/>
        <v>0</v>
      </c>
      <c r="AE377" s="4">
        <f t="shared" si="1"/>
        <v>0</v>
      </c>
      <c r="AF377" s="4">
        <f t="shared" si="1"/>
        <v>0</v>
      </c>
      <c r="AG377" s="4">
        <f t="shared" si="1"/>
        <v>0</v>
      </c>
    </row>
    <row r="378" spans="1:33" x14ac:dyDescent="0.25">
      <c r="A378" s="266" t="s">
        <v>553</v>
      </c>
      <c r="C378" s="277">
        <f>SUM(B377:AG377)</f>
        <v>-3.7252902984619141E-9</v>
      </c>
    </row>
    <row r="379" spans="1:33" x14ac:dyDescent="0.25">
      <c r="A379" s="266">
        <f>+'MRP Raptor'!$U$3</f>
        <v>36850</v>
      </c>
      <c r="B379" s="4">
        <f>INDEX([0]!MPRR, MATCH("Amerada Hess Exposure Raptor I",'MRP Raptor'!$E$3:$E$140,), MATCH("Per Share",'MRP Raptor'!$E$3:$CM$3,))</f>
        <v>1250000</v>
      </c>
      <c r="C379" s="4">
        <f>INDEX([0]!MPRR, MATCH("Ameritex Raptor I",'MRP Raptor'!$E$3:$E$140,), MATCH("Per Share",'MRP Raptor'!$E$3:$CM$3,))</f>
        <v>4661410.0599999996</v>
      </c>
      <c r="D379" s="4">
        <f>INDEX([0]!MPRR, MATCH("Basic Energy Preferred Raptor I",'MRP Raptor'!$E$3:$E$140,), MATCH("Per Share",'MRP Raptor'!$E$3:$CM$3,))</f>
        <v>2220747.16</v>
      </c>
      <c r="E379" s="4">
        <f>INDEX([0]!MPRR, MATCH("Black Bay Raptor I",'MRP Raptor'!$E$3:$E$140,), MATCH("Per Share",'MRP Raptor'!$E$3:$CM$3,))</f>
        <v>242754.37</v>
      </c>
      <c r="F379" s="4">
        <f>INDEX([0]!MPRR, MATCH("Brigham Secured SubDebt Raptor I",'MRP Raptor'!$E$3:$E$140,), MATCH("Per Share",'MRP Raptor'!$E$3:$CM$3,))</f>
        <v>0</v>
      </c>
      <c r="G379" s="4">
        <f>INDEX([0]!MPRR, MATCH("Catalytica Raptor I",'MRP Raptor'!$E$3:$E$140,), MATCH("Per Share",'MRP Raptor'!$E$3:$CM$3,))*'Daily Position'!$H$19</f>
        <v>116115000</v>
      </c>
      <c r="H379" s="4">
        <f>INDEX([0]!MPRR, MATCH("City Forest IPC Raptor I",'MRP Raptor'!$E$3:$E$140,), MATCH("Per Share",'MRP Raptor'!$E$3:$CM$3,))</f>
        <v>1663000</v>
      </c>
      <c r="I379" s="4">
        <f>INDEX([0]!MPRR, MATCH("Ecogas Loan Raptor I",'MRP Raptor'!$E$3:$E$140,), MATCH("Per Share",'MRP Raptor'!$E$3:$CM$3,))+0</f>
        <v>13228050</v>
      </c>
      <c r="J379" s="4">
        <f>INDEX([0]!MPRR, MATCH("Geo. Pursuit (EBGB) Raptor I",'MRP Raptor'!$E$3:$E$140,), MATCH("Per Share",'MRP Raptor'!$E$3:$CM$3,))</f>
        <v>1012500</v>
      </c>
      <c r="K379" s="4">
        <f>INDEX([0]!MPRR, MATCH("Heartland Steel Common Raptor I",'MRP Raptor'!$E$3:$E$140,), MATCH("Per Share",'MRP Raptor'!$E$3:$CM$3,))*'Daily Position'!$H$23</f>
        <v>23507914.999999996</v>
      </c>
      <c r="L379" s="4">
        <f>INDEX([0]!MPRR, MATCH("Heartland Steel Common Condor Raptor I",'MRP Raptor'!$E$3:$E$140,), MATCH("Per Share",'MRP Raptor'!$E$3:$CM$3,))</f>
        <v>10372212</v>
      </c>
      <c r="M379" s="4">
        <f>INDEX([0]!MPRR, MATCH("Heartland Contingent Construction Loan Raptor I",'MRP Raptor'!$E$3:$E$140,), MATCH("Per Share",'MRP Raptor'!$E$3:$CM$3,))</f>
        <v>1302980</v>
      </c>
      <c r="N379" s="4">
        <f>INDEX([0]!MPRR, MATCH("Heartland Steel Warrants Raptor I",'MRP Raptor'!$E$3:$E$140,), MATCH("Per Share",'MRP Raptor'!$E$3:$CM$3,))</f>
        <v>3486752</v>
      </c>
      <c r="O379" s="4">
        <f>INDEX([0]!MPRR, MATCH("Hughes Rawls Loan Raptor I",'MRP Raptor'!$E$3:$E$140,), MATCH("Per Share",'MRP Raptor'!$E$3:$CM$3,))</f>
        <v>429210</v>
      </c>
      <c r="P379" s="4">
        <f>INDEX([0]!MPRR, MATCH("Hughes Rawls Note Raptor I",'MRP Raptor'!$E$3:$E$140,), MATCH("Per Share",'MRP Raptor'!$E$3:$CM$3,))</f>
        <v>470790</v>
      </c>
      <c r="Q379" s="4">
        <f>INDEX([0]!MPRR, MATCH("HV Marine Warrants Raptor I",'MRP Raptor'!$E$3:$E$140,), MATCH("Per Share",'MRP Raptor'!$E$3:$CM$3,))</f>
        <v>27082500</v>
      </c>
      <c r="R379" s="4">
        <f>INDEX([0]!MPRR, MATCH("Industrial Holdings Raptor I",'MRP Raptor'!$E$3:$E$140,), MATCH("Per Share",'MRP Raptor'!$E$3:$CM$3,))</f>
        <v>7121810</v>
      </c>
      <c r="S379" s="4">
        <f>INDEX([0]!MPRR, MATCH("Invasion Energy Raptor I",'MRP Raptor'!$E$3:$E$140,), MATCH("Per Share",'MRP Raptor'!$E$3:$CM$3,))</f>
        <v>5523881.8899999997</v>
      </c>
      <c r="T379" s="4">
        <f>INDEX([0]!MPRR, MATCH("Juniper Raptor I",'MRP Raptor'!$E$3:$E$140,), MATCH("Per Share",'MRP Raptor'!$E$3:$CM$3,))</f>
        <v>21522405.140000001</v>
      </c>
      <c r="U379" s="4">
        <f>INDEX([0]!MPRR, MATCH("Juniper Exposure Raptor I",'MRP Raptor'!$E$3:$E$140,), MATCH("Per Share",'MRP Raptor'!$E$3:$CM$3,))</f>
        <v>1954995.27</v>
      </c>
      <c r="V379" s="4">
        <f>INDEX([0]!MPRR, MATCH("Keathley Canyon Raptor I",'MRP Raptor'!$E$3:$E$140,), MATCH("Per Share",'MRP Raptor'!$E$3:$CM$3,))</f>
        <v>4451851.12</v>
      </c>
      <c r="W379" s="4"/>
      <c r="X379" s="4">
        <f>INDEX([0]!MPRR, MATCH("LSI Warrants Raptor I",'MRP Raptor'!$E$3:$E$140,), MATCH("Per Share",'MRP Raptor'!$E$3:$CM$3,))</f>
        <v>1374750</v>
      </c>
      <c r="Y379" s="4">
        <f>INDEX([0]!MPRR, MATCH("Oconto Falls Common Raptor I",'MRP Raptor'!$E$3:$E$140,), MATCH("Per Share",'MRP Raptor'!$E$3:$CM$3,))</f>
        <v>1803840</v>
      </c>
      <c r="Z379" s="4">
        <f>INDEX([0]!MPRR, MATCH("Oconto Falls IPC Raptor I",'MRP Raptor'!$E$3:$E$140,), MATCH("Per Share",'MRP Raptor'!$E$3:$CM$3,))</f>
        <v>2300803</v>
      </c>
      <c r="AA379" s="4">
        <f>INDEX([0]!MPRR, MATCH("Texland Raptor I",'MRP Raptor'!$E$3:$E$140,), MATCH("Per Share",'MRP Raptor'!$E$3:$CM$3,))</f>
        <v>7934692.5099999998</v>
      </c>
      <c r="AB379" s="4">
        <f>INDEX([0]!MPRR, MATCH("Texland Exposure Raptor I",'MRP Raptor'!$E$3:$E$140,), MATCH("Per Share",'MRP Raptor'!$E$3:$CM$3,))</f>
        <v>1892807</v>
      </c>
      <c r="AC379" s="4">
        <f>INDEX([0]!MPRR, MATCH("Vastar Raptor I",'MRP Raptor'!$E$3:$E$140,), MATCH("Per Share",'MRP Raptor'!$E$3:$CM$3,))</f>
        <v>13077390.76</v>
      </c>
      <c r="AD379" s="4">
        <f>INDEX([0]!MPRR, MATCH("Vastar Exposure Raptor I",'MRP Raptor'!$E$3:$E$140,), MATCH("Per Share",'MRP Raptor'!$E$3:$CM$3,))</f>
        <v>918746.49</v>
      </c>
      <c r="AE379" s="4">
        <f>INDEX([0]!MPRR, MATCH("Venoco Convertible Raptor I",'MRP Raptor'!$E$3:$E$140,), MATCH("Per Share",'MRP Raptor'!$E$3:$CM$3,))*'Daily Position'!$H$43</f>
        <v>82488138.519999996</v>
      </c>
      <c r="AF379" s="4">
        <f>INDEX([0]!MPRR, MATCH("WB Oil &amp; Gas Raptor I",'MRP Raptor'!$E$3:$E$140,), MATCH("Per Share",'MRP Raptor'!$E$3:$CM$3,))*'Daily Position'!$H$44</f>
        <v>1360000</v>
      </c>
      <c r="AG379" s="4">
        <f>INDEX([0]!MPRR, MATCH("Merlin Credit Derivative Raptor I",'MRP Raptor'!$E$3:$E$140,), MATCH("Per Share",'MRP Raptor'!$E$3:$CM$3,))</f>
        <v>93746588.676477998</v>
      </c>
    </row>
    <row r="380" spans="1:33" x14ac:dyDescent="0.25">
      <c r="A380" s="266">
        <f>+A379-1</f>
        <v>36849</v>
      </c>
      <c r="B380" s="4">
        <f>INDEX([0]!MPRR, MATCH("Amerada Hess Exposure Raptor I",'MRP Raptor'!$E$3:$E$140,), MATCH("Value",'MRP Raptor'!$E$3:$CM$3,))</f>
        <v>1250000</v>
      </c>
      <c r="C380" s="4">
        <f>INDEX([0]!MPRR, MATCH("Ameritex Raptor I",'MRP Raptor'!$E$3:$E$140,), MATCH("Value",'MRP Raptor'!$E$3:$CM$3,))</f>
        <v>4661410.0599999996</v>
      </c>
      <c r="D380" s="4">
        <f>INDEX([0]!MPRR, MATCH("Basic Energy Preferred Raptor I",'MRP Raptor'!$E$3:$E$140,), MATCH("Value",'MRP Raptor'!$E$3:$CM$3,))</f>
        <v>2220747.16</v>
      </c>
      <c r="E380" s="4">
        <f>INDEX([0]!MPRR, MATCH("Black Bay Raptor I",'MRP Raptor'!$E$3:$E$140,), MATCH("Value",'MRP Raptor'!$E$3:$CM$3,))</f>
        <v>242754.37</v>
      </c>
      <c r="F380" s="4">
        <f>INDEX([0]!MPRR, MATCH("Brigham Secured SubDebt Raptor I",'MRP Raptor'!$E$3:$E$140,), MATCH("Value",'MRP Raptor'!$E$3:$CM$3,))</f>
        <v>0</v>
      </c>
      <c r="G380" s="4">
        <f>INDEX([0]!MPRR, MATCH("Catalytica Raptor I",'MRP Raptor'!$E$3:$E$140,), MATCH("Value",'MRP Raptor'!$E$3:$CM$3,))</f>
        <v>116115000</v>
      </c>
      <c r="H380" s="4">
        <f>INDEX([0]!MPRR, MATCH("City Forest IPC Raptor I",'MRP Raptor'!$E$3:$E$140,), MATCH("Value",'MRP Raptor'!$E$3:$CM$3,))</f>
        <v>1663000</v>
      </c>
      <c r="I380" s="4">
        <f>INDEX([0]!MPRR, MATCH("Ecogas Loan Raptor I",'MRP Raptor'!$E$3:$E$140,), MATCH("Value",'MRP Raptor'!$E$3:$CM$3,))</f>
        <v>13228050</v>
      </c>
      <c r="J380" s="4">
        <f>INDEX([0]!MPRR, MATCH("Geo. Pursuit (EBGB) Raptor I",'MRP Raptor'!$E$3:$E$140,), MATCH("Value",'MRP Raptor'!$E$3:$CM$3,))</f>
        <v>1012500</v>
      </c>
      <c r="K380" s="4">
        <f>INDEX([0]!MPRR, MATCH("Heartland Steel Common Raptor I",'MRP Raptor'!$E$3:$E$140,), MATCH("Value",'MRP Raptor'!$E$3:$CM$3,))</f>
        <v>23507915</v>
      </c>
      <c r="L380" s="4">
        <f>INDEX([0]!MPRR, MATCH("Heartland Steel Common Condor Raptor I",'MRP Raptor'!$E$3:$E$140,), MATCH("Value",'MRP Raptor'!$E$3:$CM$3,))</f>
        <v>10372212</v>
      </c>
      <c r="M380" s="4">
        <f>INDEX([0]!MPRR, MATCH("Heartland Contingent Construction Loan Raptor I",'MRP Raptor'!$E$3:$E$140,), MATCH("Value",'MRP Raptor'!$E$3:$CM$3,))</f>
        <v>1302980</v>
      </c>
      <c r="N380" s="4">
        <f>INDEX([0]!MPRR, MATCH("Heartland Steel Warrants Raptor I",'MRP Raptor'!$E$3:$E$140,), MATCH("Value",'MRP Raptor'!$E$3:$CM$3,))</f>
        <v>3486752</v>
      </c>
      <c r="O380" s="4">
        <f>INDEX([0]!MPRR, MATCH("Hughes Rawls Loan Raptor I",'MRP Raptor'!$E$3:$E$140,), MATCH("Value",'MRP Raptor'!$E$3:$CM$3,))</f>
        <v>429210</v>
      </c>
      <c r="P380" s="4">
        <f>INDEX([0]!MPRR, MATCH("Hughes Rawls Note Raptor I",'MRP Raptor'!$E$3:$E$140,), MATCH("Value",'MRP Raptor'!$E$3:$CM$3,))</f>
        <v>470790</v>
      </c>
      <c r="Q380" s="4">
        <f>INDEX([0]!MPRR, MATCH("HV Marine Warrants Raptor I",'MRP Raptor'!$E$3:$E$140,), MATCH("Value",'MRP Raptor'!$E$3:$CM$3,))</f>
        <v>27082500</v>
      </c>
      <c r="R380" s="4">
        <f>INDEX([0]!MPRR, MATCH("Industrial Holdings Raptor I",'MRP Raptor'!$E$3:$E$140,), MATCH("Value",'MRP Raptor'!$E$3:$CM$3,))</f>
        <v>7121810</v>
      </c>
      <c r="S380" s="4">
        <f>INDEX([0]!MPRR, MATCH("Invasion Energy Raptor I",'MRP Raptor'!$E$3:$E$140,), MATCH("Value",'MRP Raptor'!$E$3:$CM$3,))</f>
        <v>5523881.8899999997</v>
      </c>
      <c r="T380" s="4">
        <f>INDEX([0]!MPRR, MATCH("Juniper Raptor I",'MRP Raptor'!$E$3:$E$140,), MATCH("Value",'MRP Raptor'!$E$3:$CM$3,))</f>
        <v>21522405.140000001</v>
      </c>
      <c r="U380" s="4">
        <f>INDEX([0]!MPRR, MATCH("Juniper Exposure Raptor I",'MRP Raptor'!$E$3:$E$140,), MATCH("Value",'MRP Raptor'!$E$3:$CM$3,))</f>
        <v>1954995.27</v>
      </c>
      <c r="V380" s="4">
        <f>INDEX([0]!MPRR, MATCH("Keathley Canyon Raptor I",'MRP Raptor'!$E$3:$E$140,), MATCH("Value",'MRP Raptor'!$E$3:$CM$3,))</f>
        <v>4451851.12</v>
      </c>
      <c r="W380" s="4"/>
      <c r="X380" s="4">
        <f>INDEX([0]!MPRR, MATCH("LSI Warrants Raptor I",'MRP Raptor'!$E$3:$E$140,), MATCH("Value",'MRP Raptor'!$E$3:$CM$3,))</f>
        <v>1374750</v>
      </c>
      <c r="Y380" s="4">
        <f>INDEX([0]!MPRR, MATCH("Oconto Falls Common Raptor I",'MRP Raptor'!$E$3:$E$140,), MATCH("Value",'MRP Raptor'!$E$3:$CM$3,))</f>
        <v>1803840</v>
      </c>
      <c r="Z380" s="4">
        <f>INDEX([0]!MPRR, MATCH("Oconto Falls IPC Raptor I",'MRP Raptor'!$E$3:$E$140,), MATCH("Value",'MRP Raptor'!$E$3:$CM$3,))</f>
        <v>2300803</v>
      </c>
      <c r="AA380" s="4">
        <f>INDEX([0]!MPRR, MATCH("Texland Raptor I",'MRP Raptor'!$E$3:$E$140,), MATCH("Value",'MRP Raptor'!$E$3:$CM$3,))</f>
        <v>7934692.5099999998</v>
      </c>
      <c r="AB380" s="4">
        <f>INDEX([0]!MPRR, MATCH("Texland Exposure Raptor I",'MRP Raptor'!$E$3:$E$140,), MATCH("Value",'MRP Raptor'!$E$3:$CM$3,))</f>
        <v>1892807</v>
      </c>
      <c r="AC380" s="4">
        <f>INDEX([0]!MPRR, MATCH("Vastar Raptor I",'MRP Raptor'!$E$3:$E$140,), MATCH("Value",'MRP Raptor'!$E$3:$CM$3,))</f>
        <v>13077390.76</v>
      </c>
      <c r="AD380" s="4">
        <f>INDEX([0]!MPRR, MATCH("Vastar Exposure Raptor I",'MRP Raptor'!$E$3:$E$140,), MATCH("Value",'MRP Raptor'!$E$3:$CM$3,))</f>
        <v>918746.49</v>
      </c>
      <c r="AE380" s="4">
        <f>INDEX([0]!MPRR, MATCH("Venoco Convertible Raptor I",'MRP Raptor'!$E$3:$E$140,), MATCH("Value",'MRP Raptor'!$E$3:$CM$3,))</f>
        <v>82488138.519999996</v>
      </c>
      <c r="AF380" s="4">
        <f>INDEX([0]!MPRR, MATCH("WB Oil &amp; Gas Raptor I",'MRP Raptor'!$E$3:$E$140,), MATCH("Value",'MRP Raptor'!$E$3:$CM$3,))</f>
        <v>1360000</v>
      </c>
      <c r="AG380" s="4">
        <f>INDEX([0]!MPRR, MATCH("Merlin Credit Derivative Raptor I",'MRP Raptor'!$E$3:$E$140,), MATCH("Value",'MRP Raptor'!$E$3:$CM$3,))</f>
        <v>93746588.676477998</v>
      </c>
    </row>
    <row r="381" spans="1:33" x14ac:dyDescent="0.25">
      <c r="A381" s="266">
        <f>+A379</f>
        <v>36850</v>
      </c>
      <c r="B381" s="4">
        <f>INDEX([0]!MPRR, MATCH("Amerada Hess Exposure Raptor I",'MRP Raptor'!$E$3:$E$140,), MATCH("Asset P&amp;L",'MRP Raptor'!$E$3:$CM$3,))</f>
        <v>0</v>
      </c>
      <c r="C381" s="4">
        <f>INDEX([0]!MPRR, MATCH("Ameritex Raptor I",'MRP Raptor'!$E$3:$E$140,), MATCH("Asset P&amp;L",'MRP Raptor'!$E$3:$CM$3,))</f>
        <v>0</v>
      </c>
      <c r="D381" s="4">
        <f>INDEX([0]!MPRR, MATCH("Basic Energy Preferred Raptor I",'MRP Raptor'!$E$3:$E$140,), MATCH("Asset P&amp;L",'MRP Raptor'!$E$3:$CM$3,))</f>
        <v>0</v>
      </c>
      <c r="E381" s="4">
        <f>INDEX([0]!MPRR, MATCH("Black Bay Raptor I",'MRP Raptor'!$E$3:$E$140,), MATCH("Asset P&amp;L",'MRP Raptor'!$E$3:$CM$3,))</f>
        <v>0</v>
      </c>
      <c r="F381" s="4">
        <f>INDEX([0]!MPRR, MATCH("Brigham Secured SubDebt Raptor I",'MRP Raptor'!$E$3:$E$140,), MATCH("Asset P&amp;L",'MRP Raptor'!$E$3:$CM$3,))</f>
        <v>0</v>
      </c>
      <c r="G381" s="4">
        <f>INDEX([0]!MPRR, MATCH("Catalytica Raptor I",'MRP Raptor'!$E$3:$E$140,), MATCH("Asset P&amp;L",'MRP Raptor'!$E$3:$CM$3,))</f>
        <v>0</v>
      </c>
      <c r="H381" s="4">
        <f>INDEX([0]!MPRR, MATCH("City Forest IPC Raptor I",'MRP Raptor'!$E$3:$E$140,), MATCH("Asset P&amp;L",'MRP Raptor'!$E$3:$CM$3,))</f>
        <v>0</v>
      </c>
      <c r="I381" s="4">
        <f>INDEX([0]!MPRR, MATCH("Ecogas Loan Raptor I",'MRP Raptor'!$E$3:$E$140,), MATCH("Asset P&amp;L",'MRP Raptor'!$E$3:$CM$3,))</f>
        <v>0</v>
      </c>
      <c r="J381" s="4">
        <f>INDEX([0]!MPRR, MATCH("Geo. Pursuit (EBGB) Raptor I",'MRP Raptor'!$E$3:$E$140,), MATCH("Asset P&amp;L",'MRP Raptor'!$E$3:$CM$3,))</f>
        <v>0</v>
      </c>
      <c r="K381" s="4">
        <f>INDEX([0]!MPRR, MATCH("Heartland Steel Common Raptor I",'MRP Raptor'!$E$3:$E$140,), MATCH("Asset P&amp;L",'MRP Raptor'!$E$3:$CM$3,))</f>
        <v>0</v>
      </c>
      <c r="L381" s="4">
        <f>INDEX([0]!MPRR, MATCH("Heartland Steel Common Condor Raptor I",'MRP Raptor'!$E$3:$E$140,), MATCH("Asset P&amp;L",'MRP Raptor'!$E$3:$CM$3,))</f>
        <v>0</v>
      </c>
      <c r="M381" s="4">
        <f>INDEX([0]!MPRR, MATCH("Heartland Contingent Construction Loan Raptor I",'MRP Raptor'!$E$3:$E$140,), MATCH("Asset P&amp;L",'MRP Raptor'!$E$3:$CM$3,))</f>
        <v>0</v>
      </c>
      <c r="N381" s="4">
        <f>INDEX([0]!MPRR, MATCH("Heartland Steel Warrants Raptor I",'MRP Raptor'!$E$3:$E$140,), MATCH("Asset P&amp;L",'MRP Raptor'!$E$3:$CM$3,))</f>
        <v>0</v>
      </c>
      <c r="O381" s="4">
        <f>INDEX([0]!MPRR, MATCH("Hughes Rawls Loan Raptor I",'MRP Raptor'!$E$3:$E$140,), MATCH("Asset P&amp;L",'MRP Raptor'!$E$3:$CM$3,))</f>
        <v>0</v>
      </c>
      <c r="P381" s="4">
        <f>INDEX([0]!MPRR, MATCH("Hughes Rawls Note Raptor I",'MRP Raptor'!$E$3:$E$140,), MATCH("Asset P&amp;L",'MRP Raptor'!$E$3:$CM$3,))</f>
        <v>0</v>
      </c>
      <c r="Q381" s="4">
        <f>INDEX([0]!MPRR, MATCH("HV Marine Warrants Raptor I",'MRP Raptor'!$E$3:$E$140,), MATCH("Asset P&amp;L",'MRP Raptor'!$E$3:$CM$3,))</f>
        <v>0</v>
      </c>
      <c r="R381" s="4">
        <f>INDEX([0]!MPRR, MATCH("Industrial Holdings Raptor I",'MRP Raptor'!$E$3:$E$140,), MATCH("Asset P&amp;L",'MRP Raptor'!$E$3:$CM$3,))</f>
        <v>0</v>
      </c>
      <c r="S381" s="4">
        <f>INDEX([0]!MPRR, MATCH("Invasion Energy Raptor I",'MRP Raptor'!$E$3:$E$140,), MATCH("Asset P&amp;L",'MRP Raptor'!$E$3:$CM$3,))</f>
        <v>0</v>
      </c>
      <c r="T381" s="4">
        <f>INDEX([0]!MPRR, MATCH("Juniper Raptor I",'MRP Raptor'!$E$3:$E$140,), MATCH("Asset P&amp;L",'MRP Raptor'!$E$3:$CM$3,))</f>
        <v>0</v>
      </c>
      <c r="U381" s="4">
        <f>INDEX([0]!MPRR, MATCH("Juniper Exposure Raptor I",'MRP Raptor'!$E$3:$E$140,), MATCH("Asset P&amp;L",'MRP Raptor'!$E$3:$CM$3,))</f>
        <v>0</v>
      </c>
      <c r="V381" s="4">
        <f>INDEX([0]!MPRR, MATCH("Keathley Canyon Raptor I",'MRP Raptor'!$E$3:$E$140,), MATCH("Asset P&amp;L",'MRP Raptor'!$E$3:$CM$3,))</f>
        <v>0</v>
      </c>
      <c r="W381" s="4"/>
      <c r="X381" s="4">
        <f>INDEX([0]!MPRR, MATCH("LSI Warrants Raptor I",'MRP Raptor'!$E$3:$E$140,), MATCH("Asset P&amp;L",'MRP Raptor'!$E$3:$CM$3,))</f>
        <v>0</v>
      </c>
      <c r="Y381" s="4">
        <f>INDEX([0]!MPRR, MATCH("Oconto Falls Common Raptor I",'MRP Raptor'!$E$3:$E$140,), MATCH("Asset P&amp;L",'MRP Raptor'!$E$3:$CM$3,))</f>
        <v>0</v>
      </c>
      <c r="Z381" s="4">
        <f>INDEX([0]!MPRR, MATCH("Oconto Falls IPC Raptor I",'MRP Raptor'!$E$3:$E$140,), MATCH("Asset P&amp;L",'MRP Raptor'!$E$3:$CM$3,))</f>
        <v>0</v>
      </c>
      <c r="AA381" s="4">
        <f>INDEX([0]!MPRR, MATCH("Texland Raptor I",'MRP Raptor'!$E$3:$E$140,), MATCH("Asset P&amp;L",'MRP Raptor'!$E$3:$CM$3,))</f>
        <v>0</v>
      </c>
      <c r="AB381" s="4">
        <f>INDEX([0]!MPRR, MATCH("Texland Exposure Raptor I",'MRP Raptor'!$E$3:$E$140,), MATCH("Asset P&amp;L",'MRP Raptor'!$E$3:$CM$3,))</f>
        <v>0</v>
      </c>
      <c r="AC381" s="4">
        <f>INDEX([0]!MPRR, MATCH("Vastar Raptor I",'MRP Raptor'!$E$3:$E$140,), MATCH("Asset P&amp;L",'MRP Raptor'!$E$3:$CM$3,))</f>
        <v>0</v>
      </c>
      <c r="AD381" s="4">
        <f>INDEX([0]!MPRR, MATCH("Vastar Exposure Raptor I",'MRP Raptor'!$E$3:$E$140,), MATCH("Asset P&amp;L",'MRP Raptor'!$E$3:$CM$3,))</f>
        <v>0</v>
      </c>
      <c r="AE381" s="4">
        <f>INDEX([0]!MPRR, MATCH("Venoco Convertible Raptor I",'MRP Raptor'!$E$3:$E$140,), MATCH("Asset P&amp;L",'MRP Raptor'!$E$3:$CM$3,))</f>
        <v>0</v>
      </c>
      <c r="AF381" s="4">
        <f>INDEX([0]!MPRR, MATCH("WB Oil &amp; Gas Raptor I",'MRP Raptor'!$E$3:$E$140,), MATCH("Asset P&amp;L",'MRP Raptor'!$E$3:$CM$3,))</f>
        <v>0</v>
      </c>
      <c r="AG381" s="4">
        <f>INDEX([0]!MPRR, MATCH("Merlin Credit Derivative Raptor I",'MRP Raptor'!$E$3:$E$140,), MATCH("Asset P&amp;L",'MRP Raptor'!$E$3:$CM$3,))</f>
        <v>0</v>
      </c>
    </row>
    <row r="382" spans="1:33" x14ac:dyDescent="0.25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3" x14ac:dyDescent="0.25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3" x14ac:dyDescent="0.25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25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25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25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25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25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25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25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25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25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25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25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25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25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25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25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25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  <row r="416" spans="2:26" x14ac:dyDescent="0.25">
      <c r="B416"/>
      <c r="D416"/>
      <c r="F416"/>
      <c r="H416"/>
      <c r="J416"/>
      <c r="L416"/>
      <c r="N416"/>
      <c r="P416"/>
      <c r="Q416"/>
      <c r="R416"/>
      <c r="T416"/>
      <c r="V416"/>
      <c r="X416"/>
      <c r="Z416"/>
    </row>
    <row r="417" spans="2:26" x14ac:dyDescent="0.25">
      <c r="B417"/>
      <c r="D417"/>
      <c r="F417"/>
      <c r="H417"/>
      <c r="J417"/>
      <c r="L417"/>
      <c r="N417"/>
      <c r="P417"/>
      <c r="Q417"/>
      <c r="R417"/>
      <c r="T417"/>
      <c r="V417"/>
      <c r="X417"/>
      <c r="Z417"/>
    </row>
    <row r="418" spans="2:26" x14ac:dyDescent="0.25">
      <c r="B418"/>
      <c r="D418"/>
      <c r="F418"/>
      <c r="H418"/>
      <c r="J418"/>
      <c r="L418"/>
      <c r="N418"/>
      <c r="P418"/>
      <c r="Q418"/>
      <c r="R418"/>
      <c r="T418"/>
      <c r="V418"/>
      <c r="X418"/>
      <c r="Z418"/>
    </row>
    <row r="419" spans="2:26" x14ac:dyDescent="0.25">
      <c r="B419"/>
      <c r="D419"/>
      <c r="F419"/>
      <c r="H419"/>
      <c r="J419"/>
      <c r="L419"/>
      <c r="N419"/>
      <c r="P419"/>
      <c r="Q419"/>
      <c r="R419"/>
      <c r="T419"/>
      <c r="V419"/>
      <c r="X419"/>
      <c r="Z419"/>
    </row>
    <row r="420" spans="2:26" x14ac:dyDescent="0.25">
      <c r="B420"/>
      <c r="D420"/>
      <c r="F420"/>
      <c r="H420"/>
      <c r="J420"/>
      <c r="L420"/>
      <c r="N420"/>
      <c r="P420"/>
      <c r="Q420"/>
      <c r="R420"/>
      <c r="T420"/>
      <c r="V420"/>
      <c r="X420"/>
      <c r="Z420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A9" workbookViewId="0">
      <selection activeCell="A6" sqref="A6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1.5" style="7" bestFit="1" customWidth="1"/>
    <col min="6" max="6" width="1.75" style="13" bestFit="1" customWidth="1"/>
    <col min="7" max="7" width="2" style="7" customWidth="1"/>
    <col min="8" max="8" width="41.875" style="7" bestFit="1" customWidth="1"/>
    <col min="9" max="9" width="14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1.5" style="7" bestFit="1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87</v>
      </c>
    </row>
    <row r="2" spans="1:18" x14ac:dyDescent="0.25">
      <c r="A2" s="7" t="s">
        <v>88</v>
      </c>
      <c r="H2" s="294">
        <f>+Summary!C5</f>
        <v>36850</v>
      </c>
      <c r="I2" s="294"/>
      <c r="J2" s="97"/>
      <c r="L2" s="294">
        <f>H2</f>
        <v>36850</v>
      </c>
      <c r="M2" s="294"/>
      <c r="N2" s="294"/>
      <c r="O2" s="294"/>
      <c r="P2" s="294"/>
    </row>
    <row r="3" spans="1:18" ht="16.5" thickBot="1" x14ac:dyDescent="0.3">
      <c r="H3" s="295" t="s">
        <v>101</v>
      </c>
      <c r="I3" s="295"/>
      <c r="J3" s="98"/>
      <c r="L3" s="295" t="s">
        <v>101</v>
      </c>
      <c r="M3" s="295"/>
      <c r="N3" s="295"/>
      <c r="O3" s="295"/>
      <c r="P3" s="295"/>
    </row>
    <row r="4" spans="1:18" x14ac:dyDescent="0.25">
      <c r="A4" s="296" t="s">
        <v>32</v>
      </c>
      <c r="B4" s="296"/>
      <c r="C4" s="296"/>
      <c r="D4" s="296"/>
      <c r="E4" s="296"/>
      <c r="F4" s="296"/>
      <c r="H4" s="120" t="s">
        <v>102</v>
      </c>
      <c r="I4" s="121"/>
      <c r="J4" s="13"/>
    </row>
    <row r="5" spans="1:18" ht="16.5" thickBot="1" x14ac:dyDescent="0.3">
      <c r="A5" s="300" t="s">
        <v>33</v>
      </c>
      <c r="B5" s="300"/>
      <c r="D5" s="300" t="s">
        <v>34</v>
      </c>
      <c r="E5" s="300"/>
      <c r="H5" s="122" t="s">
        <v>103</v>
      </c>
      <c r="I5" s="137">
        <f>+VLOOKUP(+Summary!C5,ene,2)</f>
        <v>80.25</v>
      </c>
      <c r="J5" s="13"/>
      <c r="L5" s="296" t="s">
        <v>123</v>
      </c>
      <c r="M5" s="296"/>
      <c r="N5" s="296"/>
      <c r="O5" s="296"/>
      <c r="P5" s="296"/>
      <c r="Q5" s="98"/>
    </row>
    <row r="6" spans="1:18" x14ac:dyDescent="0.25">
      <c r="A6" s="7" t="s">
        <v>35</v>
      </c>
      <c r="B6" s="7">
        <f>E6+E9+E10-B35</f>
        <v>71001000</v>
      </c>
      <c r="D6" s="7" t="s">
        <v>36</v>
      </c>
      <c r="E6" s="7">
        <v>41000000</v>
      </c>
      <c r="F6" s="15" t="s">
        <v>37</v>
      </c>
      <c r="H6" s="122" t="s">
        <v>104</v>
      </c>
      <c r="I6" s="123">
        <f>'Cash-Int-Trans'!F47</f>
        <v>7.2450000000000014E-2</v>
      </c>
      <c r="J6" s="13"/>
      <c r="L6" s="94" t="s">
        <v>147</v>
      </c>
      <c r="M6" s="99">
        <f>H2</f>
        <v>36850</v>
      </c>
      <c r="N6" s="100"/>
      <c r="O6" s="100"/>
      <c r="P6" s="100"/>
      <c r="Q6" s="101"/>
    </row>
    <row r="7" spans="1:18" ht="16.5" thickBot="1" x14ac:dyDescent="0.3">
      <c r="A7" s="7" t="s">
        <v>38</v>
      </c>
      <c r="B7" s="7">
        <v>50000000</v>
      </c>
      <c r="D7" s="7" t="s">
        <v>39</v>
      </c>
      <c r="E7" s="7">
        <f>B11-E6-E9-E10</f>
        <v>400000000</v>
      </c>
      <c r="H7" s="297" t="s">
        <v>163</v>
      </c>
      <c r="I7" s="298"/>
      <c r="J7" s="13"/>
      <c r="L7" s="300" t="s">
        <v>33</v>
      </c>
      <c r="M7" s="300"/>
      <c r="O7" s="300" t="s">
        <v>34</v>
      </c>
      <c r="P7" s="300"/>
    </row>
    <row r="8" spans="1:18" x14ac:dyDescent="0.25">
      <c r="A8" s="7" t="s">
        <v>41</v>
      </c>
      <c r="B8" s="7">
        <f>B18</f>
        <v>350000000</v>
      </c>
      <c r="C8" s="18" t="s">
        <v>42</v>
      </c>
      <c r="H8" s="124" t="s">
        <v>164</v>
      </c>
      <c r="I8" s="125"/>
      <c r="J8" s="13"/>
      <c r="L8" s="7" t="s">
        <v>40</v>
      </c>
      <c r="M8" s="7">
        <f>+'Cash-Int-Trans'!B38</f>
        <v>40135947.816815376</v>
      </c>
      <c r="O8" s="7" t="s">
        <v>111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25">
      <c r="D9" s="7" t="s">
        <v>43</v>
      </c>
      <c r="E9" s="14">
        <f>30000000</f>
        <v>30000000</v>
      </c>
      <c r="F9" s="19" t="s">
        <v>44</v>
      </c>
      <c r="H9" s="13"/>
      <c r="I9" s="16"/>
      <c r="J9" s="13"/>
      <c r="L9" s="7" t="s">
        <v>38</v>
      </c>
      <c r="M9" s="7">
        <f>+B7-Amort!B24</f>
        <v>50000000</v>
      </c>
      <c r="O9" s="7" t="s">
        <v>36</v>
      </c>
      <c r="P9" s="7">
        <f>+'Cash-Int-Trans'!B11</f>
        <v>36066314</v>
      </c>
    </row>
    <row r="10" spans="1:18" x14ac:dyDescent="0.25">
      <c r="D10" s="7" t="s">
        <v>4</v>
      </c>
      <c r="E10" s="7">
        <v>1000</v>
      </c>
      <c r="H10" s="293" t="s">
        <v>105</v>
      </c>
      <c r="I10" s="293"/>
      <c r="J10" s="13"/>
      <c r="L10" s="7" t="s">
        <v>41</v>
      </c>
      <c r="M10" s="7">
        <f>B8+I15</f>
        <v>386873468.49315071</v>
      </c>
      <c r="N10" s="18"/>
      <c r="O10" s="7" t="s">
        <v>121</v>
      </c>
      <c r="P10" s="7">
        <f>IF(I19&gt;0,0,-I19)</f>
        <v>193330437.50353804</v>
      </c>
    </row>
    <row r="11" spans="1:18" ht="16.5" thickBot="1" x14ac:dyDescent="0.3">
      <c r="A11" s="92" t="s">
        <v>7</v>
      </c>
      <c r="B11" s="12">
        <f>SUM(B6:B10)</f>
        <v>471001000</v>
      </c>
      <c r="C11" s="20" t="s">
        <v>46</v>
      </c>
      <c r="D11" s="92" t="s">
        <v>7</v>
      </c>
      <c r="E11" s="12">
        <f>SUM(E6:E10)</f>
        <v>471001000</v>
      </c>
      <c r="F11" s="17"/>
      <c r="H11" s="95" t="s">
        <v>148</v>
      </c>
      <c r="I11" s="96">
        <f>H2</f>
        <v>36850</v>
      </c>
      <c r="J11" s="13"/>
      <c r="L11" s="7" t="s">
        <v>45</v>
      </c>
      <c r="M11" s="7">
        <f>+Amort!B28</f>
        <v>486111.11111111112</v>
      </c>
      <c r="O11" s="7" t="s">
        <v>39</v>
      </c>
      <c r="P11" s="7">
        <f>E7-I16+'Cash-Int-Trans'!B9+'Cash-Int-Trans'!B12</f>
        <v>384141130.89197677</v>
      </c>
      <c r="R11" s="3"/>
    </row>
    <row r="12" spans="1:18" ht="16.5" thickTop="1" x14ac:dyDescent="0.25">
      <c r="H12" s="13" t="s">
        <v>117</v>
      </c>
      <c r="I12" s="16">
        <f>+'Cash-Int-Trans'!B6</f>
        <v>37034148</v>
      </c>
      <c r="J12" s="29" t="s">
        <v>91</v>
      </c>
      <c r="O12" s="7" t="s">
        <v>43</v>
      </c>
      <c r="P12" s="7">
        <f>IF(+I23+I35+'Cash-Int-Trans'!D85-'Cash-Int-Trans'!D84&gt;'Cash-Int-Trans'!D85,'Cash-Int-Trans'!D85,IF(+I23+I35+'Cash-Int-Trans'!D85&lt;0,0,+I23+I35+'Cash-Int-Trans'!D85-'Cash-Int-Trans'!D84))</f>
        <v>0</v>
      </c>
      <c r="Q12" s="110" t="s">
        <v>157</v>
      </c>
    </row>
    <row r="13" spans="1:18" x14ac:dyDescent="0.25">
      <c r="A13" s="21" t="s">
        <v>47</v>
      </c>
      <c r="D13" s="22" t="s">
        <v>16</v>
      </c>
      <c r="E13" s="22" t="s">
        <v>48</v>
      </c>
      <c r="F13" s="23"/>
      <c r="H13" s="13" t="s">
        <v>118</v>
      </c>
      <c r="I13" s="16">
        <f>+'Cash-Int-Trans'!B41</f>
        <v>2521058.9279264817</v>
      </c>
      <c r="J13" s="29"/>
      <c r="L13" s="7" t="s">
        <v>126</v>
      </c>
      <c r="M13" s="7">
        <f>IF(I19&gt;0,I19,0)</f>
        <v>0</v>
      </c>
      <c r="O13" s="7" t="s">
        <v>4</v>
      </c>
      <c r="P13" s="7">
        <f>M14-SUM(P8:P12)</f>
        <v>-136042354.97443765</v>
      </c>
    </row>
    <row r="14" spans="1:18" ht="16.5" thickBot="1" x14ac:dyDescent="0.3">
      <c r="A14" s="7" t="s">
        <v>49</v>
      </c>
      <c r="B14" s="7">
        <f>D14*E14</f>
        <v>263599500</v>
      </c>
      <c r="C14" s="24"/>
      <c r="D14" s="25">
        <v>3739000</v>
      </c>
      <c r="E14" s="26">
        <v>70.5</v>
      </c>
      <c r="H14" s="13" t="s">
        <v>549</v>
      </c>
      <c r="I14" s="16">
        <f>+Amort!B29</f>
        <v>2100000</v>
      </c>
      <c r="J14" s="13"/>
      <c r="L14" s="92" t="s">
        <v>7</v>
      </c>
      <c r="M14" s="12">
        <f>SUM(M8:M13)</f>
        <v>477495527.42107719</v>
      </c>
      <c r="N14" s="20"/>
      <c r="O14" s="92" t="s">
        <v>7</v>
      </c>
      <c r="P14" s="12">
        <f>SUM(P8:P13)</f>
        <v>477495527.42107719</v>
      </c>
      <c r="Q14" s="109" t="s">
        <v>156</v>
      </c>
    </row>
    <row r="15" spans="1:18" ht="16.5" thickTop="1" x14ac:dyDescent="0.25">
      <c r="A15" s="7" t="s">
        <v>51</v>
      </c>
      <c r="B15" s="27">
        <f>D15*E15</f>
        <v>273328500</v>
      </c>
      <c r="D15" s="28">
        <v>3877000</v>
      </c>
      <c r="E15" s="26">
        <v>70.5</v>
      </c>
      <c r="H15" s="13" t="s">
        <v>548</v>
      </c>
      <c r="I15" s="16">
        <f>-B17*H40/(3*365)</f>
        <v>36873468.493150681</v>
      </c>
      <c r="J15" s="33" t="s">
        <v>59</v>
      </c>
      <c r="P15" s="7">
        <f>M14-P14</f>
        <v>0</v>
      </c>
      <c r="Q15" s="17" t="str">
        <f>IF(ROUND(P15,0)=0,"","8/31/00 Balance Sheet does not Balance!")</f>
        <v/>
      </c>
    </row>
    <row r="16" spans="1:18" x14ac:dyDescent="0.25">
      <c r="A16" s="7" t="s">
        <v>53</v>
      </c>
      <c r="B16" s="7">
        <f>SUM(B14:B15)</f>
        <v>536928000</v>
      </c>
      <c r="H16" s="13" t="s">
        <v>512</v>
      </c>
      <c r="I16" s="40">
        <f>-'Cash-Int-Trans'!B62</f>
        <v>-16241592.891976776</v>
      </c>
      <c r="J16" s="13"/>
      <c r="L16" s="240" t="s">
        <v>50</v>
      </c>
      <c r="M16" s="239"/>
      <c r="N16" s="239"/>
      <c r="O16" s="239"/>
      <c r="P16" s="239"/>
      <c r="Q16" s="16"/>
    </row>
    <row r="17" spans="1:20" x14ac:dyDescent="0.25">
      <c r="A17" s="7" t="s">
        <v>55</v>
      </c>
      <c r="B17" s="7">
        <f>-B16*D17</f>
        <v>-186927999.99999997</v>
      </c>
      <c r="C17" s="31" t="s">
        <v>56</v>
      </c>
      <c r="D17" s="32">
        <v>0.3481435127242386</v>
      </c>
      <c r="I17" s="7">
        <f>SUM(I12:I16)</f>
        <v>62287082.529100388</v>
      </c>
      <c r="L17" s="241" t="s">
        <v>52</v>
      </c>
      <c r="M17" s="241"/>
      <c r="P17" s="7">
        <f>M14</f>
        <v>477495527.42107719</v>
      </c>
      <c r="Q17" s="109" t="s">
        <v>156</v>
      </c>
    </row>
    <row r="18" spans="1:20" ht="16.5" thickBot="1" x14ac:dyDescent="0.3">
      <c r="A18" s="7" t="s">
        <v>58</v>
      </c>
      <c r="B18" s="12">
        <f>B16+B17</f>
        <v>350000000</v>
      </c>
      <c r="C18" s="18" t="s">
        <v>42</v>
      </c>
      <c r="I18" s="7"/>
      <c r="L18" s="7" t="s">
        <v>541</v>
      </c>
      <c r="M18" s="93">
        <f>+'Daily Position'!I45</f>
        <v>93746590</v>
      </c>
      <c r="N18" s="93"/>
      <c r="O18" s="93">
        <f>-P9</f>
        <v>-36066314</v>
      </c>
      <c r="P18" s="7">
        <f>+M18+O18</f>
        <v>57680276</v>
      </c>
    </row>
    <row r="19" spans="1:20" ht="16.5" thickTop="1" x14ac:dyDescent="0.25">
      <c r="H19" s="7" t="s">
        <v>119</v>
      </c>
      <c r="I19" s="7">
        <f>+'Daily Position'!L59</f>
        <v>-193330437.50353804</v>
      </c>
      <c r="J19" s="13"/>
      <c r="L19" s="7" t="s">
        <v>155</v>
      </c>
      <c r="M19" s="93">
        <f>+'Daily Position'!I59-M18</f>
        <v>627435139.07000005</v>
      </c>
      <c r="N19" s="93"/>
      <c r="O19" s="93">
        <f>-P10</f>
        <v>-193330437.50353804</v>
      </c>
      <c r="P19" s="27">
        <f>+M19+O19</f>
        <v>434104701.56646204</v>
      </c>
      <c r="T19" s="242"/>
    </row>
    <row r="20" spans="1:20" ht="16.5" thickBot="1" x14ac:dyDescent="0.3">
      <c r="A20" s="301" t="s">
        <v>62</v>
      </c>
      <c r="B20" s="301"/>
      <c r="C20" s="301"/>
      <c r="D20" s="301"/>
      <c r="E20" s="301"/>
      <c r="H20" s="7" t="s">
        <v>120</v>
      </c>
      <c r="I20" s="27">
        <f>+'Daily Position'!M59</f>
        <v>0</v>
      </c>
      <c r="L20" s="7" t="s">
        <v>154</v>
      </c>
      <c r="P20" s="7">
        <f>+P17+P18+P19</f>
        <v>969280504.98753929</v>
      </c>
    </row>
    <row r="21" spans="1:20" x14ac:dyDescent="0.25">
      <c r="A21" s="299" t="s">
        <v>52</v>
      </c>
      <c r="B21" s="299"/>
      <c r="E21" s="7">
        <f>B11</f>
        <v>471001000</v>
      </c>
      <c r="F21" s="34" t="s">
        <v>46</v>
      </c>
      <c r="H21"/>
      <c r="I21" s="36">
        <f>SUM(I19:I20)</f>
        <v>-193330437.50353804</v>
      </c>
      <c r="J21" s="13"/>
      <c r="K21" s="7"/>
      <c r="L21" s="7" t="s">
        <v>54</v>
      </c>
      <c r="P21" s="30">
        <f>E27</f>
        <v>3.0200000000000001E-2</v>
      </c>
    </row>
    <row r="22" spans="1:20" x14ac:dyDescent="0.25">
      <c r="A22" s="7" t="s">
        <v>64</v>
      </c>
      <c r="B22" s="7" t="s">
        <v>16</v>
      </c>
      <c r="D22" s="7">
        <v>7171418</v>
      </c>
      <c r="H22" s="105"/>
      <c r="I22" s="106"/>
      <c r="J22" s="13"/>
      <c r="K22" s="7"/>
      <c r="L22" s="7" t="s">
        <v>57</v>
      </c>
      <c r="P22" s="7">
        <f>P20*P21</f>
        <v>29272271.250623688</v>
      </c>
    </row>
    <row r="23" spans="1:20" ht="16.5" thickBot="1" x14ac:dyDescent="0.3">
      <c r="A23" s="7" t="s">
        <v>67</v>
      </c>
      <c r="B23" s="7" t="s">
        <v>68</v>
      </c>
      <c r="D23" s="26">
        <v>57.5</v>
      </c>
      <c r="E23" s="27">
        <f>D22*D23</f>
        <v>412356535</v>
      </c>
      <c r="H23" s="37" t="s">
        <v>65</v>
      </c>
      <c r="I23" s="102">
        <f>I21+I17</f>
        <v>-131043354.97443765</v>
      </c>
      <c r="J23" s="39" t="s">
        <v>66</v>
      </c>
      <c r="L23" s="7" t="s">
        <v>60</v>
      </c>
      <c r="P23" s="7">
        <f>P12</f>
        <v>0</v>
      </c>
      <c r="Q23" s="110" t="s">
        <v>157</v>
      </c>
    </row>
    <row r="24" spans="1:20" ht="16.5" thickTop="1" x14ac:dyDescent="0.25">
      <c r="A24" s="7" t="s">
        <v>70</v>
      </c>
      <c r="E24" s="7">
        <f>SUM(E21:E23)</f>
        <v>883357535</v>
      </c>
      <c r="H24" s="13"/>
      <c r="I24" s="16"/>
      <c r="J24" s="13"/>
      <c r="L24" s="35" t="s">
        <v>61</v>
      </c>
      <c r="M24" s="36"/>
      <c r="N24" s="36"/>
      <c r="O24" s="36"/>
      <c r="P24" s="111" t="str">
        <f>IF(P23&gt;=P22,"Test Passed","Test Failed")</f>
        <v>Test Failed</v>
      </c>
      <c r="Q24" s="110"/>
    </row>
    <row r="25" spans="1:20" x14ac:dyDescent="0.25">
      <c r="A25" s="7" t="s">
        <v>71</v>
      </c>
      <c r="E25" s="27">
        <f>E6</f>
        <v>41000000</v>
      </c>
      <c r="F25" s="15" t="s">
        <v>37</v>
      </c>
      <c r="H25" s="293" t="s">
        <v>106</v>
      </c>
      <c r="I25" s="293"/>
      <c r="J25" s="13"/>
      <c r="L25" s="13" t="s">
        <v>63</v>
      </c>
      <c r="M25" s="13"/>
      <c r="N25" s="13"/>
      <c r="O25" s="13"/>
      <c r="P25" s="13">
        <f>P23-P22</f>
        <v>-29272271.250623688</v>
      </c>
    </row>
    <row r="26" spans="1:20" x14ac:dyDescent="0.25">
      <c r="E26" s="7">
        <f>E24-E25</f>
        <v>842357535</v>
      </c>
      <c r="H26" s="13" t="s">
        <v>72</v>
      </c>
      <c r="I26" s="16"/>
      <c r="J26" s="13"/>
      <c r="K26" s="7"/>
      <c r="L26" s="37" t="s">
        <v>116</v>
      </c>
      <c r="M26" s="37"/>
      <c r="N26" s="37"/>
      <c r="O26" s="37"/>
      <c r="P26" s="37">
        <f>IF(P25&lt;0,0,P25/P21)</f>
        <v>0</v>
      </c>
    </row>
    <row r="27" spans="1:20" x14ac:dyDescent="0.25">
      <c r="A27" s="7" t="s">
        <v>54</v>
      </c>
      <c r="E27" s="30">
        <v>3.0200000000000001E-2</v>
      </c>
      <c r="H27" s="13" t="s">
        <v>74</v>
      </c>
      <c r="I27" s="16">
        <f>E9</f>
        <v>30000000</v>
      </c>
      <c r="J27" s="19" t="s">
        <v>44</v>
      </c>
    </row>
    <row r="28" spans="1:20" x14ac:dyDescent="0.25">
      <c r="A28" s="7" t="s">
        <v>57</v>
      </c>
      <c r="E28" s="7">
        <f>E26*E27</f>
        <v>25439197.557</v>
      </c>
      <c r="H28" s="13" t="s">
        <v>76</v>
      </c>
      <c r="I28" s="40">
        <f>-B17</f>
        <v>186927999.99999997</v>
      </c>
      <c r="J28" s="41" t="s">
        <v>56</v>
      </c>
      <c r="L28" s="55" t="s">
        <v>69</v>
      </c>
      <c r="M28" s="55"/>
    </row>
    <row r="29" spans="1:20" x14ac:dyDescent="0.25">
      <c r="A29" s="7" t="s">
        <v>60</v>
      </c>
      <c r="E29" s="7">
        <f>E9</f>
        <v>30000000</v>
      </c>
      <c r="F29" s="19" t="s">
        <v>44</v>
      </c>
      <c r="H29" s="13" t="s">
        <v>77</v>
      </c>
      <c r="I29" s="16">
        <f>SUM(I27:I28)</f>
        <v>216927999.99999997</v>
      </c>
      <c r="J29" s="13"/>
      <c r="L29" s="7" t="s">
        <v>166</v>
      </c>
    </row>
    <row r="30" spans="1:20" x14ac:dyDescent="0.25">
      <c r="A30" s="35" t="s">
        <v>61</v>
      </c>
      <c r="B30" s="36"/>
      <c r="C30" s="36"/>
      <c r="D30" s="36"/>
      <c r="E30" s="111" t="str">
        <f>IF(E29&gt;=E28,"Test Passed","Test Failed")</f>
        <v>Test Passed</v>
      </c>
      <c r="H30" s="13"/>
      <c r="I30" s="16"/>
      <c r="J30" s="13"/>
      <c r="L30" s="7" t="s">
        <v>73</v>
      </c>
      <c r="M30" s="7">
        <f>E9+'Cash-Int-Trans'!B16</f>
        <v>36000000</v>
      </c>
    </row>
    <row r="31" spans="1:20" x14ac:dyDescent="0.25">
      <c r="H31" s="13" t="s">
        <v>150</v>
      </c>
      <c r="I31" s="16">
        <f>I23</f>
        <v>-131043354.97443765</v>
      </c>
      <c r="J31" s="39" t="s">
        <v>66</v>
      </c>
      <c r="L31" s="7" t="s">
        <v>75</v>
      </c>
      <c r="M31" s="27">
        <f>E10</f>
        <v>1000</v>
      </c>
    </row>
    <row r="32" spans="1:20" x14ac:dyDescent="0.25">
      <c r="H32" s="13" t="s">
        <v>564</v>
      </c>
      <c r="I32" s="16">
        <f>(D14+D15)*(IF(I5&lt;81,81,IF(I5&gt;116,116,I5))-E14)</f>
        <v>79968000</v>
      </c>
      <c r="J32" s="39"/>
      <c r="M32" s="7">
        <f>SUM(M30:M31)</f>
        <v>36001000</v>
      </c>
    </row>
    <row r="33" spans="1:14" x14ac:dyDescent="0.25">
      <c r="A33"/>
      <c r="B33"/>
      <c r="C33"/>
      <c r="D33"/>
      <c r="E33"/>
      <c r="H33" s="7" t="s">
        <v>165</v>
      </c>
      <c r="I33" s="14">
        <f>+'Cash-Int-Trans'!B16</f>
        <v>6000000</v>
      </c>
      <c r="L33" s="7" t="s">
        <v>78</v>
      </c>
      <c r="M33" s="7">
        <f>I23</f>
        <v>-131043354.97443765</v>
      </c>
    </row>
    <row r="34" spans="1:14" x14ac:dyDescent="0.25">
      <c r="A34"/>
      <c r="B34"/>
      <c r="C34"/>
      <c r="D34"/>
      <c r="E34"/>
      <c r="H34" s="13" t="s">
        <v>151</v>
      </c>
      <c r="I34" s="16">
        <f>-I15</f>
        <v>-36873468.493150681</v>
      </c>
      <c r="J34" s="33" t="s">
        <v>59</v>
      </c>
      <c r="L34" s="7" t="s">
        <v>79</v>
      </c>
      <c r="M34" s="27">
        <f>I35</f>
        <v>-41000000</v>
      </c>
    </row>
    <row r="35" spans="1:14" x14ac:dyDescent="0.25">
      <c r="A35"/>
      <c r="B35"/>
      <c r="C35"/>
      <c r="D35"/>
      <c r="E35"/>
      <c r="H35" s="13" t="s">
        <v>152</v>
      </c>
      <c r="I35" s="16">
        <f>+'Cash-Int-Trans'!B15</f>
        <v>-41000000</v>
      </c>
      <c r="J35" s="42"/>
      <c r="L35" s="7" t="s">
        <v>80</v>
      </c>
      <c r="M35" s="7">
        <f>SUM(M32:M34)</f>
        <v>-136042354.97443765</v>
      </c>
    </row>
    <row r="36" spans="1:14" ht="16.5" thickBot="1" x14ac:dyDescent="0.3">
      <c r="A36"/>
      <c r="B36"/>
      <c r="C36"/>
      <c r="D36"/>
      <c r="E36"/>
      <c r="H36" s="37" t="s">
        <v>107</v>
      </c>
      <c r="I36" s="38">
        <f>SUM(I29:I35)</f>
        <v>93979176.532411635</v>
      </c>
      <c r="J36" s="13"/>
      <c r="L36" s="7" t="s">
        <v>158</v>
      </c>
      <c r="M36" s="7">
        <f>P12</f>
        <v>0</v>
      </c>
    </row>
    <row r="37" spans="1:14" ht="16.5" hidden="1" customHeight="1" thickBot="1" x14ac:dyDescent="0.3">
      <c r="A37"/>
      <c r="B37"/>
      <c r="C37"/>
      <c r="D37"/>
      <c r="E37"/>
      <c r="H37" s="44" t="s">
        <v>149</v>
      </c>
      <c r="I37" s="45"/>
      <c r="K37" s="7"/>
      <c r="L37" s="7" t="s">
        <v>159</v>
      </c>
      <c r="M37" s="27">
        <f>P13</f>
        <v>-136042354.97443765</v>
      </c>
    </row>
    <row r="38" spans="1:14" ht="15.75" hidden="1" customHeight="1" x14ac:dyDescent="0.25">
      <c r="A38"/>
      <c r="B38"/>
      <c r="C38"/>
      <c r="D38"/>
      <c r="E38"/>
      <c r="H38" s="46">
        <v>36634</v>
      </c>
      <c r="I38" s="13" t="s">
        <v>83</v>
      </c>
      <c r="K38" s="7"/>
      <c r="M38" s="7">
        <f>M35-M36-M37</f>
        <v>0</v>
      </c>
      <c r="N38" s="43" t="str">
        <f>IF(ROUND(M38,0)=0,"OK","Not OK")</f>
        <v>OK</v>
      </c>
    </row>
    <row r="39" spans="1:14" ht="15.75" hidden="1" customHeight="1" x14ac:dyDescent="0.25">
      <c r="A39"/>
      <c r="B39"/>
      <c r="C39"/>
      <c r="D39"/>
      <c r="E39"/>
      <c r="H39" s="49">
        <f>+Summary!C5</f>
        <v>36850</v>
      </c>
      <c r="I39" s="13" t="s">
        <v>84</v>
      </c>
      <c r="K39" s="7"/>
    </row>
    <row r="40" spans="1:14" ht="16.5" hidden="1" customHeight="1" thickBot="1" x14ac:dyDescent="0.3">
      <c r="A40"/>
      <c r="B40"/>
      <c r="C40"/>
      <c r="D40"/>
      <c r="E40"/>
      <c r="H40" s="50">
        <f>H39-H38</f>
        <v>216</v>
      </c>
      <c r="I40" s="13" t="s">
        <v>85</v>
      </c>
    </row>
    <row r="41" spans="1:14" ht="16.5" thickTop="1" x14ac:dyDescent="0.25">
      <c r="A41"/>
      <c r="B41"/>
      <c r="C41"/>
      <c r="D41"/>
      <c r="E41"/>
      <c r="H41" s="7" t="s">
        <v>565</v>
      </c>
      <c r="I41" s="7"/>
    </row>
    <row r="42" spans="1:14" x14ac:dyDescent="0.25">
      <c r="A42"/>
      <c r="B42"/>
      <c r="C42"/>
      <c r="D42"/>
      <c r="E42"/>
      <c r="I42" s="7"/>
      <c r="L42" s="7" t="s">
        <v>153</v>
      </c>
      <c r="M42" s="7">
        <f>ROUND(M35-SUM(M36:M37),0)</f>
        <v>0</v>
      </c>
      <c r="N42" s="108" t="str">
        <f>IF(M42=0,"OK","Not OK")</f>
        <v>OK</v>
      </c>
    </row>
    <row r="43" spans="1:14" x14ac:dyDescent="0.25">
      <c r="A43"/>
      <c r="B43"/>
      <c r="C43"/>
      <c r="D43"/>
      <c r="E43"/>
      <c r="I43" s="7"/>
      <c r="L43" s="47"/>
      <c r="M43" s="13"/>
    </row>
    <row r="44" spans="1:14" x14ac:dyDescent="0.25">
      <c r="A44"/>
      <c r="B44"/>
      <c r="C44"/>
      <c r="D44"/>
      <c r="E44"/>
      <c r="F44" s="7"/>
      <c r="H44" s="8"/>
      <c r="L44" s="13"/>
      <c r="M44" s="13"/>
    </row>
    <row r="45" spans="1:14" x14ac:dyDescent="0.25">
      <c r="A45"/>
      <c r="B45"/>
      <c r="C45"/>
      <c r="D45"/>
      <c r="E45"/>
      <c r="F45" s="7"/>
      <c r="I45" s="7"/>
    </row>
    <row r="46" spans="1:14" x14ac:dyDescent="0.25">
      <c r="A46"/>
      <c r="B46"/>
      <c r="C46"/>
      <c r="D46"/>
      <c r="E46"/>
      <c r="F46" s="7"/>
      <c r="I46" s="7"/>
    </row>
    <row r="47" spans="1:14" x14ac:dyDescent="0.25">
      <c r="A47"/>
      <c r="B47"/>
      <c r="C47"/>
      <c r="D47"/>
      <c r="E47"/>
      <c r="F47" s="7"/>
      <c r="I47" s="7"/>
    </row>
    <row r="48" spans="1:14" x14ac:dyDescent="0.25">
      <c r="A48"/>
      <c r="B48"/>
      <c r="C48"/>
      <c r="D48"/>
      <c r="E48"/>
      <c r="F48" s="7"/>
      <c r="I48" s="7"/>
    </row>
    <row r="49" spans="1:9" x14ac:dyDescent="0.25">
      <c r="A49"/>
      <c r="B49"/>
      <c r="C49"/>
      <c r="D49"/>
      <c r="E49"/>
      <c r="F49" s="7"/>
      <c r="I49" s="7"/>
    </row>
    <row r="50" spans="1:9" x14ac:dyDescent="0.25">
      <c r="A50"/>
      <c r="B50"/>
      <c r="C50"/>
      <c r="D50"/>
      <c r="E50"/>
      <c r="F50" s="7"/>
      <c r="I50" s="7"/>
    </row>
    <row r="51" spans="1:9" x14ac:dyDescent="0.25">
      <c r="A51"/>
      <c r="B51"/>
      <c r="C51"/>
      <c r="D51"/>
      <c r="E51"/>
      <c r="F51" s="7"/>
      <c r="I51" s="7"/>
    </row>
    <row r="52" spans="1:9" x14ac:dyDescent="0.25">
      <c r="A52"/>
      <c r="B52"/>
      <c r="C52"/>
      <c r="D52"/>
      <c r="E52"/>
      <c r="F52" s="7"/>
      <c r="I52" s="7"/>
    </row>
    <row r="53" spans="1:9" x14ac:dyDescent="0.25">
      <c r="A53"/>
      <c r="B53"/>
      <c r="C53"/>
      <c r="D53"/>
      <c r="E53"/>
      <c r="F53" s="7"/>
      <c r="I53" s="7"/>
    </row>
    <row r="54" spans="1:9" x14ac:dyDescent="0.25">
      <c r="A54"/>
      <c r="B54"/>
      <c r="C54"/>
      <c r="D54"/>
      <c r="E54"/>
      <c r="F54" s="7"/>
      <c r="I54" s="7"/>
    </row>
    <row r="55" spans="1:9" x14ac:dyDescent="0.25">
      <c r="A55"/>
      <c r="B55"/>
      <c r="C55"/>
      <c r="D55"/>
      <c r="E55"/>
      <c r="I55" s="7"/>
    </row>
    <row r="56" spans="1:9" x14ac:dyDescent="0.25">
      <c r="A56"/>
      <c r="B56"/>
      <c r="C56"/>
      <c r="D56"/>
      <c r="E56"/>
    </row>
    <row r="57" spans="1:9" x14ac:dyDescent="0.25">
      <c r="A57"/>
      <c r="B57"/>
      <c r="C57"/>
      <c r="D57"/>
      <c r="E57"/>
    </row>
    <row r="58" spans="1:9" x14ac:dyDescent="0.25">
      <c r="A58"/>
      <c r="B58"/>
      <c r="C58"/>
      <c r="D58"/>
      <c r="E58"/>
    </row>
    <row r="59" spans="1:9" x14ac:dyDescent="0.25">
      <c r="A59"/>
      <c r="B59"/>
      <c r="C59"/>
      <c r="D59"/>
      <c r="E59"/>
    </row>
    <row r="60" spans="1:9" x14ac:dyDescent="0.25">
      <c r="A60"/>
      <c r="B60"/>
      <c r="C60"/>
      <c r="D60"/>
      <c r="E60"/>
    </row>
    <row r="61" spans="1:9" x14ac:dyDescent="0.25">
      <c r="A61"/>
      <c r="B61"/>
      <c r="C61"/>
    </row>
  </sheetData>
  <mergeCells count="15">
    <mergeCell ref="A21:B21"/>
    <mergeCell ref="L7:M7"/>
    <mergeCell ref="O7:P7"/>
    <mergeCell ref="H10:I10"/>
    <mergeCell ref="A4:F4"/>
    <mergeCell ref="A5:B5"/>
    <mergeCell ref="D5:E5"/>
    <mergeCell ref="A20:E20"/>
    <mergeCell ref="H25:I25"/>
    <mergeCell ref="H2:I2"/>
    <mergeCell ref="H3:I3"/>
    <mergeCell ref="L5:P5"/>
    <mergeCell ref="L2:P2"/>
    <mergeCell ref="L3:P3"/>
    <mergeCell ref="H7:I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F85"/>
  <sheetViews>
    <sheetView showGridLines="0" topLeftCell="A14" workbookViewId="0">
      <selection activeCell="D39" sqref="D39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</cols>
  <sheetData>
    <row r="1" spans="1:4" ht="16.5" thickBot="1" x14ac:dyDescent="0.3">
      <c r="A1" s="302" t="s">
        <v>113</v>
      </c>
      <c r="B1" s="302"/>
    </row>
    <row r="3" spans="1:4" x14ac:dyDescent="0.25">
      <c r="A3" s="13" t="s">
        <v>125</v>
      </c>
      <c r="B3" s="14"/>
      <c r="C3" s="7"/>
    </row>
    <row r="4" spans="1:4" x14ac:dyDescent="0.25">
      <c r="A4" s="8" t="s">
        <v>89</v>
      </c>
      <c r="B4" s="16">
        <f>IF(Summary!C5&lt;'Cash-Int-Trans'!D4,0,37034148)</f>
        <v>37034148</v>
      </c>
      <c r="C4" s="7"/>
      <c r="D4" s="1">
        <v>36741</v>
      </c>
    </row>
    <row r="5" spans="1:4" x14ac:dyDescent="0.25">
      <c r="A5" s="7"/>
      <c r="B5" s="14"/>
      <c r="C5" s="7"/>
    </row>
    <row r="6" spans="1:4" ht="16.5" thickBot="1" x14ac:dyDescent="0.3">
      <c r="A6" s="7" t="s">
        <v>90</v>
      </c>
      <c r="B6" s="276">
        <f>SUM(B3:B5)</f>
        <v>37034148</v>
      </c>
      <c r="C6" s="29" t="s">
        <v>91</v>
      </c>
    </row>
    <row r="7" spans="1:4" ht="16.5" thickTop="1" x14ac:dyDescent="0.25">
      <c r="A7" s="7"/>
      <c r="B7" s="14"/>
      <c r="C7" s="7"/>
    </row>
    <row r="8" spans="1:4" x14ac:dyDescent="0.25">
      <c r="A8" s="7" t="s">
        <v>99</v>
      </c>
      <c r="B8" s="14">
        <f>IF(Summary!C5&lt;'Cash-Int-Trans'!D8,0,-Financials!E6+B4)</f>
        <v>-3965852</v>
      </c>
      <c r="C8" s="7"/>
      <c r="D8" s="1">
        <v>36741</v>
      </c>
    </row>
    <row r="9" spans="1:4" x14ac:dyDescent="0.25">
      <c r="A9" s="7" t="s">
        <v>550</v>
      </c>
      <c r="B9" s="14">
        <f>-B8</f>
        <v>3965852</v>
      </c>
      <c r="C9" s="7"/>
      <c r="D9" s="1">
        <f>+D8</f>
        <v>36741</v>
      </c>
    </row>
    <row r="10" spans="1:4" x14ac:dyDescent="0.25">
      <c r="A10" s="7"/>
      <c r="B10" s="7"/>
      <c r="C10" s="7"/>
    </row>
    <row r="11" spans="1:4" x14ac:dyDescent="0.25">
      <c r="A11" s="7" t="s">
        <v>543</v>
      </c>
      <c r="B11" s="14">
        <f>IF(Summary!C5&lt;'Cash-Int-Trans'!D11,0,36066314)</f>
        <v>36066314</v>
      </c>
      <c r="C11" s="7"/>
      <c r="D11" s="1">
        <v>36741</v>
      </c>
    </row>
    <row r="12" spans="1:4" x14ac:dyDescent="0.25">
      <c r="A12" s="7" t="s">
        <v>545</v>
      </c>
      <c r="B12" s="14">
        <f>-B11</f>
        <v>-36066314</v>
      </c>
      <c r="C12" s="7"/>
      <c r="D12" s="1">
        <f>+D11</f>
        <v>36741</v>
      </c>
    </row>
    <row r="13" spans="1:4" x14ac:dyDescent="0.25">
      <c r="A13" s="7"/>
      <c r="B13" s="7"/>
      <c r="C13" s="7"/>
    </row>
    <row r="14" spans="1:4" x14ac:dyDescent="0.25">
      <c r="A14" s="7" t="s">
        <v>100</v>
      </c>
      <c r="B14" s="14"/>
      <c r="C14" s="7"/>
    </row>
    <row r="15" spans="1:4" x14ac:dyDescent="0.25">
      <c r="A15" s="7" t="s">
        <v>551</v>
      </c>
      <c r="B15" s="14">
        <f>IF(Summary!C5&lt;'Cash-Int-Trans'!D15,0,-41000000)</f>
        <v>-41000000</v>
      </c>
      <c r="C15" s="7"/>
      <c r="D15" s="1">
        <v>36741</v>
      </c>
    </row>
    <row r="16" spans="1:4" x14ac:dyDescent="0.25">
      <c r="A16" s="7" t="s">
        <v>552</v>
      </c>
      <c r="B16" s="14">
        <f>IF(Summary!$C$5&lt;'Cash-Int-Trans'!D16,0,6000000)</f>
        <v>6000000</v>
      </c>
      <c r="C16" s="7"/>
      <c r="D16" s="1">
        <v>36741</v>
      </c>
    </row>
    <row r="17" spans="1:4" x14ac:dyDescent="0.25">
      <c r="A17" s="7"/>
      <c r="B17" s="14"/>
      <c r="C17" s="7"/>
      <c r="D17" s="1"/>
    </row>
    <row r="18" spans="1:4" x14ac:dyDescent="0.25">
      <c r="A18" s="7" t="s">
        <v>556</v>
      </c>
      <c r="B18" s="14">
        <f>IF(Summary!$C$5&lt;'Cash-Int-Trans'!D18,0,-Amort!D11)</f>
        <v>-1613888.888888889</v>
      </c>
      <c r="C18" s="7"/>
      <c r="D18" s="1">
        <v>36800</v>
      </c>
    </row>
    <row r="19" spans="1:4" x14ac:dyDescent="0.25">
      <c r="A19" s="7" t="s">
        <v>555</v>
      </c>
      <c r="B19" s="14">
        <f>-B18</f>
        <v>1613888.888888889</v>
      </c>
      <c r="C19" s="7"/>
      <c r="D19" s="1">
        <f>+D18</f>
        <v>36800</v>
      </c>
    </row>
    <row r="20" spans="1:4" x14ac:dyDescent="0.25">
      <c r="A20" s="7"/>
      <c r="B20" s="14"/>
      <c r="C20" s="7"/>
    </row>
    <row r="21" spans="1:4" ht="16.5" thickBot="1" x14ac:dyDescent="0.3">
      <c r="A21" s="302" t="s">
        <v>108</v>
      </c>
      <c r="B21" s="302"/>
    </row>
    <row r="23" spans="1:4" x14ac:dyDescent="0.25">
      <c r="A23" t="s">
        <v>27</v>
      </c>
      <c r="B23" s="7">
        <f>+Financials!B6</f>
        <v>71001000</v>
      </c>
      <c r="D23" s="1">
        <v>36634</v>
      </c>
    </row>
    <row r="25" spans="1:4" x14ac:dyDescent="0.25">
      <c r="A25" t="s">
        <v>109</v>
      </c>
      <c r="B25" s="7">
        <f>+Financials!I23</f>
        <v>-131043354.97443765</v>
      </c>
    </row>
    <row r="26" spans="1:4" x14ac:dyDescent="0.25">
      <c r="A26" t="s">
        <v>110</v>
      </c>
      <c r="B26" s="7">
        <f>-Financials!I15</f>
        <v>-36873468.493150681</v>
      </c>
    </row>
    <row r="27" spans="1:4" x14ac:dyDescent="0.25">
      <c r="A27" s="7" t="str">
        <f>+Financials!H19</f>
        <v>Unrealized Gains / (Losses)</v>
      </c>
      <c r="B27" s="7">
        <f>-Financials!I19</f>
        <v>193330437.50353804</v>
      </c>
    </row>
    <row r="29" spans="1:4" x14ac:dyDescent="0.25">
      <c r="A29" t="s">
        <v>112</v>
      </c>
    </row>
    <row r="30" spans="1:4" x14ac:dyDescent="0.25">
      <c r="A30" t="s">
        <v>114</v>
      </c>
      <c r="B30" s="7">
        <f>+Financials!B7-Financials!M9</f>
        <v>0</v>
      </c>
    </row>
    <row r="31" spans="1:4" x14ac:dyDescent="0.25">
      <c r="A31" t="s">
        <v>45</v>
      </c>
      <c r="B31" s="7">
        <f>0-Financials!M11</f>
        <v>-486111.11111111112</v>
      </c>
    </row>
    <row r="32" spans="1:4" x14ac:dyDescent="0.25">
      <c r="A32" t="s">
        <v>115</v>
      </c>
      <c r="B32" s="7">
        <f>-Financials!E7+Financials!P11</f>
        <v>-15858869.108023226</v>
      </c>
    </row>
    <row r="33" spans="1:6" x14ac:dyDescent="0.25">
      <c r="A33" t="s">
        <v>554</v>
      </c>
      <c r="B33" s="7">
        <f>-Financials!E6+Financials!P8+Financials!P9</f>
        <v>-4933686</v>
      </c>
      <c r="E33" s="7"/>
    </row>
    <row r="35" spans="1:6" x14ac:dyDescent="0.25">
      <c r="A35" t="s">
        <v>100</v>
      </c>
      <c r="B35" s="7">
        <f>+B15</f>
        <v>-41000000</v>
      </c>
    </row>
    <row r="36" spans="1:6" x14ac:dyDescent="0.25">
      <c r="A36" t="s">
        <v>124</v>
      </c>
      <c r="B36" s="7">
        <f>+B16</f>
        <v>6000000</v>
      </c>
    </row>
    <row r="38" spans="1:6" ht="16.5" thickBot="1" x14ac:dyDescent="0.3">
      <c r="A38" t="s">
        <v>29</v>
      </c>
      <c r="B38" s="12">
        <f>SUM(B23:B37)</f>
        <v>40135947.816815376</v>
      </c>
      <c r="D38" s="7">
        <f>+B23+B15+B16+B41+B19</f>
        <v>40135947.816815369</v>
      </c>
    </row>
    <row r="39" spans="1:6" ht="16.5" thickTop="1" x14ac:dyDescent="0.25"/>
    <row r="40" spans="1:6" ht="16.5" thickBot="1" x14ac:dyDescent="0.3">
      <c r="A40" s="302" t="s">
        <v>160</v>
      </c>
      <c r="B40" s="302"/>
      <c r="C40" s="302"/>
      <c r="D40" s="302"/>
      <c r="E40" s="302"/>
      <c r="F40" s="302"/>
    </row>
    <row r="41" spans="1:6" x14ac:dyDescent="0.25">
      <c r="A41" s="112" t="s">
        <v>118</v>
      </c>
      <c r="B41" s="113">
        <f>+B47+B53+B59</f>
        <v>2521058.9279264817</v>
      </c>
    </row>
    <row r="42" spans="1:6" x14ac:dyDescent="0.25">
      <c r="A42" s="53"/>
      <c r="E42" s="222" t="s">
        <v>82</v>
      </c>
      <c r="F42" s="223"/>
    </row>
    <row r="43" spans="1:6" x14ac:dyDescent="0.25">
      <c r="A43" t="s">
        <v>1</v>
      </c>
      <c r="B43" s="1">
        <v>36634</v>
      </c>
      <c r="E43" s="47">
        <v>36631</v>
      </c>
      <c r="F43" s="48">
        <v>6.9199999999999998E-2</v>
      </c>
    </row>
    <row r="44" spans="1:6" x14ac:dyDescent="0.25">
      <c r="A44" t="s">
        <v>27</v>
      </c>
      <c r="B44" s="7">
        <v>71001000</v>
      </c>
      <c r="E44" s="47">
        <v>36661</v>
      </c>
      <c r="F44" s="48">
        <v>7.3300000000000004E-2</v>
      </c>
    </row>
    <row r="45" spans="1:6" x14ac:dyDescent="0.25">
      <c r="A45" t="s">
        <v>1</v>
      </c>
      <c r="B45" s="1">
        <f>IF(Summary!$C$5&lt;'Cash-Int-Trans'!B43,+'Cash-Int-Trans'!B43,IF(Summary!$C$5&gt;'Cash-Int-Trans'!D45,'Cash-Int-Trans'!D45,Summary!$C$5))</f>
        <v>36741</v>
      </c>
      <c r="D45" s="1">
        <v>36741</v>
      </c>
      <c r="E45" s="47">
        <v>36692</v>
      </c>
      <c r="F45" s="48">
        <v>7.3999999999999996E-2</v>
      </c>
    </row>
    <row r="46" spans="1:6" x14ac:dyDescent="0.25">
      <c r="A46" t="s">
        <v>81</v>
      </c>
      <c r="B46" s="3">
        <f>+B45-B43</f>
        <v>107</v>
      </c>
      <c r="E46" s="47">
        <v>36722</v>
      </c>
      <c r="F46" s="48">
        <v>7.3300000000000004E-2</v>
      </c>
    </row>
    <row r="47" spans="1:6" x14ac:dyDescent="0.25">
      <c r="A47" t="s">
        <v>28</v>
      </c>
      <c r="B47" s="54">
        <f>+B44*(F47+0.0045)/360*B46</f>
        <v>1623881.6212500003</v>
      </c>
      <c r="E47" s="51" t="s">
        <v>86</v>
      </c>
      <c r="F47" s="52">
        <f>AVERAGE(F43:F46)</f>
        <v>7.2450000000000014E-2</v>
      </c>
    </row>
    <row r="49" spans="1:6" x14ac:dyDescent="0.25">
      <c r="A49" t="s">
        <v>1</v>
      </c>
      <c r="B49" s="1">
        <f>+D45</f>
        <v>36741</v>
      </c>
      <c r="E49" s="47">
        <v>36722</v>
      </c>
      <c r="F49" s="48">
        <v>7.3300000000000004E-2</v>
      </c>
    </row>
    <row r="50" spans="1:6" x14ac:dyDescent="0.25">
      <c r="A50" t="s">
        <v>27</v>
      </c>
      <c r="B50" s="7">
        <v>37624882</v>
      </c>
      <c r="E50" s="1">
        <v>36753</v>
      </c>
      <c r="F50" s="48">
        <v>7.2400000000000006E-2</v>
      </c>
    </row>
    <row r="51" spans="1:6" x14ac:dyDescent="0.25">
      <c r="A51" t="s">
        <v>1</v>
      </c>
      <c r="B51" s="1">
        <f>IF(Summary!$C$5&lt;'Cash-Int-Trans'!B49,+'Cash-Int-Trans'!B49,IF(Summary!$C$5&gt;'Cash-Int-Trans'!D51,'Cash-Int-Trans'!D51,Summary!$C$5))</f>
        <v>36800</v>
      </c>
      <c r="D51" s="1">
        <v>36800</v>
      </c>
      <c r="E51" s="1">
        <v>36784</v>
      </c>
      <c r="F51" s="48">
        <v>7.1999999999999995E-2</v>
      </c>
    </row>
    <row r="52" spans="1:6" x14ac:dyDescent="0.25">
      <c r="A52" t="s">
        <v>81</v>
      </c>
      <c r="B52" s="3">
        <f>+B51-B49</f>
        <v>59</v>
      </c>
      <c r="D52" s="7"/>
      <c r="E52" s="51" t="s">
        <v>86</v>
      </c>
      <c r="F52" s="52">
        <f>AVERAGE(F49:F51)</f>
        <v>7.2566666666666668E-2</v>
      </c>
    </row>
    <row r="53" spans="1:6" x14ac:dyDescent="0.25">
      <c r="A53" t="s">
        <v>28</v>
      </c>
      <c r="B53" s="54">
        <f>+B50*(F52+0.0045)/360*B52</f>
        <v>475216.1948014815</v>
      </c>
    </row>
    <row r="55" spans="1:6" x14ac:dyDescent="0.25">
      <c r="A55" t="s">
        <v>1</v>
      </c>
      <c r="B55" s="1">
        <f>+D51</f>
        <v>36800</v>
      </c>
      <c r="E55" s="1">
        <v>36784</v>
      </c>
      <c r="F55" s="48">
        <v>7.1999999999999995E-2</v>
      </c>
    </row>
    <row r="56" spans="1:6" x14ac:dyDescent="0.25">
      <c r="A56" t="s">
        <v>27</v>
      </c>
      <c r="B56" s="7">
        <v>39713987</v>
      </c>
      <c r="E56" s="1">
        <v>36814</v>
      </c>
      <c r="F56" s="48"/>
    </row>
    <row r="57" spans="1:6" x14ac:dyDescent="0.25">
      <c r="A57" t="s">
        <v>1</v>
      </c>
      <c r="B57" s="1">
        <f>IF(Summary!$C$5&lt;'Cash-Int-Trans'!B55,+'Cash-Int-Trans'!B55,Summary!$C$5)</f>
        <v>36850</v>
      </c>
      <c r="E57" s="1">
        <v>36845</v>
      </c>
      <c r="F57" s="48"/>
    </row>
    <row r="58" spans="1:6" x14ac:dyDescent="0.25">
      <c r="A58" t="s">
        <v>81</v>
      </c>
      <c r="B58" s="3">
        <f>+B57-B55</f>
        <v>50</v>
      </c>
      <c r="E58" s="51" t="s">
        <v>86</v>
      </c>
      <c r="F58" s="52">
        <f>AVERAGE(F55:F57)</f>
        <v>7.1999999999999995E-2</v>
      </c>
    </row>
    <row r="59" spans="1:6" x14ac:dyDescent="0.25">
      <c r="A59" t="s">
        <v>28</v>
      </c>
      <c r="B59" s="54">
        <f>+B56*(F58+0.0045)/360*B58</f>
        <v>421961.111875</v>
      </c>
    </row>
    <row r="61" spans="1:6" ht="16.5" thickBot="1" x14ac:dyDescent="0.3">
      <c r="A61" s="302" t="s">
        <v>198</v>
      </c>
      <c r="B61" s="302"/>
      <c r="C61" s="302"/>
      <c r="D61" s="302"/>
      <c r="E61" s="302"/>
      <c r="F61" s="302"/>
    </row>
    <row r="62" spans="1:6" x14ac:dyDescent="0.25">
      <c r="A62" s="112" t="s">
        <v>195</v>
      </c>
      <c r="B62" s="113">
        <f>+B64+B71+B77</f>
        <v>16241592.891976776</v>
      </c>
    </row>
    <row r="63" spans="1:6" x14ac:dyDescent="0.25">
      <c r="A63" s="53"/>
    </row>
    <row r="64" spans="1:6" x14ac:dyDescent="0.25">
      <c r="A64" t="s">
        <v>199</v>
      </c>
      <c r="B64" s="3">
        <f>+Amort!B61</f>
        <v>16609856.525476776</v>
      </c>
      <c r="E64" s="303"/>
      <c r="F64" s="304"/>
    </row>
    <row r="65" spans="1:6" x14ac:dyDescent="0.25">
      <c r="B65" s="3"/>
      <c r="E65" s="222"/>
      <c r="F65" s="223"/>
    </row>
    <row r="66" spans="1:6" x14ac:dyDescent="0.25">
      <c r="A66" t="s">
        <v>509</v>
      </c>
      <c r="B66" s="7"/>
      <c r="E66" s="47"/>
      <c r="F66" s="48"/>
    </row>
    <row r="67" spans="1:6" x14ac:dyDescent="0.25">
      <c r="A67" t="s">
        <v>200</v>
      </c>
      <c r="B67" s="1">
        <v>36741</v>
      </c>
      <c r="E67" s="47"/>
      <c r="F67" s="48"/>
    </row>
    <row r="68" spans="1:6" x14ac:dyDescent="0.25">
      <c r="A68" t="s">
        <v>201</v>
      </c>
      <c r="B68" s="3">
        <f>+B9</f>
        <v>3965852</v>
      </c>
      <c r="E68" s="47"/>
      <c r="F68" s="48"/>
    </row>
    <row r="69" spans="1:6" x14ac:dyDescent="0.25">
      <c r="A69" t="s">
        <v>1</v>
      </c>
      <c r="B69" s="1">
        <f>IF(Summary!C5&gt;Amort!A43,Amort!A43,Summary!C5)</f>
        <v>36800</v>
      </c>
    </row>
    <row r="70" spans="1:6" x14ac:dyDescent="0.25">
      <c r="A70" t="s">
        <v>81</v>
      </c>
      <c r="B70" s="3">
        <f>+B69-B67</f>
        <v>59</v>
      </c>
    </row>
    <row r="71" spans="1:6" x14ac:dyDescent="0.25">
      <c r="A71" t="s">
        <v>508</v>
      </c>
      <c r="B71" s="54">
        <f>+B68*0.07/360*B70</f>
        <v>45497.135444444444</v>
      </c>
    </row>
    <row r="73" spans="1:6" x14ac:dyDescent="0.25">
      <c r="A73" t="s">
        <v>200</v>
      </c>
      <c r="B73" s="1">
        <f>+D12</f>
        <v>36741</v>
      </c>
    </row>
    <row r="74" spans="1:6" x14ac:dyDescent="0.25">
      <c r="A74" t="s">
        <v>201</v>
      </c>
      <c r="B74" s="3">
        <f>+B12</f>
        <v>-36066314</v>
      </c>
    </row>
    <row r="75" spans="1:6" x14ac:dyDescent="0.25">
      <c r="A75" t="s">
        <v>1</v>
      </c>
      <c r="B75" s="1">
        <f>IF(Summary!C5&gt;Amort!A43,Amort!A43,Summary!C5)</f>
        <v>36800</v>
      </c>
    </row>
    <row r="76" spans="1:6" x14ac:dyDescent="0.25">
      <c r="A76" t="s">
        <v>81</v>
      </c>
      <c r="B76" s="3">
        <f>+B75-B73</f>
        <v>59</v>
      </c>
    </row>
    <row r="77" spans="1:6" x14ac:dyDescent="0.25">
      <c r="A77" t="s">
        <v>508</v>
      </c>
      <c r="B77" s="54">
        <f>+B74*0.07/360*B76</f>
        <v>-413760.76894444448</v>
      </c>
    </row>
    <row r="79" spans="1:6" ht="16.5" thickBot="1" x14ac:dyDescent="0.3">
      <c r="A79" s="302" t="s">
        <v>513</v>
      </c>
      <c r="B79" s="302"/>
      <c r="C79" s="302"/>
      <c r="D79" s="302"/>
      <c r="E79" s="302"/>
      <c r="F79" s="302"/>
    </row>
    <row r="81" spans="1:4" x14ac:dyDescent="0.25">
      <c r="A81" t="s">
        <v>129</v>
      </c>
      <c r="B81" s="1">
        <f>+Summary!C5</f>
        <v>36850</v>
      </c>
    </row>
    <row r="82" spans="1:4" x14ac:dyDescent="0.25">
      <c r="A82" t="s">
        <v>514</v>
      </c>
      <c r="B82" s="1">
        <v>36634</v>
      </c>
      <c r="D82" s="4">
        <f>IF(B81&gt;(B82-1),30000000,0)</f>
        <v>30000000</v>
      </c>
    </row>
    <row r="83" spans="1:4" x14ac:dyDescent="0.25">
      <c r="A83" t="s">
        <v>515</v>
      </c>
      <c r="B83" s="1">
        <v>36741</v>
      </c>
      <c r="D83" s="4">
        <f>IF(B81&gt;(B83-1),6000000,0)</f>
        <v>6000000</v>
      </c>
    </row>
    <row r="84" spans="1:4" ht="18" x14ac:dyDescent="0.4">
      <c r="A84" t="s">
        <v>516</v>
      </c>
      <c r="B84" s="1">
        <f>+Summary!C5</f>
        <v>36850</v>
      </c>
      <c r="D84" s="225">
        <f>IF(B84&gt;B83,+(+B84-B83)/365*0.12*D83,0)</f>
        <v>215013.69863013699</v>
      </c>
    </row>
    <row r="85" spans="1:4" x14ac:dyDescent="0.25">
      <c r="A85" t="s">
        <v>517</v>
      </c>
      <c r="D85" s="5">
        <f>SUM(D82:D84)</f>
        <v>36215013.698630139</v>
      </c>
    </row>
  </sheetData>
  <mergeCells count="6">
    <mergeCell ref="A79:F79"/>
    <mergeCell ref="A1:B1"/>
    <mergeCell ref="A40:F40"/>
    <mergeCell ref="A61:F61"/>
    <mergeCell ref="E64:F64"/>
    <mergeCell ref="A21:B21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20" max="16383" man="1"/>
    <brk id="38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0"/>
  <sheetViews>
    <sheetView topLeftCell="A6" workbookViewId="0">
      <selection activeCell="A9" sqref="A9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16384" width="9" style="7"/>
  </cols>
  <sheetData>
    <row r="1" spans="1:9" x14ac:dyDescent="0.25">
      <c r="A1" s="6" t="s">
        <v>192</v>
      </c>
      <c r="B1" s="6"/>
      <c r="G1" s="8"/>
      <c r="H1" s="8"/>
    </row>
    <row r="2" spans="1:9" x14ac:dyDescent="0.25">
      <c r="B2" s="114" t="s">
        <v>161</v>
      </c>
    </row>
    <row r="3" spans="1:9" x14ac:dyDescent="0.25">
      <c r="A3" s="7" t="s">
        <v>22</v>
      </c>
      <c r="B3" s="115">
        <v>50000000</v>
      </c>
    </row>
    <row r="4" spans="1:9" x14ac:dyDescent="0.25">
      <c r="A4" s="7" t="s">
        <v>23</v>
      </c>
      <c r="B4" s="116">
        <v>7.0000000000000007E-2</v>
      </c>
    </row>
    <row r="5" spans="1:9" x14ac:dyDescent="0.25">
      <c r="A5" s="7" t="s">
        <v>24</v>
      </c>
      <c r="B5" s="117">
        <f>5*12</f>
        <v>60</v>
      </c>
    </row>
    <row r="6" spans="1:9" x14ac:dyDescent="0.25">
      <c r="A6" s="7" t="s">
        <v>25</v>
      </c>
      <c r="B6" s="118">
        <v>2</v>
      </c>
    </row>
    <row r="7" spans="1:9" x14ac:dyDescent="0.25">
      <c r="A7" s="7" t="s">
        <v>26</v>
      </c>
      <c r="B7" s="7">
        <v>0</v>
      </c>
    </row>
    <row r="9" spans="1:9" s="9" customFormat="1" ht="25.5" x14ac:dyDescent="0.2">
      <c r="B9" s="11" t="s">
        <v>95</v>
      </c>
      <c r="C9" s="10" t="s">
        <v>27</v>
      </c>
      <c r="D9" s="10" t="s">
        <v>26</v>
      </c>
      <c r="E9" s="10" t="s">
        <v>22</v>
      </c>
      <c r="F9" s="10" t="s">
        <v>28</v>
      </c>
      <c r="G9" s="10" t="s">
        <v>29</v>
      </c>
      <c r="H9" s="10" t="s">
        <v>196</v>
      </c>
    </row>
    <row r="10" spans="1:9" x14ac:dyDescent="0.25">
      <c r="A10" s="1">
        <v>36634</v>
      </c>
      <c r="B10" s="107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36634</v>
      </c>
    </row>
    <row r="11" spans="1:9" x14ac:dyDescent="0.25">
      <c r="A11" s="1">
        <v>36800</v>
      </c>
      <c r="B11" s="107">
        <f t="shared" ref="B11:B20" si="3">+B10+1</f>
        <v>1</v>
      </c>
      <c r="C11" s="7">
        <f t="shared" ref="C11:C20" si="4">G10</f>
        <v>50000000</v>
      </c>
      <c r="D11" s="7">
        <f>+F11</f>
        <v>1613888.888888889</v>
      </c>
      <c r="E11" s="7">
        <f t="shared" si="0"/>
        <v>0</v>
      </c>
      <c r="F11" s="7">
        <f>C11*$B$4/360*(A11-A10)</f>
        <v>1613888.888888889</v>
      </c>
      <c r="G11" s="7">
        <f t="shared" si="1"/>
        <v>50000000</v>
      </c>
      <c r="H11" s="7">
        <f t="shared" ref="H11:H20" si="5">+H10+F11</f>
        <v>1613888.888888889</v>
      </c>
      <c r="I11" s="1">
        <f t="shared" si="2"/>
        <v>36800</v>
      </c>
    </row>
    <row r="12" spans="1:9" x14ac:dyDescent="0.25">
      <c r="A12" s="1">
        <v>36982</v>
      </c>
      <c r="B12" s="107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3383333.3333333335</v>
      </c>
      <c r="I12" s="1">
        <f t="shared" si="2"/>
        <v>36982</v>
      </c>
    </row>
    <row r="13" spans="1:9" x14ac:dyDescent="0.25">
      <c r="A13" s="1">
        <v>37165</v>
      </c>
      <c r="B13" s="107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5162500</v>
      </c>
      <c r="I13" s="1">
        <f t="shared" si="2"/>
        <v>37165</v>
      </c>
    </row>
    <row r="14" spans="1:9" x14ac:dyDescent="0.25">
      <c r="A14" s="1">
        <v>37347</v>
      </c>
      <c r="B14" s="107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6931944.444444444</v>
      </c>
      <c r="I14" s="1">
        <f t="shared" si="2"/>
        <v>37347</v>
      </c>
    </row>
    <row r="15" spans="1:9" x14ac:dyDescent="0.25">
      <c r="A15" s="1">
        <v>37530</v>
      </c>
      <c r="B15" s="107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8711111.1111111101</v>
      </c>
      <c r="I15" s="1">
        <f t="shared" si="2"/>
        <v>37530</v>
      </c>
    </row>
    <row r="16" spans="1:9" x14ac:dyDescent="0.25">
      <c r="A16" s="1">
        <v>37712</v>
      </c>
      <c r="B16" s="107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10480555.555555554</v>
      </c>
      <c r="I16" s="1">
        <f t="shared" si="2"/>
        <v>37712</v>
      </c>
    </row>
    <row r="17" spans="1:9" x14ac:dyDescent="0.25">
      <c r="A17" s="1">
        <v>37895</v>
      </c>
      <c r="B17" s="107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12259722.22222222</v>
      </c>
      <c r="I17" s="1">
        <f t="shared" si="2"/>
        <v>37895</v>
      </c>
    </row>
    <row r="18" spans="1:9" x14ac:dyDescent="0.25">
      <c r="A18" s="1">
        <v>38078</v>
      </c>
      <c r="B18" s="107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14038888.888888886</v>
      </c>
      <c r="I18" s="1">
        <f t="shared" si="2"/>
        <v>38078</v>
      </c>
    </row>
    <row r="19" spans="1:9" x14ac:dyDescent="0.25">
      <c r="A19" s="1">
        <v>38261</v>
      </c>
      <c r="B19" s="107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15818055.555555552</v>
      </c>
      <c r="I19" s="1">
        <f t="shared" si="2"/>
        <v>38261</v>
      </c>
    </row>
    <row r="20" spans="1:9" x14ac:dyDescent="0.25">
      <c r="A20" s="1">
        <v>38443</v>
      </c>
      <c r="B20" s="107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17587499.999999996</v>
      </c>
      <c r="I20" s="1">
        <f t="shared" si="2"/>
        <v>38443</v>
      </c>
    </row>
    <row r="21" spans="1:9" ht="16.5" thickBot="1" x14ac:dyDescent="0.3">
      <c r="A21" s="1"/>
      <c r="B21" s="1"/>
      <c r="D21" s="12">
        <f>SUM(D11:D20)</f>
        <v>17587499.999999996</v>
      </c>
      <c r="E21" s="12">
        <f>SUM(E11:E20)</f>
        <v>0</v>
      </c>
      <c r="F21" s="12">
        <f>SUM(F11:F20)</f>
        <v>17587499.999999996</v>
      </c>
    </row>
    <row r="22" spans="1:9" s="104" customFormat="1" ht="16.5" thickTop="1" x14ac:dyDescent="0.25">
      <c r="A22" s="119"/>
      <c r="B22" s="119"/>
    </row>
    <row r="23" spans="1:9" s="104" customFormat="1" x14ac:dyDescent="0.25">
      <c r="A23" s="305">
        <f>+Summary!C5</f>
        <v>36850</v>
      </c>
      <c r="B23" s="305"/>
      <c r="E23" s="104" t="s">
        <v>95</v>
      </c>
      <c r="F23" s="104">
        <f>VLOOKUP(+A23,Amort,2)</f>
        <v>1</v>
      </c>
    </row>
    <row r="24" spans="1:9" s="104" customFormat="1" x14ac:dyDescent="0.25">
      <c r="A24" s="104" t="s">
        <v>92</v>
      </c>
      <c r="B24" s="104">
        <v>0</v>
      </c>
      <c r="E24" s="104" t="s">
        <v>1</v>
      </c>
      <c r="F24" s="119">
        <f>VLOOKUP(+A23,Amort,1)</f>
        <v>36800</v>
      </c>
    </row>
    <row r="25" spans="1:9" s="104" customFormat="1" x14ac:dyDescent="0.25">
      <c r="A25" s="104" t="s">
        <v>93</v>
      </c>
      <c r="B25" s="142">
        <f>VLOOKUP(+A23,Note,8)</f>
        <v>1613888.888888889</v>
      </c>
      <c r="E25" s="104" t="s">
        <v>96</v>
      </c>
      <c r="F25" s="104">
        <f>VLOOKUP(+F23+1,NotePeriod,5)</f>
        <v>1769444.4444444445</v>
      </c>
    </row>
    <row r="26" spans="1:9" s="104" customFormat="1" x14ac:dyDescent="0.25">
      <c r="A26" s="119" t="s">
        <v>94</v>
      </c>
      <c r="B26" s="104">
        <f>+B24+B25</f>
        <v>1613888.888888889</v>
      </c>
      <c r="E26" s="104" t="s">
        <v>97</v>
      </c>
      <c r="F26" s="119">
        <f>VLOOKUP(+F23+1,NotePeriod,8)</f>
        <v>36982</v>
      </c>
    </row>
    <row r="27" spans="1:9" s="104" customFormat="1" x14ac:dyDescent="0.25">
      <c r="A27" s="119" t="s">
        <v>98</v>
      </c>
      <c r="B27" s="104">
        <f>A23-F24</f>
        <v>50</v>
      </c>
      <c r="E27" s="119"/>
    </row>
    <row r="28" spans="1:9" s="104" customFormat="1" x14ac:dyDescent="0.25">
      <c r="A28" s="119" t="s">
        <v>30</v>
      </c>
      <c r="B28" s="104">
        <f>F25*B27/(F26-F24)</f>
        <v>486111.11111111112</v>
      </c>
    </row>
    <row r="29" spans="1:9" s="104" customFormat="1" x14ac:dyDescent="0.25">
      <c r="A29" s="119" t="s">
        <v>31</v>
      </c>
      <c r="B29" s="104">
        <f>+B25+B28</f>
        <v>2100000</v>
      </c>
    </row>
    <row r="30" spans="1:9" s="104" customFormat="1" x14ac:dyDescent="0.25"/>
    <row r="31" spans="1:9" s="104" customFormat="1" x14ac:dyDescent="0.25"/>
    <row r="32" spans="1:9" s="104" customFormat="1" x14ac:dyDescent="0.25"/>
    <row r="33" spans="1:9" s="104" customFormat="1" x14ac:dyDescent="0.25"/>
    <row r="34" spans="1:9" s="104" customFormat="1" x14ac:dyDescent="0.25"/>
    <row r="35" spans="1:9" s="104" customFormat="1" x14ac:dyDescent="0.25">
      <c r="A35" s="6" t="s">
        <v>193</v>
      </c>
      <c r="B35" s="6"/>
      <c r="C35" s="7"/>
      <c r="D35" s="7"/>
      <c r="E35" s="7"/>
      <c r="F35" s="7"/>
      <c r="G35" s="8"/>
      <c r="H35" s="103"/>
    </row>
    <row r="36" spans="1:9" s="104" customFormat="1" x14ac:dyDescent="0.25">
      <c r="A36" s="7"/>
      <c r="B36" s="114" t="s">
        <v>161</v>
      </c>
      <c r="C36" s="7"/>
      <c r="D36" s="7"/>
      <c r="E36" s="7"/>
      <c r="F36" s="7"/>
      <c r="G36" s="7"/>
      <c r="H36" s="103"/>
    </row>
    <row r="37" spans="1:9" s="104" customFormat="1" x14ac:dyDescent="0.25">
      <c r="A37" s="7" t="s">
        <v>22</v>
      </c>
      <c r="B37" s="115">
        <v>400000000</v>
      </c>
      <c r="C37" s="7"/>
      <c r="D37" s="7"/>
      <c r="E37" s="7"/>
      <c r="F37" s="7"/>
      <c r="G37" s="7"/>
      <c r="H37" s="103"/>
    </row>
    <row r="38" spans="1:9" s="104" customFormat="1" x14ac:dyDescent="0.25">
      <c r="A38" s="7" t="s">
        <v>23</v>
      </c>
      <c r="B38" s="116">
        <v>7.0000000000000007E-2</v>
      </c>
      <c r="C38" s="7"/>
      <c r="D38" s="7"/>
      <c r="E38" s="7"/>
      <c r="F38" s="7"/>
      <c r="G38" s="7"/>
      <c r="H38" s="103"/>
    </row>
    <row r="39" spans="1:9" s="104" customFormat="1" x14ac:dyDescent="0.25">
      <c r="A39" s="7" t="s">
        <v>25</v>
      </c>
      <c r="B39" s="118">
        <v>2</v>
      </c>
      <c r="C39" s="7"/>
      <c r="D39" s="7"/>
      <c r="E39" s="7"/>
      <c r="F39" s="7"/>
      <c r="G39" s="7"/>
      <c r="H39" s="103"/>
    </row>
    <row r="40" spans="1:9" s="104" customFormat="1" x14ac:dyDescent="0.25">
      <c r="A40" s="7"/>
      <c r="B40" s="7"/>
      <c r="C40" s="7"/>
      <c r="D40" s="7"/>
      <c r="E40" s="7"/>
      <c r="F40" s="7"/>
      <c r="G40" s="7"/>
      <c r="H40" s="103"/>
    </row>
    <row r="41" spans="1:9" s="104" customFormat="1" ht="26.25" x14ac:dyDescent="0.25">
      <c r="A41" s="9"/>
      <c r="B41" s="11" t="s">
        <v>95</v>
      </c>
      <c r="C41" s="10" t="s">
        <v>27</v>
      </c>
      <c r="D41" s="10" t="s">
        <v>505</v>
      </c>
      <c r="E41" s="10" t="s">
        <v>22</v>
      </c>
      <c r="F41" s="10" t="s">
        <v>28</v>
      </c>
      <c r="G41" s="10" t="s">
        <v>29</v>
      </c>
      <c r="H41" s="10" t="s">
        <v>196</v>
      </c>
    </row>
    <row r="42" spans="1:9" s="104" customFormat="1" x14ac:dyDescent="0.25">
      <c r="A42" s="1">
        <v>36634</v>
      </c>
      <c r="B42" s="107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36634</v>
      </c>
    </row>
    <row r="43" spans="1:9" s="104" customFormat="1" x14ac:dyDescent="0.25">
      <c r="A43" s="1">
        <v>36800</v>
      </c>
      <c r="B43" s="107">
        <f t="shared" ref="B43:B52" si="9">+B42+1</f>
        <v>1</v>
      </c>
      <c r="C43" s="7">
        <f t="shared" ref="C43:C52" si="10">G42</f>
        <v>400000000</v>
      </c>
      <c r="D43" s="7">
        <f>+E68</f>
        <v>-32468725.633500002</v>
      </c>
      <c r="E43" s="7">
        <v>0</v>
      </c>
      <c r="F43" s="7">
        <f>C43*$B$38/360*(A43-A42)</f>
        <v>12911111.111111112</v>
      </c>
      <c r="G43" s="7">
        <f>+C43+D43+E43+F43</f>
        <v>380442385.47761112</v>
      </c>
      <c r="H43" s="7">
        <f t="shared" ref="H43:H52" si="11">+H42+F43</f>
        <v>12911111.111111112</v>
      </c>
      <c r="I43" s="1">
        <f t="shared" si="8"/>
        <v>36800</v>
      </c>
    </row>
    <row r="44" spans="1:9" s="104" customFormat="1" x14ac:dyDescent="0.25">
      <c r="A44" s="1">
        <v>36982</v>
      </c>
      <c r="B44" s="107">
        <f t="shared" si="9"/>
        <v>2</v>
      </c>
      <c r="C44" s="7">
        <f t="shared" si="10"/>
        <v>380442385.47761112</v>
      </c>
      <c r="D44" s="7">
        <v>0</v>
      </c>
      <c r="E44" s="7">
        <v>0</v>
      </c>
      <c r="F44" s="7">
        <f t="shared" ref="F44:F52" si="12">C44*$B$38/360*(A44-A43)</f>
        <v>13463433.308291018</v>
      </c>
      <c r="G44" s="7">
        <f t="shared" ref="G44:G52" si="13">+C44+D44+E44+F44</f>
        <v>393905818.78590214</v>
      </c>
      <c r="H44" s="7">
        <f t="shared" si="11"/>
        <v>26374544.41940213</v>
      </c>
      <c r="I44" s="1">
        <f t="shared" si="8"/>
        <v>36982</v>
      </c>
    </row>
    <row r="45" spans="1:9" s="104" customFormat="1" x14ac:dyDescent="0.25">
      <c r="A45" s="1">
        <v>37165</v>
      </c>
      <c r="B45" s="107">
        <f t="shared" si="9"/>
        <v>3</v>
      </c>
      <c r="C45" s="7">
        <f t="shared" si="10"/>
        <v>393905818.78590214</v>
      </c>
      <c r="D45" s="7">
        <v>0</v>
      </c>
      <c r="E45" s="7">
        <v>0</v>
      </c>
      <c r="F45" s="7">
        <f t="shared" si="12"/>
        <v>14016482.051798351</v>
      </c>
      <c r="G45" s="7">
        <f t="shared" si="13"/>
        <v>407922300.83770049</v>
      </c>
      <c r="H45" s="7">
        <f t="shared" si="11"/>
        <v>40391026.471200481</v>
      </c>
      <c r="I45" s="1">
        <f t="shared" si="8"/>
        <v>37165</v>
      </c>
    </row>
    <row r="46" spans="1:9" s="104" customFormat="1" x14ac:dyDescent="0.25">
      <c r="A46" s="1">
        <v>37347</v>
      </c>
      <c r="B46" s="107">
        <f t="shared" si="9"/>
        <v>4</v>
      </c>
      <c r="C46" s="7">
        <f t="shared" si="10"/>
        <v>407922300.83770049</v>
      </c>
      <c r="D46" s="7">
        <v>0</v>
      </c>
      <c r="E46" s="7">
        <v>0</v>
      </c>
      <c r="F46" s="7">
        <f t="shared" si="12"/>
        <v>14435916.979645291</v>
      </c>
      <c r="G46" s="7">
        <f t="shared" si="13"/>
        <v>422358217.8173458</v>
      </c>
      <c r="H46" s="7">
        <f t="shared" si="11"/>
        <v>54826943.450845771</v>
      </c>
      <c r="I46" s="1">
        <f t="shared" si="8"/>
        <v>37347</v>
      </c>
    </row>
    <row r="47" spans="1:9" s="104" customFormat="1" x14ac:dyDescent="0.25">
      <c r="A47" s="1">
        <v>37530</v>
      </c>
      <c r="B47" s="107">
        <f t="shared" si="9"/>
        <v>5</v>
      </c>
      <c r="C47" s="7">
        <f t="shared" si="10"/>
        <v>422358217.8173458</v>
      </c>
      <c r="D47" s="7">
        <v>0</v>
      </c>
      <c r="E47" s="7">
        <v>0</v>
      </c>
      <c r="F47" s="7">
        <f t="shared" si="12"/>
        <v>15028913.250667224</v>
      </c>
      <c r="G47" s="7">
        <f t="shared" si="13"/>
        <v>437387131.06801301</v>
      </c>
      <c r="H47" s="7">
        <f t="shared" si="11"/>
        <v>69855856.701512992</v>
      </c>
      <c r="I47" s="1">
        <f t="shared" si="8"/>
        <v>37530</v>
      </c>
    </row>
    <row r="48" spans="1:9" s="104" customFormat="1" x14ac:dyDescent="0.25">
      <c r="A48" s="1">
        <v>37712</v>
      </c>
      <c r="B48" s="107">
        <f t="shared" si="9"/>
        <v>6</v>
      </c>
      <c r="C48" s="7">
        <f t="shared" si="10"/>
        <v>437387131.06801301</v>
      </c>
      <c r="D48" s="7">
        <v>0</v>
      </c>
      <c r="E48" s="7">
        <v>0</v>
      </c>
      <c r="F48" s="7">
        <f t="shared" si="12"/>
        <v>15478644.582795797</v>
      </c>
      <c r="G48" s="7">
        <f t="shared" si="13"/>
        <v>452865775.65080881</v>
      </c>
      <c r="H48" s="7">
        <f t="shared" si="11"/>
        <v>85334501.284308791</v>
      </c>
      <c r="I48" s="1">
        <f t="shared" si="8"/>
        <v>37712</v>
      </c>
    </row>
    <row r="49" spans="1:9" s="104" customFormat="1" x14ac:dyDescent="0.25">
      <c r="A49" s="1">
        <v>37895</v>
      </c>
      <c r="B49" s="107">
        <f t="shared" si="9"/>
        <v>7</v>
      </c>
      <c r="C49" s="7">
        <f t="shared" si="10"/>
        <v>452865775.65080881</v>
      </c>
      <c r="D49" s="7">
        <v>0</v>
      </c>
      <c r="E49" s="7">
        <v>0</v>
      </c>
      <c r="F49" s="7">
        <f t="shared" si="12"/>
        <v>16114473.850241281</v>
      </c>
      <c r="G49" s="7">
        <f t="shared" si="13"/>
        <v>468980249.50105011</v>
      </c>
      <c r="H49" s="7">
        <f t="shared" si="11"/>
        <v>101448975.13455006</v>
      </c>
      <c r="I49" s="1">
        <f t="shared" si="8"/>
        <v>37895</v>
      </c>
    </row>
    <row r="50" spans="1:9" s="104" customFormat="1" x14ac:dyDescent="0.25">
      <c r="A50" s="1">
        <v>38078</v>
      </c>
      <c r="B50" s="107">
        <f t="shared" si="9"/>
        <v>8</v>
      </c>
      <c r="C50" s="7">
        <f t="shared" si="10"/>
        <v>468980249.50105011</v>
      </c>
      <c r="D50" s="7">
        <v>0</v>
      </c>
      <c r="E50" s="7">
        <v>0</v>
      </c>
      <c r="F50" s="7">
        <f t="shared" si="12"/>
        <v>16687880.544745702</v>
      </c>
      <c r="G50" s="7">
        <f t="shared" si="13"/>
        <v>485668130.0457958</v>
      </c>
      <c r="H50" s="7">
        <f t="shared" si="11"/>
        <v>118136855.67929576</v>
      </c>
      <c r="I50" s="1">
        <f t="shared" si="8"/>
        <v>38078</v>
      </c>
    </row>
    <row r="51" spans="1:9" s="104" customFormat="1" x14ac:dyDescent="0.25">
      <c r="A51" s="1">
        <v>38261</v>
      </c>
      <c r="B51" s="107">
        <f t="shared" si="9"/>
        <v>9</v>
      </c>
      <c r="C51" s="7">
        <f t="shared" si="10"/>
        <v>485668130.0457958</v>
      </c>
      <c r="D51" s="7">
        <v>0</v>
      </c>
      <c r="E51" s="7">
        <v>0</v>
      </c>
      <c r="F51" s="7">
        <f t="shared" si="12"/>
        <v>17281690.960796237</v>
      </c>
      <c r="G51" s="7">
        <f t="shared" si="13"/>
        <v>502949821.00659204</v>
      </c>
      <c r="H51" s="7">
        <f t="shared" si="11"/>
        <v>135418546.64009202</v>
      </c>
      <c r="I51" s="1">
        <f t="shared" si="8"/>
        <v>38261</v>
      </c>
    </row>
    <row r="52" spans="1:9" s="104" customFormat="1" x14ac:dyDescent="0.25">
      <c r="A52" s="1">
        <v>38443</v>
      </c>
      <c r="B52" s="107">
        <f t="shared" si="9"/>
        <v>10</v>
      </c>
      <c r="C52" s="7">
        <f t="shared" si="10"/>
        <v>502949821.00659204</v>
      </c>
      <c r="D52" s="7">
        <v>0</v>
      </c>
      <c r="E52" s="7">
        <v>0</v>
      </c>
      <c r="F52" s="7">
        <f t="shared" si="12"/>
        <v>17798835.332288843</v>
      </c>
      <c r="G52" s="7">
        <f t="shared" si="13"/>
        <v>520748656.3388809</v>
      </c>
      <c r="H52" s="7">
        <f t="shared" si="11"/>
        <v>153217381.97238085</v>
      </c>
      <c r="I52" s="1">
        <f t="shared" si="8"/>
        <v>38443</v>
      </c>
    </row>
    <row r="53" spans="1:9" s="104" customFormat="1" ht="16.5" thickBot="1" x14ac:dyDescent="0.3">
      <c r="A53" s="1"/>
      <c r="B53" s="1"/>
      <c r="C53" s="7"/>
      <c r="D53" s="12">
        <f>SUM(D43:D52)</f>
        <v>-32468725.633500002</v>
      </c>
      <c r="E53" s="12">
        <f>SUM(E43:E52)</f>
        <v>0</v>
      </c>
      <c r="F53" s="12">
        <f>SUM(F43:F52)</f>
        <v>153217381.97238085</v>
      </c>
      <c r="G53" s="7"/>
      <c r="H53" s="13"/>
    </row>
    <row r="54" spans="1:9" s="104" customFormat="1" ht="16.5" thickTop="1" x14ac:dyDescent="0.25">
      <c r="A54" s="119"/>
      <c r="B54" s="119"/>
    </row>
    <row r="55" spans="1:9" s="104" customFormat="1" x14ac:dyDescent="0.25">
      <c r="A55" s="305">
        <f>+Summary!C5</f>
        <v>36850</v>
      </c>
      <c r="B55" s="305"/>
      <c r="E55" s="104" t="s">
        <v>95</v>
      </c>
      <c r="F55" s="104">
        <f>VLOOKUP(+A55,Note,2)</f>
        <v>1</v>
      </c>
    </row>
    <row r="56" spans="1:9" x14ac:dyDescent="0.25">
      <c r="A56" s="104"/>
      <c r="B56" s="104"/>
      <c r="C56" s="104"/>
      <c r="D56" s="104"/>
      <c r="E56" s="104" t="s">
        <v>1</v>
      </c>
      <c r="F56" s="119">
        <f>VLOOKUP(+A55,Note,1)</f>
        <v>36800</v>
      </c>
      <c r="G56" s="104"/>
    </row>
    <row r="57" spans="1:9" x14ac:dyDescent="0.25">
      <c r="A57" s="104" t="s">
        <v>197</v>
      </c>
      <c r="B57" s="142">
        <f>VLOOKUP(+A55,Loan,8)</f>
        <v>12911111.111111112</v>
      </c>
      <c r="C57" s="104"/>
      <c r="D57" s="104"/>
      <c r="E57" s="104" t="s">
        <v>96</v>
      </c>
      <c r="F57" s="104">
        <f>VLOOKUP(+F55+1,LoanPeriod,5)</f>
        <v>13463433.308291018</v>
      </c>
      <c r="G57" s="104"/>
    </row>
    <row r="58" spans="1:9" x14ac:dyDescent="0.25">
      <c r="A58" s="119" t="s">
        <v>7</v>
      </c>
      <c r="B58" s="104">
        <f>+B56+B57</f>
        <v>12911111.111111112</v>
      </c>
      <c r="C58" s="104"/>
      <c r="D58" s="104"/>
      <c r="E58" s="104" t="s">
        <v>97</v>
      </c>
      <c r="F58" s="119">
        <f>VLOOKUP(+F55+1,NotePeriod,8)</f>
        <v>36982</v>
      </c>
      <c r="G58" s="104"/>
    </row>
    <row r="59" spans="1:9" x14ac:dyDescent="0.25">
      <c r="A59" s="119" t="s">
        <v>98</v>
      </c>
      <c r="B59" s="104">
        <f>A55-F56</f>
        <v>50</v>
      </c>
      <c r="C59" s="104"/>
      <c r="D59" s="104"/>
      <c r="E59" s="119"/>
      <c r="F59" s="104"/>
      <c r="G59" s="104"/>
    </row>
    <row r="60" spans="1:9" x14ac:dyDescent="0.25">
      <c r="A60" s="119" t="s">
        <v>194</v>
      </c>
      <c r="B60" s="104">
        <f>F57*B59/(F58-F56)</f>
        <v>3698745.4143656641</v>
      </c>
      <c r="C60" s="104"/>
      <c r="D60" s="104"/>
      <c r="E60" s="104"/>
      <c r="F60" s="104"/>
      <c r="G60" s="104"/>
    </row>
    <row r="61" spans="1:9" x14ac:dyDescent="0.25">
      <c r="A61" s="119" t="s">
        <v>195</v>
      </c>
      <c r="B61" s="104">
        <f>+B57+B60</f>
        <v>16609856.525476776</v>
      </c>
      <c r="C61" s="104"/>
      <c r="D61" s="104"/>
      <c r="E61" s="104"/>
      <c r="F61" s="104"/>
      <c r="G61" s="104"/>
    </row>
    <row r="63" spans="1:9" x14ac:dyDescent="0.25">
      <c r="A63" s="7" t="s">
        <v>510</v>
      </c>
    </row>
    <row r="64" spans="1:9" x14ac:dyDescent="0.25">
      <c r="A64" s="1">
        <f>+'Cash-Int-Trans'!B67</f>
        <v>36741</v>
      </c>
      <c r="B64" s="7" t="s">
        <v>506</v>
      </c>
      <c r="E64" s="7">
        <f>+'Cash-Int-Trans'!B68</f>
        <v>3965852</v>
      </c>
    </row>
    <row r="65" spans="1:5" x14ac:dyDescent="0.25">
      <c r="A65" s="1">
        <f>+A64</f>
        <v>36741</v>
      </c>
      <c r="B65" s="7" t="s">
        <v>511</v>
      </c>
      <c r="C65" s="1"/>
      <c r="D65" s="1">
        <f>+'Cash-Int-Trans'!B69</f>
        <v>36800</v>
      </c>
      <c r="E65" s="104">
        <f>+'Cash-Int-Trans'!B71</f>
        <v>45497.135444444444</v>
      </c>
    </row>
    <row r="66" spans="1:5" x14ac:dyDescent="0.25">
      <c r="A66" s="1">
        <f>+'Cash-Int-Trans'!B73</f>
        <v>36741</v>
      </c>
      <c r="B66" s="7" t="s">
        <v>544</v>
      </c>
      <c r="E66" s="104">
        <f>+'Cash-Int-Trans'!B74</f>
        <v>-36066314</v>
      </c>
    </row>
    <row r="67" spans="1:5" x14ac:dyDescent="0.25">
      <c r="A67" s="1">
        <f>+A66</f>
        <v>36741</v>
      </c>
      <c r="B67" s="7" t="s">
        <v>511</v>
      </c>
      <c r="C67" s="1"/>
      <c r="D67" s="1">
        <f>+'Cash-Int-Trans'!B69</f>
        <v>36800</v>
      </c>
      <c r="E67" s="224">
        <f>+'Cash-Int-Trans'!B77</f>
        <v>-413760.76894444448</v>
      </c>
    </row>
    <row r="68" spans="1:5" x14ac:dyDescent="0.25">
      <c r="E68" s="7">
        <f>SUM(E64:E67)</f>
        <v>-32468725.633500002</v>
      </c>
    </row>
    <row r="70" spans="1:5" x14ac:dyDescent="0.25">
      <c r="A70" s="1">
        <f>+A42</f>
        <v>36634</v>
      </c>
      <c r="B70" s="7" t="s">
        <v>507</v>
      </c>
      <c r="D70" s="1">
        <f>+A43</f>
        <v>36800</v>
      </c>
      <c r="E70" s="7">
        <f>C43*$B$38/360*(A43-A42)</f>
        <v>12911111.111111112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92"/>
  <sheetViews>
    <sheetView topLeftCell="E54" workbookViewId="0">
      <pane xSplit="5" topLeftCell="U1" activePane="topRight" state="frozen"/>
      <selection activeCell="E1" sqref="E1"/>
      <selection pane="topRight" activeCell="E63" sqref="E63"/>
    </sheetView>
  </sheetViews>
  <sheetFormatPr defaultRowHeight="15.75" outlineLevelRow="3" x14ac:dyDescent="0.25"/>
  <cols>
    <col min="1" max="1" width="46" bestFit="1" customWidth="1"/>
    <col min="2" max="2" width="36.25" bestFit="1" customWidth="1"/>
    <col min="3" max="3" width="13.25" bestFit="1" customWidth="1"/>
    <col min="4" max="4" width="20.875" hidden="1" customWidth="1"/>
    <col min="5" max="5" width="35.75" bestFit="1" customWidth="1"/>
    <col min="6" max="6" width="8.625" bestFit="1" customWidth="1"/>
    <col min="7" max="7" width="24.5" bestFit="1" customWidth="1"/>
    <col min="8" max="8" width="8.75" hidden="1" customWidth="1"/>
    <col min="9" max="9" width="15.75" hidden="1" customWidth="1"/>
    <col min="10" max="10" width="11.75" bestFit="1" customWidth="1"/>
    <col min="11" max="11" width="13" hidden="1" customWidth="1"/>
    <col min="12" max="13" width="7.125" hidden="1" customWidth="1"/>
    <col min="14" max="14" width="6.125" bestFit="1" customWidth="1"/>
    <col min="15" max="15" width="13" hidden="1" customWidth="1"/>
    <col min="16" max="16" width="12.125" hidden="1" customWidth="1"/>
    <col min="17" max="17" width="11" hidden="1" customWidth="1"/>
    <col min="18" max="18" width="12.25" hidden="1" customWidth="1"/>
    <col min="19" max="20" width="11.5" hidden="1" customWidth="1"/>
    <col min="21" max="21" width="14.375" bestFit="1" customWidth="1"/>
    <col min="22" max="22" width="15.375" hidden="1" customWidth="1"/>
    <col min="23" max="23" width="13.5" hidden="1" customWidth="1"/>
    <col min="24" max="24" width="6" hidden="1" customWidth="1"/>
    <col min="25" max="25" width="13.5" hidden="1" customWidth="1"/>
    <col min="26" max="26" width="12.625" hidden="1" customWidth="1"/>
    <col min="27" max="27" width="6" hidden="1" customWidth="1"/>
    <col min="28" max="28" width="12.625" hidden="1" customWidth="1"/>
    <col min="29" max="29" width="14.375" bestFit="1" customWidth="1"/>
    <col min="30" max="30" width="12.625" bestFit="1" customWidth="1"/>
    <col min="31" max="31" width="10.625" bestFit="1" customWidth="1"/>
    <col min="32" max="32" width="12.75" bestFit="1" customWidth="1"/>
    <col min="33" max="33" width="9.625" bestFit="1" customWidth="1"/>
    <col min="34" max="34" width="14.875" bestFit="1" customWidth="1"/>
    <col min="35" max="35" width="10.625" bestFit="1" customWidth="1"/>
    <col min="36" max="36" width="14.375" bestFit="1" customWidth="1"/>
    <col min="37" max="37" width="14.875" bestFit="1" customWidth="1"/>
    <col min="38" max="38" width="11.125" hidden="1" customWidth="1"/>
    <col min="39" max="39" width="14.375" bestFit="1" customWidth="1"/>
    <col min="40" max="40" width="4.625" customWidth="1"/>
    <col min="41" max="41" width="7.25" customWidth="1"/>
    <col min="42" max="42" width="14.375" customWidth="1"/>
    <col min="43" max="43" width="12.75" customWidth="1"/>
    <col min="44" max="44" width="13.875" customWidth="1"/>
    <col min="45" max="45" width="16.625" customWidth="1"/>
    <col min="46" max="46" width="14" customWidth="1"/>
    <col min="47" max="47" width="10.625" customWidth="1"/>
    <col min="48" max="48" width="14.375" bestFit="1" customWidth="1"/>
    <col min="49" max="49" width="14" customWidth="1"/>
    <col min="50" max="50" width="14.875" customWidth="1"/>
    <col min="51" max="51" width="10.625" customWidth="1"/>
    <col min="52" max="52" width="14.375" bestFit="1" customWidth="1"/>
    <col min="53" max="53" width="14.875" customWidth="1"/>
    <col min="54" max="54" width="8.875" bestFit="1" customWidth="1"/>
    <col min="55" max="55" width="12" bestFit="1" customWidth="1"/>
    <col min="56" max="56" width="13.5" hidden="1" customWidth="1"/>
    <col min="57" max="57" width="10.625" hidden="1" customWidth="1"/>
    <col min="58" max="58" width="12.75" hidden="1" customWidth="1"/>
    <col min="59" max="59" width="13.5" hidden="1" customWidth="1"/>
    <col min="60" max="60" width="14.375" hidden="1" customWidth="1"/>
    <col min="61" max="61" width="10.625" hidden="1" customWidth="1"/>
    <col min="62" max="62" width="12.75" hidden="1" customWidth="1"/>
    <col min="63" max="63" width="14.37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2.75" hidden="1" customWidth="1"/>
    <col min="69" max="69" width="9.375" hidden="1" customWidth="1"/>
    <col min="70" max="70" width="12.125" hidden="1" customWidth="1"/>
    <col min="71" max="71" width="9.125" hidden="1" customWidth="1"/>
    <col min="72" max="72" width="9" hidden="1" customWidth="1"/>
    <col min="73" max="73" width="15.5" bestFit="1" customWidth="1"/>
    <col min="74" max="74" width="9.625" hidden="1" customWidth="1"/>
    <col min="75" max="76" width="9.25" hidden="1" customWidth="1"/>
    <col min="77" max="77" width="7.125" hidden="1" customWidth="1"/>
    <col min="78" max="78" width="13.5" hidden="1" customWidth="1"/>
    <col min="79" max="79" width="14" bestFit="1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2.75" hidden="1" customWidth="1"/>
    <col min="88" max="88" width="13.5" hidden="1" customWidth="1"/>
    <col min="89" max="89" width="9.75" hidden="1" customWidth="1"/>
    <col min="90" max="90" width="10" hidden="1" customWidth="1"/>
  </cols>
  <sheetData>
    <row r="1" spans="1:90" ht="16.5" thickBot="1" x14ac:dyDescent="0.3">
      <c r="A1" s="148"/>
      <c r="B1" s="148"/>
      <c r="C1" s="148"/>
      <c r="D1" s="148"/>
      <c r="E1" s="148"/>
      <c r="F1" s="148"/>
      <c r="G1" s="148"/>
      <c r="H1" s="148"/>
      <c r="I1" s="149"/>
      <c r="J1" s="150" t="s">
        <v>262</v>
      </c>
      <c r="K1" s="150" t="s">
        <v>263</v>
      </c>
      <c r="L1" s="151"/>
      <c r="M1" s="150"/>
      <c r="N1" s="152"/>
      <c r="O1" s="151" t="s">
        <v>264</v>
      </c>
      <c r="P1" s="151" t="s">
        <v>265</v>
      </c>
      <c r="Q1" s="151" t="s">
        <v>266</v>
      </c>
      <c r="R1" s="307" t="s">
        <v>267</v>
      </c>
      <c r="S1" s="307"/>
      <c r="T1" s="307"/>
      <c r="U1" s="246" t="s">
        <v>264</v>
      </c>
      <c r="V1" s="151" t="s">
        <v>4</v>
      </c>
      <c r="W1" s="151"/>
      <c r="X1" s="153"/>
      <c r="Y1" s="151"/>
      <c r="Z1" s="153"/>
      <c r="AA1" s="153"/>
      <c r="AB1" s="153"/>
      <c r="AC1" s="246" t="s">
        <v>268</v>
      </c>
      <c r="AD1" s="306" t="s">
        <v>269</v>
      </c>
      <c r="AE1" s="306"/>
      <c r="AF1" s="306"/>
      <c r="AG1" s="306"/>
      <c r="AH1" s="306"/>
      <c r="AI1" s="306"/>
      <c r="AJ1" s="306"/>
      <c r="AK1" s="306"/>
      <c r="AL1" s="154"/>
      <c r="AM1" s="153"/>
      <c r="AN1" s="154"/>
      <c r="AO1" s="153"/>
      <c r="AP1" s="153"/>
      <c r="AQ1" s="153" t="s">
        <v>270</v>
      </c>
      <c r="AR1" s="152"/>
      <c r="AS1" s="151" t="s">
        <v>264</v>
      </c>
      <c r="AT1" s="306" t="s">
        <v>271</v>
      </c>
      <c r="AU1" s="306"/>
      <c r="AV1" s="306"/>
      <c r="AW1" s="306"/>
      <c r="AX1" s="306"/>
      <c r="AY1" s="306"/>
      <c r="AZ1" s="306"/>
      <c r="BA1" s="306"/>
      <c r="BB1" s="153" t="s">
        <v>262</v>
      </c>
      <c r="BC1" s="153" t="s">
        <v>263</v>
      </c>
      <c r="BD1" s="306" t="s">
        <v>272</v>
      </c>
      <c r="BE1" s="306"/>
      <c r="BF1" s="306"/>
      <c r="BG1" s="306"/>
      <c r="BH1" s="306"/>
      <c r="BI1" s="306"/>
      <c r="BJ1" s="306"/>
      <c r="BK1" s="306"/>
      <c r="BL1" s="153" t="s">
        <v>263</v>
      </c>
      <c r="BM1" s="153" t="s">
        <v>273</v>
      </c>
      <c r="BN1" s="153" t="s">
        <v>274</v>
      </c>
      <c r="BO1" s="153" t="s">
        <v>275</v>
      </c>
      <c r="BP1" s="153"/>
      <c r="BQ1" s="151"/>
      <c r="BR1" s="150"/>
      <c r="BS1" s="153"/>
      <c r="BT1" s="153" t="s">
        <v>276</v>
      </c>
      <c r="BU1" s="227" t="s">
        <v>277</v>
      </c>
      <c r="BV1" s="153"/>
      <c r="BW1" s="153" t="s">
        <v>276</v>
      </c>
      <c r="BX1" s="153" t="s">
        <v>278</v>
      </c>
      <c r="BY1" s="151"/>
      <c r="BZ1" s="151"/>
      <c r="CA1" s="151"/>
      <c r="CB1" s="151"/>
      <c r="CC1" s="151"/>
      <c r="CD1" s="151"/>
      <c r="CE1" s="151"/>
      <c r="CF1" s="151"/>
      <c r="CG1" s="308" t="s">
        <v>279</v>
      </c>
      <c r="CH1" s="308"/>
      <c r="CI1" s="308"/>
      <c r="CJ1" s="308"/>
      <c r="CK1" s="150" t="s">
        <v>280</v>
      </c>
      <c r="CL1" s="150" t="s">
        <v>281</v>
      </c>
    </row>
    <row r="2" spans="1:90" x14ac:dyDescent="0.25">
      <c r="A2" s="155"/>
      <c r="B2" s="155"/>
      <c r="C2" s="155" t="s">
        <v>282</v>
      </c>
      <c r="D2" s="155"/>
      <c r="E2" s="155"/>
      <c r="F2" s="155"/>
      <c r="G2" s="155"/>
      <c r="H2" s="155" t="s">
        <v>283</v>
      </c>
      <c r="I2" s="156"/>
      <c r="J2" s="157" t="s">
        <v>284</v>
      </c>
      <c r="K2" s="157" t="s">
        <v>284</v>
      </c>
      <c r="L2" s="158"/>
      <c r="M2" s="157" t="s">
        <v>285</v>
      </c>
      <c r="N2" s="144"/>
      <c r="O2" s="158" t="s">
        <v>140</v>
      </c>
      <c r="P2" s="158" t="s">
        <v>286</v>
      </c>
      <c r="Q2" s="158" t="s">
        <v>286</v>
      </c>
      <c r="R2" s="158"/>
      <c r="S2" s="158"/>
      <c r="T2" s="158"/>
      <c r="U2" s="247" t="s">
        <v>140</v>
      </c>
      <c r="V2" s="158" t="s">
        <v>287</v>
      </c>
      <c r="W2" s="158" t="s">
        <v>288</v>
      </c>
      <c r="X2" s="158" t="s">
        <v>289</v>
      </c>
      <c r="Y2" s="158" t="s">
        <v>58</v>
      </c>
      <c r="Z2" s="158" t="s">
        <v>288</v>
      </c>
      <c r="AA2" s="158" t="s">
        <v>289</v>
      </c>
      <c r="AB2" s="158" t="s">
        <v>58</v>
      </c>
      <c r="AC2" s="247" t="s">
        <v>264</v>
      </c>
      <c r="AD2" s="309" t="s">
        <v>290</v>
      </c>
      <c r="AE2" s="309"/>
      <c r="AF2" s="309"/>
      <c r="AG2" s="309"/>
      <c r="AH2" s="310" t="s">
        <v>291</v>
      </c>
      <c r="AI2" s="306"/>
      <c r="AJ2" s="306"/>
      <c r="AK2" s="311"/>
      <c r="AL2" s="159">
        <v>36525</v>
      </c>
      <c r="AM2" s="160" t="s">
        <v>542</v>
      </c>
      <c r="AN2" s="158" t="s">
        <v>292</v>
      </c>
      <c r="AO2" s="158" t="s">
        <v>293</v>
      </c>
      <c r="AP2" s="158" t="s">
        <v>294</v>
      </c>
      <c r="AQ2" s="158" t="s">
        <v>295</v>
      </c>
      <c r="AR2" s="144" t="s">
        <v>296</v>
      </c>
      <c r="AS2" s="158" t="s">
        <v>140</v>
      </c>
      <c r="AT2" s="309" t="s">
        <v>297</v>
      </c>
      <c r="AU2" s="309"/>
      <c r="AV2" s="309"/>
      <c r="AW2" s="309"/>
      <c r="AX2" s="309" t="s">
        <v>292</v>
      </c>
      <c r="AY2" s="309"/>
      <c r="AZ2" s="309"/>
      <c r="BA2" s="309"/>
      <c r="BB2" s="158" t="s">
        <v>295</v>
      </c>
      <c r="BC2" s="158" t="s">
        <v>295</v>
      </c>
      <c r="BD2" s="309" t="s">
        <v>297</v>
      </c>
      <c r="BE2" s="309"/>
      <c r="BF2" s="309"/>
      <c r="BG2" s="309"/>
      <c r="BH2" s="309" t="s">
        <v>292</v>
      </c>
      <c r="BI2" s="309"/>
      <c r="BJ2" s="309"/>
      <c r="BK2" s="309"/>
      <c r="BL2" s="158" t="s">
        <v>294</v>
      </c>
      <c r="BM2" s="158" t="s">
        <v>298</v>
      </c>
      <c r="BN2" s="158" t="s">
        <v>299</v>
      </c>
      <c r="BO2" s="158" t="s">
        <v>300</v>
      </c>
      <c r="BP2" s="161" t="s">
        <v>263</v>
      </c>
      <c r="BQ2" s="158" t="s">
        <v>301</v>
      </c>
      <c r="BR2" s="157" t="s">
        <v>21</v>
      </c>
      <c r="BS2" s="158" t="s">
        <v>302</v>
      </c>
      <c r="BT2" s="158" t="s">
        <v>281</v>
      </c>
      <c r="BU2" s="228" t="s">
        <v>303</v>
      </c>
      <c r="BV2" s="161" t="s">
        <v>304</v>
      </c>
      <c r="BW2" s="158" t="s">
        <v>295</v>
      </c>
      <c r="BX2" s="158" t="s">
        <v>295</v>
      </c>
      <c r="BY2" s="158" t="s">
        <v>290</v>
      </c>
      <c r="BZ2" s="158" t="s">
        <v>297</v>
      </c>
      <c r="CA2" s="158" t="s">
        <v>291</v>
      </c>
      <c r="CB2" s="158" t="s">
        <v>292</v>
      </c>
      <c r="CC2" s="158" t="s">
        <v>290</v>
      </c>
      <c r="CD2" s="158" t="s">
        <v>297</v>
      </c>
      <c r="CE2" s="158" t="s">
        <v>291</v>
      </c>
      <c r="CF2" s="158" t="s">
        <v>292</v>
      </c>
      <c r="CG2" s="309" t="s">
        <v>305</v>
      </c>
      <c r="CH2" s="309"/>
      <c r="CI2" s="309"/>
      <c r="CJ2" s="309"/>
      <c r="CK2" s="157" t="s">
        <v>306</v>
      </c>
      <c r="CL2" s="157" t="s">
        <v>280</v>
      </c>
    </row>
    <row r="3" spans="1:90" x14ac:dyDescent="0.25">
      <c r="A3" s="162" t="s">
        <v>307</v>
      </c>
      <c r="B3" s="162" t="s">
        <v>308</v>
      </c>
      <c r="C3" s="162" t="s">
        <v>309</v>
      </c>
      <c r="D3" s="162" t="s">
        <v>310</v>
      </c>
      <c r="E3" s="162" t="s">
        <v>288</v>
      </c>
      <c r="F3" s="162" t="s">
        <v>145</v>
      </c>
      <c r="G3" s="162" t="s">
        <v>285</v>
      </c>
      <c r="H3" s="162" t="s">
        <v>311</v>
      </c>
      <c r="I3" s="163" t="s">
        <v>302</v>
      </c>
      <c r="J3" s="164" t="s">
        <v>312</v>
      </c>
      <c r="K3" s="164" t="s">
        <v>312</v>
      </c>
      <c r="L3" s="165" t="s">
        <v>293</v>
      </c>
      <c r="M3" s="164" t="s">
        <v>313</v>
      </c>
      <c r="N3" s="164" t="s">
        <v>296</v>
      </c>
      <c r="O3" s="165" t="s">
        <v>314</v>
      </c>
      <c r="P3" s="165" t="s">
        <v>314</v>
      </c>
      <c r="Q3" s="165" t="s">
        <v>314</v>
      </c>
      <c r="R3" s="166" t="s">
        <v>315</v>
      </c>
      <c r="S3" s="166" t="s">
        <v>315</v>
      </c>
      <c r="T3" s="166" t="s">
        <v>315</v>
      </c>
      <c r="U3" s="248">
        <v>36850</v>
      </c>
      <c r="V3" s="166" t="s">
        <v>316</v>
      </c>
      <c r="W3" s="166" t="s">
        <v>7</v>
      </c>
      <c r="X3" s="166" t="s">
        <v>7</v>
      </c>
      <c r="Y3" s="166" t="s">
        <v>7</v>
      </c>
      <c r="Z3" s="166" t="s">
        <v>317</v>
      </c>
      <c r="AA3" s="166" t="s">
        <v>317</v>
      </c>
      <c r="AB3" s="166" t="s">
        <v>317</v>
      </c>
      <c r="AC3" s="248" t="s">
        <v>140</v>
      </c>
      <c r="AD3" s="167" t="s">
        <v>318</v>
      </c>
      <c r="AE3" s="167" t="s">
        <v>319</v>
      </c>
      <c r="AF3" s="167" t="s">
        <v>320</v>
      </c>
      <c r="AG3" s="167" t="s">
        <v>321</v>
      </c>
      <c r="AH3" s="249" t="s">
        <v>318</v>
      </c>
      <c r="AI3" s="167" t="s">
        <v>319</v>
      </c>
      <c r="AJ3" s="167" t="s">
        <v>320</v>
      </c>
      <c r="AK3" s="250" t="s">
        <v>321</v>
      </c>
      <c r="AL3" s="167" t="s">
        <v>322</v>
      </c>
      <c r="AM3" s="166" t="s">
        <v>323</v>
      </c>
      <c r="AN3" s="166" t="s">
        <v>324</v>
      </c>
      <c r="AO3" s="166" t="s">
        <v>325</v>
      </c>
      <c r="AP3" s="166" t="s">
        <v>323</v>
      </c>
      <c r="AQ3" s="166" t="s">
        <v>326</v>
      </c>
      <c r="AR3" s="168" t="s">
        <v>325</v>
      </c>
      <c r="AS3" s="165" t="s">
        <v>327</v>
      </c>
      <c r="AT3" s="167" t="s">
        <v>318</v>
      </c>
      <c r="AU3" s="167" t="s">
        <v>319</v>
      </c>
      <c r="AV3" s="167" t="s">
        <v>320</v>
      </c>
      <c r="AW3" s="167" t="s">
        <v>321</v>
      </c>
      <c r="AX3" s="167" t="s">
        <v>318</v>
      </c>
      <c r="AY3" s="167" t="s">
        <v>319</v>
      </c>
      <c r="AZ3" s="167" t="s">
        <v>320</v>
      </c>
      <c r="BA3" s="167" t="s">
        <v>321</v>
      </c>
      <c r="BB3" s="165" t="s">
        <v>314</v>
      </c>
      <c r="BC3" s="165" t="s">
        <v>314</v>
      </c>
      <c r="BD3" s="167" t="s">
        <v>318</v>
      </c>
      <c r="BE3" s="167" t="s">
        <v>319</v>
      </c>
      <c r="BF3" s="167" t="s">
        <v>320</v>
      </c>
      <c r="BG3" s="167" t="s">
        <v>321</v>
      </c>
      <c r="BH3" s="167" t="s">
        <v>318</v>
      </c>
      <c r="BI3" s="167" t="s">
        <v>319</v>
      </c>
      <c r="BJ3" s="167" t="s">
        <v>320</v>
      </c>
      <c r="BK3" s="167" t="s">
        <v>321</v>
      </c>
      <c r="BL3" s="166" t="s">
        <v>323</v>
      </c>
      <c r="BM3" s="166" t="s">
        <v>328</v>
      </c>
      <c r="BN3" s="166" t="s">
        <v>329</v>
      </c>
      <c r="BO3" s="166" t="s">
        <v>330</v>
      </c>
      <c r="BP3" s="167" t="s">
        <v>320</v>
      </c>
      <c r="BQ3" s="165" t="s">
        <v>314</v>
      </c>
      <c r="BR3" s="164" t="s">
        <v>331</v>
      </c>
      <c r="BS3" s="165" t="s">
        <v>311</v>
      </c>
      <c r="BT3" s="165" t="s">
        <v>324</v>
      </c>
      <c r="BU3" s="229" t="s">
        <v>332</v>
      </c>
      <c r="BV3" s="167" t="s">
        <v>333</v>
      </c>
      <c r="BW3" s="165" t="s">
        <v>334</v>
      </c>
      <c r="BX3" s="165" t="s">
        <v>334</v>
      </c>
      <c r="BY3" s="165" t="s">
        <v>335</v>
      </c>
      <c r="BZ3" s="165" t="s">
        <v>335</v>
      </c>
      <c r="CA3" s="165" t="s">
        <v>335</v>
      </c>
      <c r="CB3" s="165" t="s">
        <v>335</v>
      </c>
      <c r="CC3" s="165" t="s">
        <v>336</v>
      </c>
      <c r="CD3" s="165" t="s">
        <v>336</v>
      </c>
      <c r="CE3" s="165" t="s">
        <v>336</v>
      </c>
      <c r="CF3" s="165" t="s">
        <v>336</v>
      </c>
      <c r="CG3" s="167" t="s">
        <v>318</v>
      </c>
      <c r="CH3" s="167" t="s">
        <v>319</v>
      </c>
      <c r="CI3" s="167" t="s">
        <v>320</v>
      </c>
      <c r="CJ3" s="167" t="s">
        <v>321</v>
      </c>
      <c r="CK3" s="164" t="s">
        <v>313</v>
      </c>
      <c r="CL3" s="164" t="s">
        <v>313</v>
      </c>
    </row>
    <row r="4" spans="1:90" outlineLevel="3" x14ac:dyDescent="0.25">
      <c r="A4" s="143" t="s">
        <v>337</v>
      </c>
      <c r="B4" s="143" t="s">
        <v>338</v>
      </c>
      <c r="C4" s="143" t="s">
        <v>339</v>
      </c>
      <c r="D4" s="143" t="s">
        <v>340</v>
      </c>
      <c r="E4" s="143" t="s">
        <v>202</v>
      </c>
      <c r="F4" s="143" t="s">
        <v>203</v>
      </c>
      <c r="G4" s="143" t="s">
        <v>341</v>
      </c>
      <c r="H4" s="143" t="s">
        <v>342</v>
      </c>
      <c r="I4" s="169" t="s">
        <v>343</v>
      </c>
      <c r="J4" s="170">
        <v>1</v>
      </c>
      <c r="K4" s="171">
        <v>1</v>
      </c>
      <c r="L4" s="172">
        <v>0</v>
      </c>
      <c r="M4" s="173">
        <v>0</v>
      </c>
      <c r="N4" s="173">
        <v>1</v>
      </c>
      <c r="O4" s="172">
        <v>5523881.8899999997</v>
      </c>
      <c r="P4" s="174">
        <v>5523881.8899999997</v>
      </c>
      <c r="Q4" s="175">
        <v>0</v>
      </c>
      <c r="R4" s="175" t="s">
        <v>344</v>
      </c>
      <c r="S4" s="175">
        <v>0</v>
      </c>
      <c r="T4" s="175">
        <v>0</v>
      </c>
      <c r="U4" s="251">
        <v>5523881.8899999997</v>
      </c>
      <c r="V4" s="172" t="s">
        <v>345</v>
      </c>
      <c r="W4" s="172">
        <v>0</v>
      </c>
      <c r="X4" s="172">
        <v>0</v>
      </c>
      <c r="Y4" s="172">
        <v>0</v>
      </c>
      <c r="Z4" s="172">
        <v>0</v>
      </c>
      <c r="AA4" s="172">
        <v>0</v>
      </c>
      <c r="AB4" s="172">
        <v>0</v>
      </c>
      <c r="AC4" s="251">
        <v>5523881.8899999997</v>
      </c>
      <c r="AD4" s="172">
        <v>0</v>
      </c>
      <c r="AE4" s="172">
        <v>0</v>
      </c>
      <c r="AF4" s="172">
        <v>0</v>
      </c>
      <c r="AG4" s="172">
        <v>0</v>
      </c>
      <c r="AH4" s="252">
        <v>0</v>
      </c>
      <c r="AI4" s="172">
        <v>0</v>
      </c>
      <c r="AJ4" s="172">
        <v>0</v>
      </c>
      <c r="AK4" s="253">
        <v>0</v>
      </c>
      <c r="AL4" s="176">
        <v>0</v>
      </c>
      <c r="AM4" s="172">
        <v>5644007</v>
      </c>
      <c r="AN4" s="173">
        <v>0</v>
      </c>
      <c r="AO4" s="176">
        <v>0</v>
      </c>
      <c r="AP4" s="172">
        <v>5644007</v>
      </c>
      <c r="AQ4" s="177">
        <v>1</v>
      </c>
      <c r="AR4" s="172">
        <v>5523881.8899999997</v>
      </c>
      <c r="AS4" s="172">
        <v>5523881.8899999997</v>
      </c>
      <c r="AT4" s="172">
        <v>0</v>
      </c>
      <c r="AU4" s="172">
        <v>0</v>
      </c>
      <c r="AV4" s="172">
        <v>0</v>
      </c>
      <c r="AW4" s="172">
        <v>0</v>
      </c>
      <c r="AX4" s="172">
        <v>0</v>
      </c>
      <c r="AY4" s="172">
        <v>0</v>
      </c>
      <c r="AZ4" s="172">
        <v>0</v>
      </c>
      <c r="BA4" s="172">
        <v>0</v>
      </c>
      <c r="BB4" s="172" t="s">
        <v>203</v>
      </c>
      <c r="BC4" s="172" t="s">
        <v>203</v>
      </c>
      <c r="BD4" s="172">
        <v>0</v>
      </c>
      <c r="BE4" s="172">
        <v>0</v>
      </c>
      <c r="BF4" s="172">
        <v>0</v>
      </c>
      <c r="BG4" s="172">
        <v>0</v>
      </c>
      <c r="BH4" s="172">
        <v>0</v>
      </c>
      <c r="BI4" s="172">
        <v>0</v>
      </c>
      <c r="BJ4" s="172">
        <v>0</v>
      </c>
      <c r="BK4" s="172">
        <v>0</v>
      </c>
      <c r="BL4" s="172">
        <v>5644007</v>
      </c>
      <c r="BM4" s="172" t="s">
        <v>346</v>
      </c>
      <c r="BN4" s="172">
        <v>0</v>
      </c>
      <c r="BO4" s="172" t="b">
        <v>0</v>
      </c>
      <c r="BP4" s="172">
        <v>0</v>
      </c>
      <c r="BQ4" s="178">
        <v>0</v>
      </c>
      <c r="BR4" s="173">
        <v>0</v>
      </c>
      <c r="BS4" s="179">
        <v>69</v>
      </c>
      <c r="BT4" s="173">
        <v>0</v>
      </c>
      <c r="BU4" s="237">
        <v>0</v>
      </c>
      <c r="BV4" s="173">
        <v>156</v>
      </c>
      <c r="BW4" s="180">
        <v>0</v>
      </c>
      <c r="BX4" s="180">
        <v>0</v>
      </c>
      <c r="BY4" s="172">
        <v>0</v>
      </c>
      <c r="BZ4" s="172">
        <v>0</v>
      </c>
      <c r="CA4" s="172">
        <v>-120125.11</v>
      </c>
      <c r="CB4" s="172">
        <v>5523881.8899999997</v>
      </c>
      <c r="CC4" s="172">
        <v>0</v>
      </c>
      <c r="CD4" s="172">
        <v>0</v>
      </c>
      <c r="CE4" s="172">
        <v>0</v>
      </c>
      <c r="CF4" s="172">
        <v>0</v>
      </c>
      <c r="CG4" s="172">
        <v>0</v>
      </c>
      <c r="CH4" s="172">
        <v>0</v>
      </c>
      <c r="CI4" s="172">
        <v>0</v>
      </c>
      <c r="CJ4" s="172">
        <v>0</v>
      </c>
      <c r="CK4" s="173">
        <v>0</v>
      </c>
      <c r="CL4" s="173">
        <v>0</v>
      </c>
    </row>
    <row r="5" spans="1:90" s="195" customFormat="1" ht="20.100000000000001" customHeight="1" outlineLevel="2" x14ac:dyDescent="0.25">
      <c r="A5" s="181" t="s">
        <v>347</v>
      </c>
      <c r="B5" s="182"/>
      <c r="C5" s="182"/>
      <c r="D5" s="182"/>
      <c r="E5" s="182"/>
      <c r="F5" s="182"/>
      <c r="G5" s="182"/>
      <c r="H5" s="182"/>
      <c r="I5" s="183"/>
      <c r="J5" s="184"/>
      <c r="K5" s="185"/>
      <c r="L5" s="186"/>
      <c r="M5" s="187"/>
      <c r="N5" s="187"/>
      <c r="O5" s="186"/>
      <c r="P5" s="188"/>
      <c r="Q5" s="189"/>
      <c r="R5" s="189">
        <v>0</v>
      </c>
      <c r="S5" s="189">
        <v>0</v>
      </c>
      <c r="T5" s="189">
        <v>0</v>
      </c>
      <c r="U5" s="254">
        <v>5523881.8899999997</v>
      </c>
      <c r="V5" s="186"/>
      <c r="W5" s="186">
        <v>0</v>
      </c>
      <c r="X5" s="186">
        <v>0</v>
      </c>
      <c r="Y5" s="186">
        <v>0</v>
      </c>
      <c r="Z5" s="186">
        <v>0</v>
      </c>
      <c r="AA5" s="186">
        <v>0</v>
      </c>
      <c r="AB5" s="186">
        <v>0</v>
      </c>
      <c r="AC5" s="254">
        <v>5523881.8899999997</v>
      </c>
      <c r="AD5" s="186">
        <v>0</v>
      </c>
      <c r="AE5" s="186">
        <v>0</v>
      </c>
      <c r="AF5" s="186">
        <v>0</v>
      </c>
      <c r="AG5" s="186">
        <v>0</v>
      </c>
      <c r="AH5" s="255">
        <v>0</v>
      </c>
      <c r="AI5" s="186">
        <v>0</v>
      </c>
      <c r="AJ5" s="186">
        <v>0</v>
      </c>
      <c r="AK5" s="256">
        <v>0</v>
      </c>
      <c r="AL5" s="190"/>
      <c r="AM5" s="186">
        <v>5644007</v>
      </c>
      <c r="AN5" s="187"/>
      <c r="AO5" s="190"/>
      <c r="AP5" s="186">
        <v>5644007</v>
      </c>
      <c r="AQ5" s="191"/>
      <c r="AR5" s="186"/>
      <c r="AS5" s="186"/>
      <c r="AT5" s="186">
        <v>0</v>
      </c>
      <c r="AU5" s="186">
        <v>0</v>
      </c>
      <c r="AV5" s="186">
        <v>0</v>
      </c>
      <c r="AW5" s="186">
        <v>0</v>
      </c>
      <c r="AX5" s="186">
        <v>0</v>
      </c>
      <c r="AY5" s="186">
        <v>0</v>
      </c>
      <c r="AZ5" s="186">
        <v>0</v>
      </c>
      <c r="BA5" s="186">
        <v>0</v>
      </c>
      <c r="BB5" s="186"/>
      <c r="BC5" s="186"/>
      <c r="BD5" s="186"/>
      <c r="BE5" s="186"/>
      <c r="BF5" s="186"/>
      <c r="BG5" s="186"/>
      <c r="BH5" s="186"/>
      <c r="BI5" s="186"/>
      <c r="BJ5" s="186"/>
      <c r="BK5" s="186"/>
      <c r="BL5" s="186"/>
      <c r="BM5" s="186"/>
      <c r="BN5" s="186"/>
      <c r="BO5" s="186"/>
      <c r="BP5" s="186"/>
      <c r="BQ5" s="192"/>
      <c r="BR5" s="187"/>
      <c r="BS5" s="193"/>
      <c r="BT5" s="187"/>
      <c r="BU5" s="230"/>
      <c r="BV5" s="187"/>
      <c r="BW5" s="194"/>
      <c r="BX5" s="194"/>
      <c r="BY5" s="186"/>
      <c r="BZ5" s="186"/>
      <c r="CA5" s="186">
        <v>-120125.11</v>
      </c>
      <c r="CB5" s="186"/>
      <c r="CC5" s="186"/>
      <c r="CD5" s="186"/>
      <c r="CE5" s="186"/>
      <c r="CF5" s="186"/>
      <c r="CG5" s="186"/>
      <c r="CH5" s="186"/>
      <c r="CI5" s="186"/>
      <c r="CJ5" s="186"/>
      <c r="CK5" s="187"/>
      <c r="CL5" s="187"/>
    </row>
    <row r="6" spans="1:90" outlineLevel="3" x14ac:dyDescent="0.25">
      <c r="A6" s="143" t="s">
        <v>348</v>
      </c>
      <c r="B6" s="143" t="s">
        <v>338</v>
      </c>
      <c r="C6" s="143" t="s">
        <v>339</v>
      </c>
      <c r="D6" s="143" t="s">
        <v>340</v>
      </c>
      <c r="E6" s="143" t="s">
        <v>238</v>
      </c>
      <c r="F6" s="143" t="s">
        <v>349</v>
      </c>
      <c r="G6" s="143" t="s">
        <v>350</v>
      </c>
      <c r="H6" s="143" t="s">
        <v>351</v>
      </c>
      <c r="I6" s="169" t="s">
        <v>343</v>
      </c>
      <c r="J6" s="171">
        <v>0</v>
      </c>
      <c r="K6" s="171">
        <v>0</v>
      </c>
      <c r="L6" s="172">
        <v>0</v>
      </c>
      <c r="M6" s="173">
        <v>0</v>
      </c>
      <c r="N6" s="173">
        <v>1</v>
      </c>
      <c r="O6" s="172">
        <v>1.3739967897271268</v>
      </c>
      <c r="P6" s="174">
        <v>1.37311517484761</v>
      </c>
      <c r="Q6" s="174">
        <v>8.8161487951676776E-4</v>
      </c>
      <c r="R6" s="175" t="s">
        <v>352</v>
      </c>
      <c r="S6" s="175">
        <v>0</v>
      </c>
      <c r="T6" s="175">
        <v>0</v>
      </c>
      <c r="U6" s="251">
        <v>0</v>
      </c>
      <c r="V6" s="172" t="s">
        <v>345</v>
      </c>
      <c r="W6" s="172">
        <v>0</v>
      </c>
      <c r="X6" s="172">
        <v>0</v>
      </c>
      <c r="Y6" s="172">
        <v>0</v>
      </c>
      <c r="Z6" s="172">
        <v>0</v>
      </c>
      <c r="AA6" s="172">
        <v>0</v>
      </c>
      <c r="AB6" s="172">
        <v>0</v>
      </c>
      <c r="AC6" s="251">
        <v>0</v>
      </c>
      <c r="AD6" s="172">
        <v>0</v>
      </c>
      <c r="AE6" s="172">
        <v>0</v>
      </c>
      <c r="AF6" s="172">
        <v>0</v>
      </c>
      <c r="AG6" s="172">
        <v>0</v>
      </c>
      <c r="AH6" s="252">
        <v>0</v>
      </c>
      <c r="AI6" s="172">
        <v>0</v>
      </c>
      <c r="AJ6" s="172">
        <v>0</v>
      </c>
      <c r="AK6" s="253">
        <v>0</v>
      </c>
      <c r="AL6" s="176">
        <v>0</v>
      </c>
      <c r="AM6" s="172">
        <v>0</v>
      </c>
      <c r="AN6" s="173">
        <v>0</v>
      </c>
      <c r="AO6" s="176">
        <v>0</v>
      </c>
      <c r="AP6" s="172">
        <v>0</v>
      </c>
      <c r="AQ6" s="177">
        <v>1</v>
      </c>
      <c r="AR6" s="172">
        <v>0</v>
      </c>
      <c r="AS6" s="172">
        <v>1.3739967897271268</v>
      </c>
      <c r="AT6" s="172">
        <v>0</v>
      </c>
      <c r="AU6" s="172">
        <v>0</v>
      </c>
      <c r="AV6" s="172">
        <v>0</v>
      </c>
      <c r="AW6" s="172">
        <v>0</v>
      </c>
      <c r="AX6" s="172">
        <v>0</v>
      </c>
      <c r="AY6" s="172">
        <v>0</v>
      </c>
      <c r="AZ6" s="172">
        <v>0</v>
      </c>
      <c r="BA6" s="172">
        <v>0</v>
      </c>
      <c r="BB6" s="172">
        <v>1.3739967897271268</v>
      </c>
      <c r="BC6" s="172">
        <v>1.37311517484761</v>
      </c>
      <c r="BD6" s="172">
        <v>0</v>
      </c>
      <c r="BE6" s="172">
        <v>0</v>
      </c>
      <c r="BF6" s="172">
        <v>0</v>
      </c>
      <c r="BG6" s="172">
        <v>0</v>
      </c>
      <c r="BH6" s="172">
        <v>0</v>
      </c>
      <c r="BI6" s="172">
        <v>0</v>
      </c>
      <c r="BJ6" s="172">
        <v>0</v>
      </c>
      <c r="BK6" s="172">
        <v>0</v>
      </c>
      <c r="BL6" s="172">
        <v>0</v>
      </c>
      <c r="BM6" s="172" t="s">
        <v>353</v>
      </c>
      <c r="BN6" s="172">
        <v>0</v>
      </c>
      <c r="BO6" s="172" t="b">
        <v>0</v>
      </c>
      <c r="BP6" s="172">
        <v>0</v>
      </c>
      <c r="BQ6" s="178">
        <v>1.19</v>
      </c>
      <c r="BR6" s="173">
        <v>0</v>
      </c>
      <c r="BS6" s="179">
        <v>70</v>
      </c>
      <c r="BT6" s="173">
        <v>0</v>
      </c>
      <c r="BU6" s="237">
        <v>0</v>
      </c>
      <c r="BV6" s="173">
        <v>146</v>
      </c>
      <c r="BW6" s="180">
        <v>1.3739967897271268</v>
      </c>
      <c r="BX6" s="180">
        <v>0</v>
      </c>
      <c r="BY6" s="172">
        <v>0</v>
      </c>
      <c r="BZ6" s="172">
        <v>0</v>
      </c>
      <c r="CA6" s="172">
        <v>0</v>
      </c>
      <c r="CB6" s="172">
        <v>0</v>
      </c>
      <c r="CC6" s="172">
        <v>0</v>
      </c>
      <c r="CD6" s="172">
        <v>0</v>
      </c>
      <c r="CE6" s="172">
        <v>0</v>
      </c>
      <c r="CF6" s="172">
        <v>0</v>
      </c>
      <c r="CG6" s="172">
        <v>0</v>
      </c>
      <c r="CH6" s="172">
        <v>0</v>
      </c>
      <c r="CI6" s="172">
        <v>0</v>
      </c>
      <c r="CJ6" s="172">
        <v>0</v>
      </c>
      <c r="CK6" s="173">
        <v>0</v>
      </c>
      <c r="CL6" s="173">
        <v>0</v>
      </c>
    </row>
    <row r="7" spans="1:90" outlineLevel="3" x14ac:dyDescent="0.25">
      <c r="A7" s="143" t="s">
        <v>348</v>
      </c>
      <c r="B7" s="143" t="s">
        <v>338</v>
      </c>
      <c r="C7" s="143" t="s">
        <v>339</v>
      </c>
      <c r="D7" s="143" t="s">
        <v>340</v>
      </c>
      <c r="E7" s="143" t="s">
        <v>491</v>
      </c>
      <c r="F7" s="143" t="s">
        <v>492</v>
      </c>
      <c r="G7" s="143" t="s">
        <v>350</v>
      </c>
      <c r="H7" s="143" t="s">
        <v>351</v>
      </c>
      <c r="I7" s="169" t="s">
        <v>343</v>
      </c>
      <c r="J7" s="171">
        <v>0</v>
      </c>
      <c r="K7" s="171">
        <v>0</v>
      </c>
      <c r="L7" s="172">
        <v>0</v>
      </c>
      <c r="M7" s="173">
        <v>0</v>
      </c>
      <c r="N7" s="173">
        <v>1</v>
      </c>
      <c r="O7" s="172">
        <v>1.9069020866773676</v>
      </c>
      <c r="P7" s="174">
        <v>1.9056785370548606</v>
      </c>
      <c r="Q7" s="174">
        <v>1.2235496225070364E-3</v>
      </c>
      <c r="R7" s="175" t="s">
        <v>493</v>
      </c>
      <c r="S7" s="175">
        <v>0</v>
      </c>
      <c r="T7" s="175">
        <v>0</v>
      </c>
      <c r="U7" s="251">
        <v>0</v>
      </c>
      <c r="V7" s="172" t="s">
        <v>345</v>
      </c>
      <c r="W7" s="172">
        <v>0</v>
      </c>
      <c r="X7" s="172">
        <v>0</v>
      </c>
      <c r="Y7" s="172">
        <v>0</v>
      </c>
      <c r="Z7" s="172">
        <v>0</v>
      </c>
      <c r="AA7" s="172">
        <v>0</v>
      </c>
      <c r="AB7" s="172">
        <v>0</v>
      </c>
      <c r="AC7" s="251">
        <v>0</v>
      </c>
      <c r="AD7" s="172">
        <v>0</v>
      </c>
      <c r="AE7" s="172">
        <v>0</v>
      </c>
      <c r="AF7" s="172">
        <v>0</v>
      </c>
      <c r="AG7" s="172">
        <v>0</v>
      </c>
      <c r="AH7" s="252">
        <v>311681.42257607193</v>
      </c>
      <c r="AI7" s="172">
        <v>0</v>
      </c>
      <c r="AJ7" s="172">
        <v>-185338.80739603125</v>
      </c>
      <c r="AK7" s="253">
        <v>126342.61518004068</v>
      </c>
      <c r="AL7" s="176">
        <v>0</v>
      </c>
      <c r="AM7" s="172">
        <v>1112737.1820750909</v>
      </c>
      <c r="AN7" s="173">
        <v>0</v>
      </c>
      <c r="AO7" s="176">
        <v>0</v>
      </c>
      <c r="AP7" s="172">
        <v>1112737.1820750909</v>
      </c>
      <c r="AQ7" s="177">
        <v>1</v>
      </c>
      <c r="AR7" s="172">
        <v>0</v>
      </c>
      <c r="AS7" s="172">
        <v>1.9069020866773676</v>
      </c>
      <c r="AT7" s="172">
        <v>-33630.025308973389</v>
      </c>
      <c r="AU7" s="172">
        <v>0</v>
      </c>
      <c r="AV7" s="172">
        <v>-185338.80739603125</v>
      </c>
      <c r="AW7" s="172">
        <v>-218968.83270500464</v>
      </c>
      <c r="AX7" s="172">
        <v>186711.47815244272</v>
      </c>
      <c r="AY7" s="172">
        <v>-1372.6707564118635</v>
      </c>
      <c r="AZ7" s="172">
        <v>-185338.80739603125</v>
      </c>
      <c r="BA7" s="172">
        <v>-3.7834979593753815E-10</v>
      </c>
      <c r="BB7" s="172">
        <v>1.9069020866773676</v>
      </c>
      <c r="BC7" s="172">
        <v>1.9056785370548606</v>
      </c>
      <c r="BD7" s="172">
        <v>-33630.025308973389</v>
      </c>
      <c r="BE7" s="172">
        <v>0</v>
      </c>
      <c r="BF7" s="172">
        <v>-185338.80739603125</v>
      </c>
      <c r="BG7" s="172">
        <v>-218968.83270500464</v>
      </c>
      <c r="BH7" s="172">
        <v>186711.47815244272</v>
      </c>
      <c r="BI7" s="172">
        <v>-1372.6707564118635</v>
      </c>
      <c r="BJ7" s="172">
        <v>-185338.80739603125</v>
      </c>
      <c r="BK7" s="172">
        <v>-3.7834979593753815E-10</v>
      </c>
      <c r="BL7" s="172">
        <v>1112737.1820750909</v>
      </c>
      <c r="BM7" s="172" t="s">
        <v>353</v>
      </c>
      <c r="BN7" s="172">
        <v>0</v>
      </c>
      <c r="BO7" s="172" t="b">
        <v>0</v>
      </c>
      <c r="BP7" s="172">
        <v>-185338.80739603125</v>
      </c>
      <c r="BQ7" s="178">
        <v>1.34</v>
      </c>
      <c r="BR7" s="173">
        <v>0</v>
      </c>
      <c r="BS7" s="179">
        <v>70</v>
      </c>
      <c r="BT7" s="173">
        <v>0</v>
      </c>
      <c r="BU7" s="237">
        <v>0</v>
      </c>
      <c r="BV7" s="173">
        <v>148</v>
      </c>
      <c r="BW7" s="180">
        <v>1.9069020866773676</v>
      </c>
      <c r="BX7" s="180">
        <v>0</v>
      </c>
      <c r="BY7" s="172">
        <v>0</v>
      </c>
      <c r="BZ7" s="172">
        <v>-1424418.6046511629</v>
      </c>
      <c r="CA7" s="172">
        <v>-1424418.6046511629</v>
      </c>
      <c r="CB7" s="172">
        <v>-186711.47815244272</v>
      </c>
      <c r="CC7" s="172">
        <v>0</v>
      </c>
      <c r="CD7" s="172">
        <v>0</v>
      </c>
      <c r="CE7" s="172">
        <v>0</v>
      </c>
      <c r="CF7" s="172">
        <v>0</v>
      </c>
      <c r="CG7" s="172">
        <v>311681.42257607193</v>
      </c>
      <c r="CH7" s="172">
        <v>0</v>
      </c>
      <c r="CI7" s="172">
        <v>-185338.80739603125</v>
      </c>
      <c r="CJ7" s="172">
        <v>126342.61518004068</v>
      </c>
      <c r="CK7" s="173">
        <v>0</v>
      </c>
      <c r="CL7" s="173">
        <v>0</v>
      </c>
    </row>
    <row r="8" spans="1:90" s="195" customFormat="1" ht="20.100000000000001" customHeight="1" outlineLevel="2" x14ac:dyDescent="0.25">
      <c r="A8" s="182" t="s">
        <v>354</v>
      </c>
      <c r="B8" s="182"/>
      <c r="C8" s="182"/>
      <c r="D8" s="182"/>
      <c r="E8" s="182"/>
      <c r="F8" s="182"/>
      <c r="G8" s="182"/>
      <c r="H8" s="182"/>
      <c r="I8" s="183"/>
      <c r="J8" s="185"/>
      <c r="K8" s="185"/>
      <c r="L8" s="186"/>
      <c r="M8" s="187"/>
      <c r="N8" s="187"/>
      <c r="O8" s="186"/>
      <c r="P8" s="188"/>
      <c r="Q8" s="188"/>
      <c r="R8" s="189">
        <v>0</v>
      </c>
      <c r="S8" s="189">
        <v>0</v>
      </c>
      <c r="T8" s="189">
        <v>0</v>
      </c>
      <c r="U8" s="254">
        <v>0</v>
      </c>
      <c r="V8" s="186"/>
      <c r="W8" s="186">
        <v>0</v>
      </c>
      <c r="X8" s="186">
        <v>0</v>
      </c>
      <c r="Y8" s="186">
        <v>0</v>
      </c>
      <c r="Z8" s="186">
        <v>0</v>
      </c>
      <c r="AA8" s="186">
        <v>0</v>
      </c>
      <c r="AB8" s="186">
        <v>0</v>
      </c>
      <c r="AC8" s="254">
        <v>0</v>
      </c>
      <c r="AD8" s="186">
        <v>0</v>
      </c>
      <c r="AE8" s="186">
        <v>0</v>
      </c>
      <c r="AF8" s="186">
        <v>0</v>
      </c>
      <c r="AG8" s="186">
        <v>0</v>
      </c>
      <c r="AH8" s="255">
        <v>311681.42257607193</v>
      </c>
      <c r="AI8" s="186">
        <v>0</v>
      </c>
      <c r="AJ8" s="186">
        <v>-185338.80739603125</v>
      </c>
      <c r="AK8" s="256">
        <v>126342.61518004068</v>
      </c>
      <c r="AL8" s="190"/>
      <c r="AM8" s="186">
        <v>1112737.1820750909</v>
      </c>
      <c r="AN8" s="187"/>
      <c r="AO8" s="190"/>
      <c r="AP8" s="186">
        <v>1112737.1820750909</v>
      </c>
      <c r="AQ8" s="191"/>
      <c r="AR8" s="186"/>
      <c r="AS8" s="186"/>
      <c r="AT8" s="186">
        <v>-33630.025308973389</v>
      </c>
      <c r="AU8" s="186">
        <v>0</v>
      </c>
      <c r="AV8" s="186">
        <v>-185338.80739603125</v>
      </c>
      <c r="AW8" s="186">
        <v>-218968.83270500464</v>
      </c>
      <c r="AX8" s="186">
        <v>186711.47815244272</v>
      </c>
      <c r="AY8" s="186">
        <v>-1372.6707564118635</v>
      </c>
      <c r="AZ8" s="186">
        <v>-185338.80739603125</v>
      </c>
      <c r="BA8" s="186">
        <v>-3.7834979593753815E-10</v>
      </c>
      <c r="BB8" s="186"/>
      <c r="BC8" s="186"/>
      <c r="BD8" s="186"/>
      <c r="BE8" s="186"/>
      <c r="BF8" s="186"/>
      <c r="BG8" s="186"/>
      <c r="BH8" s="186"/>
      <c r="BI8" s="186"/>
      <c r="BJ8" s="186"/>
      <c r="BK8" s="186"/>
      <c r="BL8" s="186"/>
      <c r="BM8" s="186"/>
      <c r="BN8" s="186"/>
      <c r="BO8" s="186"/>
      <c r="BP8" s="186"/>
      <c r="BQ8" s="192"/>
      <c r="BR8" s="187"/>
      <c r="BS8" s="193"/>
      <c r="BT8" s="187"/>
      <c r="BU8" s="230"/>
      <c r="BV8" s="187"/>
      <c r="BW8" s="194"/>
      <c r="BX8" s="194"/>
      <c r="BY8" s="186"/>
      <c r="BZ8" s="186"/>
      <c r="CA8" s="186">
        <v>-1424418.6046511629</v>
      </c>
      <c r="CB8" s="186"/>
      <c r="CC8" s="186"/>
      <c r="CD8" s="186"/>
      <c r="CE8" s="186"/>
      <c r="CF8" s="186"/>
      <c r="CG8" s="186"/>
      <c r="CH8" s="186"/>
      <c r="CI8" s="186"/>
      <c r="CJ8" s="186"/>
      <c r="CK8" s="187"/>
      <c r="CL8" s="187"/>
    </row>
    <row r="9" spans="1:90" s="206" customFormat="1" ht="30" customHeight="1" outlineLevel="1" x14ac:dyDescent="0.25">
      <c r="A9" s="182"/>
      <c r="B9" s="181" t="s">
        <v>355</v>
      </c>
      <c r="C9" s="182"/>
      <c r="D9" s="182"/>
      <c r="E9" s="182"/>
      <c r="F9" s="182"/>
      <c r="G9" s="182"/>
      <c r="H9" s="182"/>
      <c r="I9" s="183"/>
      <c r="J9" s="196"/>
      <c r="K9" s="196"/>
      <c r="L9" s="197"/>
      <c r="M9" s="198"/>
      <c r="N9" s="198"/>
      <c r="O9" s="197"/>
      <c r="P9" s="199"/>
      <c r="Q9" s="199"/>
      <c r="R9" s="200">
        <v>0</v>
      </c>
      <c r="S9" s="200">
        <v>0</v>
      </c>
      <c r="T9" s="200">
        <v>0</v>
      </c>
      <c r="U9" s="257">
        <v>5523881.8899999997</v>
      </c>
      <c r="V9" s="197"/>
      <c r="W9" s="197">
        <v>0</v>
      </c>
      <c r="X9" s="197">
        <v>0</v>
      </c>
      <c r="Y9" s="197">
        <v>0</v>
      </c>
      <c r="Z9" s="197">
        <v>0</v>
      </c>
      <c r="AA9" s="197">
        <v>0</v>
      </c>
      <c r="AB9" s="197">
        <v>0</v>
      </c>
      <c r="AC9" s="257">
        <v>5523881.8899999997</v>
      </c>
      <c r="AD9" s="197">
        <v>0</v>
      </c>
      <c r="AE9" s="197">
        <v>0</v>
      </c>
      <c r="AF9" s="197">
        <v>0</v>
      </c>
      <c r="AG9" s="197">
        <v>0</v>
      </c>
      <c r="AH9" s="258">
        <v>311681.42257607193</v>
      </c>
      <c r="AI9" s="197">
        <v>0</v>
      </c>
      <c r="AJ9" s="197">
        <v>-185338.80739603125</v>
      </c>
      <c r="AK9" s="259">
        <v>126342.61518004068</v>
      </c>
      <c r="AL9" s="201"/>
      <c r="AM9" s="197">
        <v>6756744.1820750907</v>
      </c>
      <c r="AN9" s="198"/>
      <c r="AO9" s="201"/>
      <c r="AP9" s="197">
        <v>6756744.1820750907</v>
      </c>
      <c r="AQ9" s="202"/>
      <c r="AR9" s="197"/>
      <c r="AS9" s="197"/>
      <c r="AT9" s="197">
        <v>-33630.025308973389</v>
      </c>
      <c r="AU9" s="197">
        <v>0</v>
      </c>
      <c r="AV9" s="197">
        <v>-185338.80739603125</v>
      </c>
      <c r="AW9" s="197">
        <v>-218968.83270500464</v>
      </c>
      <c r="AX9" s="197">
        <v>186711.47815244272</v>
      </c>
      <c r="AY9" s="197">
        <v>-1372.6707564118635</v>
      </c>
      <c r="AZ9" s="197">
        <v>-185338.80739603125</v>
      </c>
      <c r="BA9" s="197">
        <v>-3.7834979593753815E-10</v>
      </c>
      <c r="BB9" s="197"/>
      <c r="BC9" s="197"/>
      <c r="BD9" s="197"/>
      <c r="BE9" s="197"/>
      <c r="BF9" s="197"/>
      <c r="BG9" s="197"/>
      <c r="BH9" s="197"/>
      <c r="BI9" s="197"/>
      <c r="BJ9" s="197"/>
      <c r="BK9" s="197"/>
      <c r="BL9" s="197"/>
      <c r="BM9" s="197"/>
      <c r="BN9" s="197"/>
      <c r="BO9" s="197"/>
      <c r="BP9" s="197"/>
      <c r="BQ9" s="203"/>
      <c r="BR9" s="198"/>
      <c r="BS9" s="204"/>
      <c r="BT9" s="198"/>
      <c r="BU9" s="231"/>
      <c r="BV9" s="198"/>
      <c r="BW9" s="205"/>
      <c r="BX9" s="205"/>
      <c r="BY9" s="197"/>
      <c r="BZ9" s="197"/>
      <c r="CA9" s="197">
        <v>-1544543.714651163</v>
      </c>
      <c r="CB9" s="197"/>
      <c r="CC9" s="197"/>
      <c r="CD9" s="197"/>
      <c r="CE9" s="197"/>
      <c r="CF9" s="197"/>
      <c r="CG9" s="197"/>
      <c r="CH9" s="197"/>
      <c r="CI9" s="197"/>
      <c r="CJ9" s="197"/>
      <c r="CK9" s="198"/>
      <c r="CL9" s="198"/>
    </row>
    <row r="10" spans="1:90" outlineLevel="3" x14ac:dyDescent="0.25">
      <c r="A10" s="143" t="s">
        <v>494</v>
      </c>
      <c r="B10" s="143" t="s">
        <v>495</v>
      </c>
      <c r="C10" s="143" t="s">
        <v>496</v>
      </c>
      <c r="D10" s="143" t="s">
        <v>497</v>
      </c>
      <c r="E10" s="143" t="s">
        <v>498</v>
      </c>
      <c r="F10" s="143" t="s">
        <v>499</v>
      </c>
      <c r="G10" s="143" t="s">
        <v>500</v>
      </c>
      <c r="H10" s="143" t="s">
        <v>351</v>
      </c>
      <c r="I10" s="169" t="s">
        <v>343</v>
      </c>
      <c r="J10" s="171">
        <v>1093426</v>
      </c>
      <c r="K10" s="171">
        <v>1093426</v>
      </c>
      <c r="L10" s="173">
        <v>0</v>
      </c>
      <c r="M10" s="173">
        <v>0</v>
      </c>
      <c r="N10" s="173">
        <v>1</v>
      </c>
      <c r="O10" s="172">
        <v>24.25</v>
      </c>
      <c r="P10" s="174">
        <v>28.875</v>
      </c>
      <c r="Q10" s="174">
        <v>-4.625</v>
      </c>
      <c r="R10" s="175">
        <v>0</v>
      </c>
      <c r="S10" s="175">
        <v>0</v>
      </c>
      <c r="T10" s="175">
        <v>0</v>
      </c>
      <c r="U10" s="251">
        <v>26515580.5</v>
      </c>
      <c r="V10" s="172" t="s">
        <v>345</v>
      </c>
      <c r="W10" s="172">
        <v>0</v>
      </c>
      <c r="X10" s="172">
        <v>0</v>
      </c>
      <c r="Y10" s="172">
        <v>0</v>
      </c>
      <c r="Z10" s="172">
        <v>0</v>
      </c>
      <c r="AA10" s="172">
        <v>0</v>
      </c>
      <c r="AB10" s="172">
        <v>0</v>
      </c>
      <c r="AC10" s="251">
        <v>31572675.75</v>
      </c>
      <c r="AD10" s="172">
        <v>-5057095.25</v>
      </c>
      <c r="AE10" s="172">
        <v>0</v>
      </c>
      <c r="AF10" s="172">
        <v>5057095.25</v>
      </c>
      <c r="AG10" s="172">
        <v>0</v>
      </c>
      <c r="AH10" s="252">
        <v>-77496567.75</v>
      </c>
      <c r="AI10" s="172">
        <v>0</v>
      </c>
      <c r="AJ10" s="172">
        <v>151166144.5</v>
      </c>
      <c r="AK10" s="253">
        <v>73669576.75</v>
      </c>
      <c r="AL10" s="176">
        <v>0</v>
      </c>
      <c r="AM10" s="172">
        <v>104012148.25</v>
      </c>
      <c r="AN10" s="173">
        <v>0</v>
      </c>
      <c r="AO10" s="176">
        <v>0</v>
      </c>
      <c r="AP10" s="172">
        <v>104012148.25</v>
      </c>
      <c r="AQ10" s="177">
        <v>1</v>
      </c>
      <c r="AR10" s="172">
        <v>26515580.5</v>
      </c>
      <c r="AS10" s="172">
        <v>24.25</v>
      </c>
      <c r="AT10" s="172">
        <v>-20911772.25</v>
      </c>
      <c r="AU10" s="172">
        <v>0</v>
      </c>
      <c r="AV10" s="172">
        <v>151166144.5</v>
      </c>
      <c r="AW10" s="172">
        <v>130254372.25</v>
      </c>
      <c r="AX10" s="172">
        <v>-151166144.5</v>
      </c>
      <c r="AY10" s="172">
        <v>0</v>
      </c>
      <c r="AZ10" s="172">
        <v>151166144.5</v>
      </c>
      <c r="BA10" s="172">
        <v>0</v>
      </c>
      <c r="BB10" s="172">
        <v>24.25</v>
      </c>
      <c r="BC10" s="172">
        <v>28.875</v>
      </c>
      <c r="BD10" s="172">
        <v>-15854677</v>
      </c>
      <c r="BE10" s="172">
        <v>0</v>
      </c>
      <c r="BF10" s="172">
        <v>146109049.25</v>
      </c>
      <c r="BG10" s="172">
        <v>130254372.25</v>
      </c>
      <c r="BH10" s="172">
        <v>-146109049.25</v>
      </c>
      <c r="BI10" s="172">
        <v>0</v>
      </c>
      <c r="BJ10" s="172">
        <v>146109049.25</v>
      </c>
      <c r="BK10" s="172">
        <v>0</v>
      </c>
      <c r="BL10" s="172">
        <v>104012148.25</v>
      </c>
      <c r="BM10" s="172" t="s">
        <v>353</v>
      </c>
      <c r="BN10" s="172">
        <v>0</v>
      </c>
      <c r="BO10" s="172" t="b">
        <v>0</v>
      </c>
      <c r="BP10" s="172">
        <v>146109049.25</v>
      </c>
      <c r="BQ10" s="174">
        <v>3</v>
      </c>
      <c r="BR10" s="173">
        <v>3280278</v>
      </c>
      <c r="BS10" s="179">
        <v>57</v>
      </c>
      <c r="BT10" s="173">
        <v>-5057095.25</v>
      </c>
      <c r="BU10" s="237">
        <v>0</v>
      </c>
      <c r="BV10" s="173">
        <v>71</v>
      </c>
      <c r="BW10" s="180">
        <v>24.25</v>
      </c>
      <c r="BX10" s="180">
        <v>0</v>
      </c>
      <c r="BY10" s="172">
        <v>0</v>
      </c>
      <c r="BZ10" s="172">
        <v>0</v>
      </c>
      <c r="CA10" s="172">
        <v>0</v>
      </c>
      <c r="CB10" s="172">
        <v>177681725</v>
      </c>
      <c r="CC10" s="172">
        <v>0</v>
      </c>
      <c r="CD10" s="172">
        <v>0</v>
      </c>
      <c r="CE10" s="172">
        <v>0</v>
      </c>
      <c r="CF10" s="172">
        <v>0</v>
      </c>
      <c r="CG10" s="172">
        <v>-72439472.5</v>
      </c>
      <c r="CH10" s="172">
        <v>0</v>
      </c>
      <c r="CI10" s="172">
        <v>146109049.25</v>
      </c>
      <c r="CJ10" s="172">
        <v>73669576.75</v>
      </c>
      <c r="CK10" s="173">
        <v>0</v>
      </c>
      <c r="CL10" s="173">
        <v>0</v>
      </c>
    </row>
    <row r="11" spans="1:90" s="195" customFormat="1" ht="20.100000000000001" customHeight="1" outlineLevel="2" x14ac:dyDescent="0.25">
      <c r="A11" s="182" t="s">
        <v>501</v>
      </c>
      <c r="B11" s="182"/>
      <c r="C11" s="182"/>
      <c r="D11" s="182"/>
      <c r="E11" s="182"/>
      <c r="F11" s="182"/>
      <c r="G11" s="182"/>
      <c r="H11" s="182"/>
      <c r="I11" s="183"/>
      <c r="J11" s="185"/>
      <c r="K11" s="185"/>
      <c r="L11" s="187"/>
      <c r="M11" s="187"/>
      <c r="N11" s="187"/>
      <c r="O11" s="186"/>
      <c r="P11" s="188"/>
      <c r="Q11" s="188"/>
      <c r="R11" s="189">
        <v>0</v>
      </c>
      <c r="S11" s="189">
        <v>0</v>
      </c>
      <c r="T11" s="189">
        <v>0</v>
      </c>
      <c r="U11" s="254">
        <v>26515580.5</v>
      </c>
      <c r="V11" s="186"/>
      <c r="W11" s="186">
        <v>0</v>
      </c>
      <c r="X11" s="186">
        <v>0</v>
      </c>
      <c r="Y11" s="186">
        <v>0</v>
      </c>
      <c r="Z11" s="186">
        <v>0</v>
      </c>
      <c r="AA11" s="186">
        <v>0</v>
      </c>
      <c r="AB11" s="186">
        <v>0</v>
      </c>
      <c r="AC11" s="254">
        <v>31572675.75</v>
      </c>
      <c r="AD11" s="186">
        <v>-5057095.25</v>
      </c>
      <c r="AE11" s="186">
        <v>0</v>
      </c>
      <c r="AF11" s="186">
        <v>5057095.25</v>
      </c>
      <c r="AG11" s="186">
        <v>0</v>
      </c>
      <c r="AH11" s="255">
        <v>-77496567.75</v>
      </c>
      <c r="AI11" s="186">
        <v>0</v>
      </c>
      <c r="AJ11" s="186">
        <v>151166144.5</v>
      </c>
      <c r="AK11" s="256">
        <v>73669576.75</v>
      </c>
      <c r="AL11" s="190"/>
      <c r="AM11" s="186">
        <v>104012148.25</v>
      </c>
      <c r="AN11" s="187"/>
      <c r="AO11" s="190"/>
      <c r="AP11" s="186">
        <v>104012148.25</v>
      </c>
      <c r="AQ11" s="191"/>
      <c r="AR11" s="186"/>
      <c r="AS11" s="186"/>
      <c r="AT11" s="186">
        <v>-20911772.25</v>
      </c>
      <c r="AU11" s="186">
        <v>0</v>
      </c>
      <c r="AV11" s="186">
        <v>151166144.5</v>
      </c>
      <c r="AW11" s="186">
        <v>130254372.25</v>
      </c>
      <c r="AX11" s="186">
        <v>-151166144.5</v>
      </c>
      <c r="AY11" s="186">
        <v>0</v>
      </c>
      <c r="AZ11" s="186">
        <v>151166144.5</v>
      </c>
      <c r="BA11" s="186">
        <v>0</v>
      </c>
      <c r="BB11" s="186"/>
      <c r="BC11" s="186"/>
      <c r="BD11" s="186"/>
      <c r="BE11" s="186"/>
      <c r="BF11" s="186"/>
      <c r="BG11" s="186"/>
      <c r="BH11" s="186"/>
      <c r="BI11" s="186"/>
      <c r="BJ11" s="186"/>
      <c r="BK11" s="186"/>
      <c r="BL11" s="186"/>
      <c r="BM11" s="186"/>
      <c r="BN11" s="186"/>
      <c r="BO11" s="186"/>
      <c r="BP11" s="186"/>
      <c r="BQ11" s="188"/>
      <c r="BR11" s="187"/>
      <c r="BS11" s="193"/>
      <c r="BT11" s="187"/>
      <c r="BU11" s="230"/>
      <c r="BV11" s="187"/>
      <c r="BW11" s="194"/>
      <c r="BX11" s="194"/>
      <c r="BY11" s="186"/>
      <c r="BZ11" s="186"/>
      <c r="CA11" s="186">
        <v>0</v>
      </c>
      <c r="CB11" s="186"/>
      <c r="CC11" s="186"/>
      <c r="CD11" s="186"/>
      <c r="CE11" s="186"/>
      <c r="CF11" s="186"/>
      <c r="CG11" s="186"/>
      <c r="CH11" s="186"/>
      <c r="CI11" s="186"/>
      <c r="CJ11" s="186"/>
      <c r="CK11" s="187"/>
      <c r="CL11" s="187"/>
    </row>
    <row r="12" spans="1:90" s="206" customFormat="1" ht="30" customHeight="1" outlineLevel="1" x14ac:dyDescent="0.25">
      <c r="A12" s="182"/>
      <c r="B12" s="182" t="s">
        <v>502</v>
      </c>
      <c r="C12" s="182"/>
      <c r="D12" s="182"/>
      <c r="E12" s="182"/>
      <c r="F12" s="182"/>
      <c r="G12" s="182"/>
      <c r="H12" s="182"/>
      <c r="I12" s="183"/>
      <c r="J12" s="196"/>
      <c r="K12" s="196"/>
      <c r="L12" s="198"/>
      <c r="M12" s="198"/>
      <c r="N12" s="198"/>
      <c r="O12" s="197"/>
      <c r="P12" s="199"/>
      <c r="Q12" s="199"/>
      <c r="R12" s="200">
        <v>0</v>
      </c>
      <c r="S12" s="200">
        <v>0</v>
      </c>
      <c r="T12" s="200">
        <v>0</v>
      </c>
      <c r="U12" s="257">
        <v>26515580.5</v>
      </c>
      <c r="V12" s="197"/>
      <c r="W12" s="197">
        <v>0</v>
      </c>
      <c r="X12" s="197">
        <v>0</v>
      </c>
      <c r="Y12" s="197">
        <v>0</v>
      </c>
      <c r="Z12" s="197">
        <v>0</v>
      </c>
      <c r="AA12" s="197">
        <v>0</v>
      </c>
      <c r="AB12" s="197">
        <v>0</v>
      </c>
      <c r="AC12" s="257">
        <v>31572675.75</v>
      </c>
      <c r="AD12" s="197">
        <v>-5057095.25</v>
      </c>
      <c r="AE12" s="197">
        <v>0</v>
      </c>
      <c r="AF12" s="197">
        <v>5057095.25</v>
      </c>
      <c r="AG12" s="197">
        <v>0</v>
      </c>
      <c r="AH12" s="258">
        <v>-77496567.75</v>
      </c>
      <c r="AI12" s="197">
        <v>0</v>
      </c>
      <c r="AJ12" s="197">
        <v>151166144.5</v>
      </c>
      <c r="AK12" s="259">
        <v>73669576.75</v>
      </c>
      <c r="AL12" s="201"/>
      <c r="AM12" s="197">
        <v>104012148.25</v>
      </c>
      <c r="AN12" s="198"/>
      <c r="AO12" s="201"/>
      <c r="AP12" s="197">
        <v>104012148.25</v>
      </c>
      <c r="AQ12" s="202"/>
      <c r="AR12" s="197"/>
      <c r="AS12" s="197"/>
      <c r="AT12" s="197">
        <v>-20911772.25</v>
      </c>
      <c r="AU12" s="197">
        <v>0</v>
      </c>
      <c r="AV12" s="197">
        <v>151166144.5</v>
      </c>
      <c r="AW12" s="197">
        <v>130254372.25</v>
      </c>
      <c r="AX12" s="197">
        <v>-151166144.5</v>
      </c>
      <c r="AY12" s="197">
        <v>0</v>
      </c>
      <c r="AZ12" s="197">
        <v>151166144.5</v>
      </c>
      <c r="BA12" s="197">
        <v>0</v>
      </c>
      <c r="BB12" s="197"/>
      <c r="BC12" s="197"/>
      <c r="BD12" s="197"/>
      <c r="BE12" s="197"/>
      <c r="BF12" s="197"/>
      <c r="BG12" s="197"/>
      <c r="BH12" s="197"/>
      <c r="BI12" s="197"/>
      <c r="BJ12" s="197"/>
      <c r="BK12" s="197"/>
      <c r="BL12" s="197"/>
      <c r="BM12" s="197"/>
      <c r="BN12" s="197"/>
      <c r="BO12" s="197"/>
      <c r="BP12" s="197"/>
      <c r="BQ12" s="199"/>
      <c r="BR12" s="198"/>
      <c r="BS12" s="204"/>
      <c r="BT12" s="198"/>
      <c r="BU12" s="231"/>
      <c r="BV12" s="198"/>
      <c r="BW12" s="205"/>
      <c r="BX12" s="205"/>
      <c r="BY12" s="197"/>
      <c r="BZ12" s="197"/>
      <c r="CA12" s="197">
        <v>0</v>
      </c>
      <c r="CB12" s="197"/>
      <c r="CC12" s="197"/>
      <c r="CD12" s="197"/>
      <c r="CE12" s="197"/>
      <c r="CF12" s="197"/>
      <c r="CG12" s="197"/>
      <c r="CH12" s="197"/>
      <c r="CI12" s="197"/>
      <c r="CJ12" s="197"/>
      <c r="CK12" s="198"/>
      <c r="CL12" s="198"/>
    </row>
    <row r="13" spans="1:90" outlineLevel="3" x14ac:dyDescent="0.25">
      <c r="A13" s="143" t="s">
        <v>356</v>
      </c>
      <c r="B13" s="143" t="s">
        <v>357</v>
      </c>
      <c r="C13" s="143" t="s">
        <v>363</v>
      </c>
      <c r="D13" s="143" t="s">
        <v>364</v>
      </c>
      <c r="E13" s="143" t="s">
        <v>204</v>
      </c>
      <c r="F13" s="143" t="s">
        <v>203</v>
      </c>
      <c r="G13" s="143" t="s">
        <v>360</v>
      </c>
      <c r="H13" s="143" t="s">
        <v>342</v>
      </c>
      <c r="I13" s="169" t="s">
        <v>362</v>
      </c>
      <c r="J13" s="171">
        <v>1</v>
      </c>
      <c r="K13" s="171">
        <v>1</v>
      </c>
      <c r="L13" s="173">
        <v>0</v>
      </c>
      <c r="M13" s="173">
        <v>0</v>
      </c>
      <c r="N13" s="173">
        <v>0</v>
      </c>
      <c r="O13" s="172">
        <v>4661410.0599999996</v>
      </c>
      <c r="P13" s="173">
        <v>4661410.0599999996</v>
      </c>
      <c r="Q13" s="173">
        <v>0</v>
      </c>
      <c r="R13" s="175" t="s">
        <v>365</v>
      </c>
      <c r="S13" s="175">
        <v>0</v>
      </c>
      <c r="T13" s="175">
        <v>0</v>
      </c>
      <c r="U13" s="251">
        <v>4661410.0599999996</v>
      </c>
      <c r="V13" s="172" t="s">
        <v>345</v>
      </c>
      <c r="W13" s="172">
        <v>0</v>
      </c>
      <c r="X13" s="172">
        <v>0</v>
      </c>
      <c r="Y13" s="172">
        <v>0</v>
      </c>
      <c r="Z13" s="172">
        <v>0</v>
      </c>
      <c r="AA13" s="172">
        <v>0</v>
      </c>
      <c r="AB13" s="172">
        <v>0</v>
      </c>
      <c r="AC13" s="251">
        <v>4661410.0599999996</v>
      </c>
      <c r="AD13" s="172">
        <v>0</v>
      </c>
      <c r="AE13" s="172">
        <v>0</v>
      </c>
      <c r="AF13" s="172">
        <v>0</v>
      </c>
      <c r="AG13" s="172">
        <v>0</v>
      </c>
      <c r="AH13" s="252">
        <v>0</v>
      </c>
      <c r="AI13" s="172">
        <v>0</v>
      </c>
      <c r="AJ13" s="172">
        <v>0</v>
      </c>
      <c r="AK13" s="253">
        <v>0</v>
      </c>
      <c r="AL13" s="176">
        <v>0</v>
      </c>
      <c r="AM13" s="172">
        <v>4572700.07</v>
      </c>
      <c r="AN13" s="173">
        <v>0</v>
      </c>
      <c r="AO13" s="176">
        <v>0</v>
      </c>
      <c r="AP13" s="172">
        <v>4572700.07</v>
      </c>
      <c r="AQ13" s="177">
        <v>1</v>
      </c>
      <c r="AR13" s="172">
        <v>0</v>
      </c>
      <c r="AS13" s="172">
        <v>4661410.0599999996</v>
      </c>
      <c r="AT13" s="172">
        <v>0</v>
      </c>
      <c r="AU13" s="172">
        <v>0</v>
      </c>
      <c r="AV13" s="172">
        <v>0</v>
      </c>
      <c r="AW13" s="172">
        <v>0</v>
      </c>
      <c r="AX13" s="172">
        <v>0</v>
      </c>
      <c r="AY13" s="172">
        <v>0</v>
      </c>
      <c r="AZ13" s="172">
        <v>0</v>
      </c>
      <c r="BA13" s="172">
        <v>0</v>
      </c>
      <c r="BB13" s="172" t="s">
        <v>203</v>
      </c>
      <c r="BC13" s="172" t="s">
        <v>203</v>
      </c>
      <c r="BD13" s="172">
        <v>0</v>
      </c>
      <c r="BE13" s="172">
        <v>0</v>
      </c>
      <c r="BF13" s="172">
        <v>0</v>
      </c>
      <c r="BG13" s="172">
        <v>0</v>
      </c>
      <c r="BH13" s="172">
        <v>0</v>
      </c>
      <c r="BI13" s="172">
        <v>0</v>
      </c>
      <c r="BJ13" s="172">
        <v>0</v>
      </c>
      <c r="BK13" s="172">
        <v>0</v>
      </c>
      <c r="BL13" s="172">
        <v>4572700.07</v>
      </c>
      <c r="BM13" s="172" t="s">
        <v>346</v>
      </c>
      <c r="BN13" s="172">
        <v>0</v>
      </c>
      <c r="BO13" s="172" t="b">
        <v>0</v>
      </c>
      <c r="BP13" s="172">
        <v>0</v>
      </c>
      <c r="BQ13" s="174">
        <v>0</v>
      </c>
      <c r="BR13" s="173">
        <v>0</v>
      </c>
      <c r="BS13" s="179">
        <v>71</v>
      </c>
      <c r="BT13" s="173">
        <v>0</v>
      </c>
      <c r="BU13" s="237">
        <v>0</v>
      </c>
      <c r="BV13" s="173">
        <v>189</v>
      </c>
      <c r="BW13" s="180">
        <v>0</v>
      </c>
      <c r="BX13" s="180">
        <v>0</v>
      </c>
      <c r="BY13" s="172">
        <v>0</v>
      </c>
      <c r="BZ13" s="172">
        <v>61189.74</v>
      </c>
      <c r="CA13" s="172">
        <v>88709.99</v>
      </c>
      <c r="CB13" s="172">
        <v>4661410.0599999996</v>
      </c>
      <c r="CC13" s="172">
        <v>0</v>
      </c>
      <c r="CD13" s="172">
        <v>0</v>
      </c>
      <c r="CE13" s="172">
        <v>0</v>
      </c>
      <c r="CF13" s="172">
        <v>0</v>
      </c>
      <c r="CG13" s="172">
        <v>0</v>
      </c>
      <c r="CH13" s="172">
        <v>0</v>
      </c>
      <c r="CI13" s="172">
        <v>0</v>
      </c>
      <c r="CJ13" s="172">
        <v>0</v>
      </c>
      <c r="CK13" s="173">
        <v>0</v>
      </c>
      <c r="CL13" s="173">
        <v>0</v>
      </c>
    </row>
    <row r="14" spans="1:90" outlineLevel="3" x14ac:dyDescent="0.25">
      <c r="A14" s="143" t="s">
        <v>356</v>
      </c>
      <c r="B14" s="143" t="s">
        <v>357</v>
      </c>
      <c r="C14" s="143" t="s">
        <v>363</v>
      </c>
      <c r="D14" s="143" t="s">
        <v>364</v>
      </c>
      <c r="E14" s="143" t="s">
        <v>205</v>
      </c>
      <c r="F14" s="143" t="s">
        <v>203</v>
      </c>
      <c r="G14" s="143" t="s">
        <v>360</v>
      </c>
      <c r="H14" s="143" t="s">
        <v>342</v>
      </c>
      <c r="I14" s="169" t="s">
        <v>362</v>
      </c>
      <c r="J14" s="171">
        <v>1</v>
      </c>
      <c r="K14" s="171">
        <v>1</v>
      </c>
      <c r="L14" s="173">
        <v>0</v>
      </c>
      <c r="M14" s="173">
        <v>0</v>
      </c>
      <c r="N14" s="173">
        <v>0</v>
      </c>
      <c r="O14" s="172">
        <v>21522405.140000001</v>
      </c>
      <c r="P14" s="173">
        <v>21522405.140000001</v>
      </c>
      <c r="Q14" s="173">
        <v>0</v>
      </c>
      <c r="R14" s="175" t="s">
        <v>366</v>
      </c>
      <c r="S14" s="175">
        <v>0</v>
      </c>
      <c r="T14" s="175">
        <v>0</v>
      </c>
      <c r="U14" s="251">
        <v>21522405.140000001</v>
      </c>
      <c r="V14" s="172" t="s">
        <v>345</v>
      </c>
      <c r="W14" s="172">
        <v>0</v>
      </c>
      <c r="X14" s="172">
        <v>0</v>
      </c>
      <c r="Y14" s="172">
        <v>0</v>
      </c>
      <c r="Z14" s="172">
        <v>0</v>
      </c>
      <c r="AA14" s="172">
        <v>0</v>
      </c>
      <c r="AB14" s="172">
        <v>0</v>
      </c>
      <c r="AC14" s="251">
        <v>21522405.140000001</v>
      </c>
      <c r="AD14" s="172">
        <v>0</v>
      </c>
      <c r="AE14" s="172">
        <v>0</v>
      </c>
      <c r="AF14" s="172">
        <v>0</v>
      </c>
      <c r="AG14" s="172">
        <v>0</v>
      </c>
      <c r="AH14" s="252">
        <v>0</v>
      </c>
      <c r="AI14" s="172">
        <v>0</v>
      </c>
      <c r="AJ14" s="172">
        <v>0</v>
      </c>
      <c r="AK14" s="253">
        <v>0</v>
      </c>
      <c r="AL14" s="176">
        <v>0</v>
      </c>
      <c r="AM14" s="172">
        <v>20916875</v>
      </c>
      <c r="AN14" s="173">
        <v>0</v>
      </c>
      <c r="AO14" s="176">
        <v>0</v>
      </c>
      <c r="AP14" s="172">
        <v>20916875</v>
      </c>
      <c r="AQ14" s="177">
        <v>1</v>
      </c>
      <c r="AR14" s="172">
        <v>0</v>
      </c>
      <c r="AS14" s="172">
        <v>21522405.140000001</v>
      </c>
      <c r="AT14" s="172">
        <v>0</v>
      </c>
      <c r="AU14" s="172">
        <v>0</v>
      </c>
      <c r="AV14" s="172">
        <v>0</v>
      </c>
      <c r="AW14" s="172">
        <v>0</v>
      </c>
      <c r="AX14" s="172">
        <v>0</v>
      </c>
      <c r="AY14" s="172">
        <v>0</v>
      </c>
      <c r="AZ14" s="172">
        <v>0</v>
      </c>
      <c r="BA14" s="172">
        <v>0</v>
      </c>
      <c r="BB14" s="172" t="s">
        <v>203</v>
      </c>
      <c r="BC14" s="172" t="s">
        <v>203</v>
      </c>
      <c r="BD14" s="172">
        <v>0</v>
      </c>
      <c r="BE14" s="172">
        <v>0</v>
      </c>
      <c r="BF14" s="172">
        <v>0</v>
      </c>
      <c r="BG14" s="172">
        <v>0</v>
      </c>
      <c r="BH14" s="172">
        <v>0</v>
      </c>
      <c r="BI14" s="172">
        <v>0</v>
      </c>
      <c r="BJ14" s="172">
        <v>0</v>
      </c>
      <c r="BK14" s="172">
        <v>0</v>
      </c>
      <c r="BL14" s="172">
        <v>20916875</v>
      </c>
      <c r="BM14" s="172" t="s">
        <v>346</v>
      </c>
      <c r="BN14" s="172">
        <v>0</v>
      </c>
      <c r="BO14" s="172" t="b">
        <v>0</v>
      </c>
      <c r="BP14" s="172">
        <v>0</v>
      </c>
      <c r="BQ14" s="174">
        <v>0</v>
      </c>
      <c r="BR14" s="173">
        <v>0</v>
      </c>
      <c r="BS14" s="179">
        <v>71</v>
      </c>
      <c r="BT14" s="173">
        <v>0</v>
      </c>
      <c r="BU14" s="237">
        <v>0</v>
      </c>
      <c r="BV14" s="173">
        <v>222</v>
      </c>
      <c r="BW14" s="180">
        <v>0</v>
      </c>
      <c r="BX14" s="180">
        <v>0</v>
      </c>
      <c r="BY14" s="172">
        <v>0</v>
      </c>
      <c r="BZ14" s="172">
        <v>219340.73</v>
      </c>
      <c r="CA14" s="172">
        <v>605530.14</v>
      </c>
      <c r="CB14" s="172">
        <v>21522405.140000001</v>
      </c>
      <c r="CC14" s="172">
        <v>0</v>
      </c>
      <c r="CD14" s="172">
        <v>0</v>
      </c>
      <c r="CE14" s="172">
        <v>0</v>
      </c>
      <c r="CF14" s="172">
        <v>0</v>
      </c>
      <c r="CG14" s="172">
        <v>0</v>
      </c>
      <c r="CH14" s="172">
        <v>0</v>
      </c>
      <c r="CI14" s="172">
        <v>0</v>
      </c>
      <c r="CJ14" s="172">
        <v>0</v>
      </c>
      <c r="CK14" s="173">
        <v>0</v>
      </c>
      <c r="CL14" s="173">
        <v>0</v>
      </c>
    </row>
    <row r="15" spans="1:90" outlineLevel="3" x14ac:dyDescent="0.25">
      <c r="A15" s="143" t="s">
        <v>356</v>
      </c>
      <c r="B15" s="143" t="s">
        <v>357</v>
      </c>
      <c r="C15" s="143" t="s">
        <v>363</v>
      </c>
      <c r="D15" s="143" t="s">
        <v>364</v>
      </c>
      <c r="E15" s="143" t="s">
        <v>535</v>
      </c>
      <c r="F15" s="143" t="s">
        <v>203</v>
      </c>
      <c r="G15" s="143" t="s">
        <v>360</v>
      </c>
      <c r="H15" s="143" t="s">
        <v>342</v>
      </c>
      <c r="I15" s="169" t="s">
        <v>362</v>
      </c>
      <c r="J15" s="171">
        <v>1</v>
      </c>
      <c r="K15" s="171">
        <v>1</v>
      </c>
      <c r="L15" s="173">
        <v>0</v>
      </c>
      <c r="M15" s="173">
        <v>0</v>
      </c>
      <c r="N15" s="173">
        <v>0</v>
      </c>
      <c r="O15" s="172">
        <v>1954995.27</v>
      </c>
      <c r="P15" s="173">
        <v>1954995.27</v>
      </c>
      <c r="Q15" s="173">
        <v>0</v>
      </c>
      <c r="R15" s="175" t="s">
        <v>366</v>
      </c>
      <c r="S15" s="175">
        <v>0</v>
      </c>
      <c r="T15" s="175">
        <v>0</v>
      </c>
      <c r="U15" s="251">
        <v>1954995.27</v>
      </c>
      <c r="V15" s="172" t="s">
        <v>345</v>
      </c>
      <c r="W15" s="172">
        <v>0</v>
      </c>
      <c r="X15" s="172">
        <v>0</v>
      </c>
      <c r="Y15" s="172">
        <v>0</v>
      </c>
      <c r="Z15" s="172">
        <v>0</v>
      </c>
      <c r="AA15" s="172">
        <v>0</v>
      </c>
      <c r="AB15" s="172">
        <v>0</v>
      </c>
      <c r="AC15" s="251">
        <v>1954995.27</v>
      </c>
      <c r="AD15" s="172">
        <v>0</v>
      </c>
      <c r="AE15" s="172">
        <v>0</v>
      </c>
      <c r="AF15" s="172">
        <v>0</v>
      </c>
      <c r="AG15" s="172">
        <v>0</v>
      </c>
      <c r="AH15" s="252">
        <v>0</v>
      </c>
      <c r="AI15" s="172">
        <v>0</v>
      </c>
      <c r="AJ15" s="172">
        <v>0</v>
      </c>
      <c r="AK15" s="253">
        <v>0</v>
      </c>
      <c r="AL15" s="176">
        <v>0</v>
      </c>
      <c r="AM15" s="172">
        <v>2560525</v>
      </c>
      <c r="AN15" s="173">
        <v>0</v>
      </c>
      <c r="AO15" s="176">
        <v>0</v>
      </c>
      <c r="AP15" s="172">
        <v>2560525</v>
      </c>
      <c r="AQ15" s="177">
        <v>1</v>
      </c>
      <c r="AR15" s="172">
        <v>0</v>
      </c>
      <c r="AS15" s="172">
        <v>1954995.27</v>
      </c>
      <c r="AT15" s="172">
        <v>0</v>
      </c>
      <c r="AU15" s="172">
        <v>0</v>
      </c>
      <c r="AV15" s="172">
        <v>0</v>
      </c>
      <c r="AW15" s="172">
        <v>0</v>
      </c>
      <c r="AX15" s="172">
        <v>0</v>
      </c>
      <c r="AY15" s="172">
        <v>0</v>
      </c>
      <c r="AZ15" s="172">
        <v>0</v>
      </c>
      <c r="BA15" s="172">
        <v>0</v>
      </c>
      <c r="BB15" s="172" t="s">
        <v>203</v>
      </c>
      <c r="BC15" s="172" t="s">
        <v>203</v>
      </c>
      <c r="BD15" s="172">
        <v>0</v>
      </c>
      <c r="BE15" s="172">
        <v>0</v>
      </c>
      <c r="BF15" s="172">
        <v>0</v>
      </c>
      <c r="BG15" s="172">
        <v>0</v>
      </c>
      <c r="BH15" s="172">
        <v>0</v>
      </c>
      <c r="BI15" s="172">
        <v>0</v>
      </c>
      <c r="BJ15" s="172">
        <v>0</v>
      </c>
      <c r="BK15" s="172">
        <v>0</v>
      </c>
      <c r="BL15" s="172">
        <v>2560525</v>
      </c>
      <c r="BM15" s="172" t="s">
        <v>346</v>
      </c>
      <c r="BN15" s="172">
        <v>0</v>
      </c>
      <c r="BO15" s="172" t="b">
        <v>0</v>
      </c>
      <c r="BP15" s="172">
        <v>0</v>
      </c>
      <c r="BQ15" s="174">
        <v>0</v>
      </c>
      <c r="BR15" s="173">
        <v>0</v>
      </c>
      <c r="BS15" s="179">
        <v>71</v>
      </c>
      <c r="BT15" s="173">
        <v>0</v>
      </c>
      <c r="BU15" s="237">
        <v>0</v>
      </c>
      <c r="BV15" s="173">
        <v>223</v>
      </c>
      <c r="BW15" s="180">
        <v>0</v>
      </c>
      <c r="BX15" s="180">
        <v>0</v>
      </c>
      <c r="BY15" s="172">
        <v>0</v>
      </c>
      <c r="BZ15" s="172">
        <v>-219340.73</v>
      </c>
      <c r="CA15" s="172">
        <v>-605529.73</v>
      </c>
      <c r="CB15" s="172">
        <v>1954995.27</v>
      </c>
      <c r="CC15" s="172">
        <v>0</v>
      </c>
      <c r="CD15" s="172">
        <v>0</v>
      </c>
      <c r="CE15" s="172">
        <v>0</v>
      </c>
      <c r="CF15" s="172">
        <v>0</v>
      </c>
      <c r="CG15" s="172">
        <v>0</v>
      </c>
      <c r="CH15" s="172">
        <v>0</v>
      </c>
      <c r="CI15" s="172">
        <v>0</v>
      </c>
      <c r="CJ15" s="172">
        <v>0</v>
      </c>
      <c r="CK15" s="173">
        <v>0</v>
      </c>
      <c r="CL15" s="173">
        <v>0</v>
      </c>
    </row>
    <row r="16" spans="1:90" outlineLevel="3" x14ac:dyDescent="0.25">
      <c r="A16" s="143" t="s">
        <v>356</v>
      </c>
      <c r="B16" s="143" t="s">
        <v>357</v>
      </c>
      <c r="C16" s="143" t="s">
        <v>363</v>
      </c>
      <c r="D16" s="143" t="s">
        <v>364</v>
      </c>
      <c r="E16" s="143" t="s">
        <v>206</v>
      </c>
      <c r="F16" s="143" t="s">
        <v>203</v>
      </c>
      <c r="G16" s="143" t="s">
        <v>360</v>
      </c>
      <c r="H16" s="143" t="s">
        <v>342</v>
      </c>
      <c r="I16" s="169" t="s">
        <v>362</v>
      </c>
      <c r="J16" s="171">
        <v>1</v>
      </c>
      <c r="K16" s="171">
        <v>1</v>
      </c>
      <c r="L16" s="173">
        <v>0</v>
      </c>
      <c r="M16" s="173">
        <v>0</v>
      </c>
      <c r="N16" s="173">
        <v>0</v>
      </c>
      <c r="O16" s="172">
        <v>7934692.5099999998</v>
      </c>
      <c r="P16" s="173">
        <v>7934692.5099999998</v>
      </c>
      <c r="Q16" s="173">
        <v>0</v>
      </c>
      <c r="R16" s="175" t="s">
        <v>367</v>
      </c>
      <c r="S16" s="175">
        <v>0</v>
      </c>
      <c r="T16" s="175">
        <v>0</v>
      </c>
      <c r="U16" s="251">
        <v>7934692.5099999998</v>
      </c>
      <c r="V16" s="172" t="s">
        <v>345</v>
      </c>
      <c r="W16" s="172">
        <v>0</v>
      </c>
      <c r="X16" s="172">
        <v>0</v>
      </c>
      <c r="Y16" s="172">
        <v>0</v>
      </c>
      <c r="Z16" s="172">
        <v>0</v>
      </c>
      <c r="AA16" s="172">
        <v>0</v>
      </c>
      <c r="AB16" s="172">
        <v>0</v>
      </c>
      <c r="AC16" s="251">
        <v>7934692.5099999998</v>
      </c>
      <c r="AD16" s="172">
        <v>0</v>
      </c>
      <c r="AE16" s="172">
        <v>0</v>
      </c>
      <c r="AF16" s="172">
        <v>0</v>
      </c>
      <c r="AG16" s="172">
        <v>0</v>
      </c>
      <c r="AH16" s="252">
        <v>0</v>
      </c>
      <c r="AI16" s="172">
        <v>0</v>
      </c>
      <c r="AJ16" s="172">
        <v>0</v>
      </c>
      <c r="AK16" s="253">
        <v>0</v>
      </c>
      <c r="AL16" s="176">
        <v>0</v>
      </c>
      <c r="AM16" s="172">
        <v>7483750</v>
      </c>
      <c r="AN16" s="173">
        <v>0</v>
      </c>
      <c r="AO16" s="176">
        <v>0</v>
      </c>
      <c r="AP16" s="172">
        <v>7483750</v>
      </c>
      <c r="AQ16" s="177">
        <v>1</v>
      </c>
      <c r="AR16" s="172">
        <v>0</v>
      </c>
      <c r="AS16" s="172">
        <v>7934692.5099999998</v>
      </c>
      <c r="AT16" s="172">
        <v>0</v>
      </c>
      <c r="AU16" s="172">
        <v>0</v>
      </c>
      <c r="AV16" s="172">
        <v>0</v>
      </c>
      <c r="AW16" s="172">
        <v>0</v>
      </c>
      <c r="AX16" s="172">
        <v>0</v>
      </c>
      <c r="AY16" s="172">
        <v>0</v>
      </c>
      <c r="AZ16" s="172">
        <v>0</v>
      </c>
      <c r="BA16" s="172">
        <v>0</v>
      </c>
      <c r="BB16" s="172" t="s">
        <v>203</v>
      </c>
      <c r="BC16" s="172" t="s">
        <v>203</v>
      </c>
      <c r="BD16" s="172">
        <v>0</v>
      </c>
      <c r="BE16" s="172">
        <v>0</v>
      </c>
      <c r="BF16" s="172">
        <v>0</v>
      </c>
      <c r="BG16" s="172">
        <v>0</v>
      </c>
      <c r="BH16" s="172">
        <v>0</v>
      </c>
      <c r="BI16" s="172">
        <v>0</v>
      </c>
      <c r="BJ16" s="172">
        <v>0</v>
      </c>
      <c r="BK16" s="172">
        <v>0</v>
      </c>
      <c r="BL16" s="172">
        <v>7483750</v>
      </c>
      <c r="BM16" s="172" t="s">
        <v>346</v>
      </c>
      <c r="BN16" s="172">
        <v>0</v>
      </c>
      <c r="BO16" s="172" t="b">
        <v>0</v>
      </c>
      <c r="BP16" s="172">
        <v>0</v>
      </c>
      <c r="BQ16" s="174">
        <v>0</v>
      </c>
      <c r="BR16" s="173">
        <v>0</v>
      </c>
      <c r="BS16" s="179">
        <v>71</v>
      </c>
      <c r="BT16" s="173">
        <v>0</v>
      </c>
      <c r="BU16" s="237">
        <v>0</v>
      </c>
      <c r="BV16" s="173">
        <v>244</v>
      </c>
      <c r="BW16" s="180">
        <v>0</v>
      </c>
      <c r="BX16" s="180">
        <v>0</v>
      </c>
      <c r="BY16" s="172">
        <v>0</v>
      </c>
      <c r="BZ16" s="172">
        <v>0</v>
      </c>
      <c r="CA16" s="172">
        <v>450942.51</v>
      </c>
      <c r="CB16" s="172">
        <v>7934692.5099999998</v>
      </c>
      <c r="CC16" s="172">
        <v>0</v>
      </c>
      <c r="CD16" s="172">
        <v>0</v>
      </c>
      <c r="CE16" s="172">
        <v>0</v>
      </c>
      <c r="CF16" s="172">
        <v>0</v>
      </c>
      <c r="CG16" s="172">
        <v>0</v>
      </c>
      <c r="CH16" s="172">
        <v>0</v>
      </c>
      <c r="CI16" s="172">
        <v>0</v>
      </c>
      <c r="CJ16" s="172">
        <v>0</v>
      </c>
      <c r="CK16" s="173">
        <v>0</v>
      </c>
      <c r="CL16" s="173">
        <v>0</v>
      </c>
    </row>
    <row r="17" spans="1:90" outlineLevel="3" x14ac:dyDescent="0.25">
      <c r="A17" s="143" t="s">
        <v>356</v>
      </c>
      <c r="B17" s="143" t="s">
        <v>357</v>
      </c>
      <c r="C17" s="143" t="s">
        <v>363</v>
      </c>
      <c r="D17" s="143" t="s">
        <v>364</v>
      </c>
      <c r="E17" s="143" t="s">
        <v>536</v>
      </c>
      <c r="F17" s="143" t="s">
        <v>203</v>
      </c>
      <c r="G17" s="143" t="s">
        <v>360</v>
      </c>
      <c r="H17" s="143" t="s">
        <v>342</v>
      </c>
      <c r="I17" s="169" t="s">
        <v>362</v>
      </c>
      <c r="J17" s="171">
        <v>1</v>
      </c>
      <c r="K17" s="171">
        <v>1</v>
      </c>
      <c r="L17" s="173">
        <v>0</v>
      </c>
      <c r="M17" s="173">
        <v>0</v>
      </c>
      <c r="N17" s="173">
        <v>0</v>
      </c>
      <c r="O17" s="172">
        <v>1892807</v>
      </c>
      <c r="P17" s="173">
        <v>1892807</v>
      </c>
      <c r="Q17" s="173">
        <v>0</v>
      </c>
      <c r="R17" s="175" t="s">
        <v>367</v>
      </c>
      <c r="S17" s="175">
        <v>0</v>
      </c>
      <c r="T17" s="175">
        <v>0</v>
      </c>
      <c r="U17" s="251">
        <v>1892807</v>
      </c>
      <c r="V17" s="172" t="s">
        <v>345</v>
      </c>
      <c r="W17" s="172">
        <v>0</v>
      </c>
      <c r="X17" s="172">
        <v>0</v>
      </c>
      <c r="Y17" s="172">
        <v>0</v>
      </c>
      <c r="Z17" s="172">
        <v>0</v>
      </c>
      <c r="AA17" s="172">
        <v>0</v>
      </c>
      <c r="AB17" s="172">
        <v>0</v>
      </c>
      <c r="AC17" s="251">
        <v>1892807</v>
      </c>
      <c r="AD17" s="172">
        <v>0</v>
      </c>
      <c r="AE17" s="172">
        <v>0</v>
      </c>
      <c r="AF17" s="172">
        <v>0</v>
      </c>
      <c r="AG17" s="172">
        <v>0</v>
      </c>
      <c r="AH17" s="252">
        <v>0</v>
      </c>
      <c r="AI17" s="172">
        <v>0</v>
      </c>
      <c r="AJ17" s="172">
        <v>0</v>
      </c>
      <c r="AK17" s="253">
        <v>0</v>
      </c>
      <c r="AL17" s="176">
        <v>0</v>
      </c>
      <c r="AM17" s="172">
        <v>2343750</v>
      </c>
      <c r="AN17" s="173">
        <v>0</v>
      </c>
      <c r="AO17" s="176">
        <v>0</v>
      </c>
      <c r="AP17" s="172">
        <v>2343750</v>
      </c>
      <c r="AQ17" s="177">
        <v>1</v>
      </c>
      <c r="AR17" s="172">
        <v>0</v>
      </c>
      <c r="AS17" s="172">
        <v>1892807</v>
      </c>
      <c r="AT17" s="172">
        <v>0</v>
      </c>
      <c r="AU17" s="172">
        <v>0</v>
      </c>
      <c r="AV17" s="172">
        <v>0</v>
      </c>
      <c r="AW17" s="172">
        <v>0</v>
      </c>
      <c r="AX17" s="172">
        <v>0</v>
      </c>
      <c r="AY17" s="172">
        <v>0</v>
      </c>
      <c r="AZ17" s="172">
        <v>0</v>
      </c>
      <c r="BA17" s="172">
        <v>0</v>
      </c>
      <c r="BB17" s="172" t="s">
        <v>203</v>
      </c>
      <c r="BC17" s="172" t="s">
        <v>203</v>
      </c>
      <c r="BD17" s="172">
        <v>0</v>
      </c>
      <c r="BE17" s="172">
        <v>0</v>
      </c>
      <c r="BF17" s="172">
        <v>0</v>
      </c>
      <c r="BG17" s="172">
        <v>0</v>
      </c>
      <c r="BH17" s="172">
        <v>0</v>
      </c>
      <c r="BI17" s="172">
        <v>0</v>
      </c>
      <c r="BJ17" s="172">
        <v>0</v>
      </c>
      <c r="BK17" s="172">
        <v>0</v>
      </c>
      <c r="BL17" s="172">
        <v>2343750</v>
      </c>
      <c r="BM17" s="172" t="s">
        <v>346</v>
      </c>
      <c r="BN17" s="172">
        <v>0</v>
      </c>
      <c r="BO17" s="172" t="b">
        <v>0</v>
      </c>
      <c r="BP17" s="172">
        <v>0</v>
      </c>
      <c r="BQ17" s="174">
        <v>0</v>
      </c>
      <c r="BR17" s="173">
        <v>0</v>
      </c>
      <c r="BS17" s="179">
        <v>71</v>
      </c>
      <c r="BT17" s="173">
        <v>0</v>
      </c>
      <c r="BU17" s="237">
        <v>0</v>
      </c>
      <c r="BV17" s="173">
        <v>245</v>
      </c>
      <c r="BW17" s="180">
        <v>0</v>
      </c>
      <c r="BX17" s="180">
        <v>0</v>
      </c>
      <c r="BY17" s="172">
        <v>0</v>
      </c>
      <c r="BZ17" s="172">
        <v>0</v>
      </c>
      <c r="CA17" s="172">
        <v>-450943</v>
      </c>
      <c r="CB17" s="172">
        <v>1892807</v>
      </c>
      <c r="CC17" s="172">
        <v>0</v>
      </c>
      <c r="CD17" s="172">
        <v>0</v>
      </c>
      <c r="CE17" s="172">
        <v>0</v>
      </c>
      <c r="CF17" s="172">
        <v>0</v>
      </c>
      <c r="CG17" s="172">
        <v>0</v>
      </c>
      <c r="CH17" s="172">
        <v>0</v>
      </c>
      <c r="CI17" s="172">
        <v>0</v>
      </c>
      <c r="CJ17" s="172">
        <v>0</v>
      </c>
      <c r="CK17" s="173">
        <v>0</v>
      </c>
      <c r="CL17" s="173">
        <v>0</v>
      </c>
    </row>
    <row r="18" spans="1:90" outlineLevel="3" x14ac:dyDescent="0.25">
      <c r="A18" s="143" t="s">
        <v>356</v>
      </c>
      <c r="B18" s="143" t="s">
        <v>357</v>
      </c>
      <c r="C18" s="143" t="s">
        <v>358</v>
      </c>
      <c r="D18" s="143" t="s">
        <v>359</v>
      </c>
      <c r="E18" s="143" t="s">
        <v>207</v>
      </c>
      <c r="F18" s="143" t="s">
        <v>203</v>
      </c>
      <c r="G18" s="143" t="s">
        <v>360</v>
      </c>
      <c r="H18" s="143" t="s">
        <v>342</v>
      </c>
      <c r="I18" s="169" t="s">
        <v>362</v>
      </c>
      <c r="J18" s="171">
        <v>1</v>
      </c>
      <c r="K18" s="171">
        <v>1</v>
      </c>
      <c r="L18" s="173">
        <v>0</v>
      </c>
      <c r="M18" s="173">
        <v>0</v>
      </c>
      <c r="N18" s="173">
        <v>0</v>
      </c>
      <c r="O18" s="172">
        <v>13077390.76</v>
      </c>
      <c r="P18" s="173">
        <v>13077390.76</v>
      </c>
      <c r="Q18" s="173">
        <v>0</v>
      </c>
      <c r="R18" s="175" t="s">
        <v>368</v>
      </c>
      <c r="S18" s="175">
        <v>0</v>
      </c>
      <c r="T18" s="175">
        <v>0</v>
      </c>
      <c r="U18" s="251">
        <v>13077390.76</v>
      </c>
      <c r="V18" s="172" t="s">
        <v>345</v>
      </c>
      <c r="W18" s="172">
        <v>0</v>
      </c>
      <c r="X18" s="172">
        <v>0</v>
      </c>
      <c r="Y18" s="172">
        <v>0</v>
      </c>
      <c r="Z18" s="172">
        <v>0</v>
      </c>
      <c r="AA18" s="172">
        <v>0</v>
      </c>
      <c r="AB18" s="172">
        <v>0</v>
      </c>
      <c r="AC18" s="251">
        <v>13077390.76</v>
      </c>
      <c r="AD18" s="172">
        <v>0</v>
      </c>
      <c r="AE18" s="172">
        <v>0</v>
      </c>
      <c r="AF18" s="172">
        <v>0</v>
      </c>
      <c r="AG18" s="172">
        <v>0</v>
      </c>
      <c r="AH18" s="252">
        <v>0</v>
      </c>
      <c r="AI18" s="172">
        <v>0</v>
      </c>
      <c r="AJ18" s="172">
        <v>0</v>
      </c>
      <c r="AK18" s="253">
        <v>0</v>
      </c>
      <c r="AL18" s="176">
        <v>0</v>
      </c>
      <c r="AM18" s="172">
        <v>14411755.76</v>
      </c>
      <c r="AN18" s="173">
        <v>0</v>
      </c>
      <c r="AO18" s="176">
        <v>0</v>
      </c>
      <c r="AP18" s="172">
        <v>14411755.76</v>
      </c>
      <c r="AQ18" s="177">
        <v>1</v>
      </c>
      <c r="AR18" s="172">
        <v>0</v>
      </c>
      <c r="AS18" s="172">
        <v>13077390.76</v>
      </c>
      <c r="AT18" s="172">
        <v>0</v>
      </c>
      <c r="AU18" s="172">
        <v>0</v>
      </c>
      <c r="AV18" s="172">
        <v>0</v>
      </c>
      <c r="AW18" s="172">
        <v>0</v>
      </c>
      <c r="AX18" s="172">
        <v>0</v>
      </c>
      <c r="AY18" s="172">
        <v>0</v>
      </c>
      <c r="AZ18" s="172">
        <v>0</v>
      </c>
      <c r="BA18" s="172">
        <v>0</v>
      </c>
      <c r="BB18" s="172" t="s">
        <v>203</v>
      </c>
      <c r="BC18" s="172" t="s">
        <v>203</v>
      </c>
      <c r="BD18" s="172">
        <v>0</v>
      </c>
      <c r="BE18" s="172">
        <v>0</v>
      </c>
      <c r="BF18" s="172">
        <v>0</v>
      </c>
      <c r="BG18" s="172">
        <v>0</v>
      </c>
      <c r="BH18" s="172">
        <v>0</v>
      </c>
      <c r="BI18" s="172">
        <v>0</v>
      </c>
      <c r="BJ18" s="172">
        <v>0</v>
      </c>
      <c r="BK18" s="172">
        <v>0</v>
      </c>
      <c r="BL18" s="172">
        <v>14411755.76</v>
      </c>
      <c r="BM18" s="172" t="s">
        <v>346</v>
      </c>
      <c r="BN18" s="172">
        <v>0</v>
      </c>
      <c r="BO18" s="172" t="b">
        <v>0</v>
      </c>
      <c r="BP18" s="172">
        <v>0</v>
      </c>
      <c r="BQ18" s="174">
        <v>0</v>
      </c>
      <c r="BR18" s="173">
        <v>0</v>
      </c>
      <c r="BS18" s="179">
        <v>71</v>
      </c>
      <c r="BT18" s="173">
        <v>0</v>
      </c>
      <c r="BU18" s="237">
        <v>0</v>
      </c>
      <c r="BV18" s="173">
        <v>248</v>
      </c>
      <c r="BW18" s="180">
        <v>0</v>
      </c>
      <c r="BX18" s="180">
        <v>0</v>
      </c>
      <c r="BY18" s="172">
        <v>0</v>
      </c>
      <c r="BZ18" s="172">
        <v>-237846.42</v>
      </c>
      <c r="CA18" s="172">
        <v>-1334365</v>
      </c>
      <c r="CB18" s="172">
        <v>13077390.76</v>
      </c>
      <c r="CC18" s="172">
        <v>0</v>
      </c>
      <c r="CD18" s="172">
        <v>0</v>
      </c>
      <c r="CE18" s="172">
        <v>0</v>
      </c>
      <c r="CF18" s="172">
        <v>0</v>
      </c>
      <c r="CG18" s="172">
        <v>0</v>
      </c>
      <c r="CH18" s="172">
        <v>0</v>
      </c>
      <c r="CI18" s="172">
        <v>0</v>
      </c>
      <c r="CJ18" s="172">
        <v>0</v>
      </c>
      <c r="CK18" s="173">
        <v>0</v>
      </c>
      <c r="CL18" s="173">
        <v>0</v>
      </c>
    </row>
    <row r="19" spans="1:90" outlineLevel="3" x14ac:dyDescent="0.25">
      <c r="A19" s="143" t="s">
        <v>356</v>
      </c>
      <c r="B19" s="143" t="s">
        <v>357</v>
      </c>
      <c r="C19" s="143" t="s">
        <v>358</v>
      </c>
      <c r="D19" s="143" t="s">
        <v>359</v>
      </c>
      <c r="E19" s="143" t="s">
        <v>537</v>
      </c>
      <c r="F19" s="143" t="s">
        <v>203</v>
      </c>
      <c r="G19" s="143" t="s">
        <v>360</v>
      </c>
      <c r="H19" s="143" t="s">
        <v>342</v>
      </c>
      <c r="I19" s="169" t="s">
        <v>362</v>
      </c>
      <c r="J19" s="171">
        <v>1</v>
      </c>
      <c r="K19" s="171">
        <v>1</v>
      </c>
      <c r="L19" s="173">
        <v>0</v>
      </c>
      <c r="M19" s="173">
        <v>0</v>
      </c>
      <c r="N19" s="173">
        <v>0</v>
      </c>
      <c r="O19" s="172">
        <v>918746.49</v>
      </c>
      <c r="P19" s="173">
        <v>918746.49</v>
      </c>
      <c r="Q19" s="173">
        <v>0</v>
      </c>
      <c r="R19" s="175" t="s">
        <v>368</v>
      </c>
      <c r="S19" s="175">
        <v>0</v>
      </c>
      <c r="T19" s="175">
        <v>0</v>
      </c>
      <c r="U19" s="251">
        <v>918746.49</v>
      </c>
      <c r="V19" s="172" t="s">
        <v>345</v>
      </c>
      <c r="W19" s="172">
        <v>0</v>
      </c>
      <c r="X19" s="172">
        <v>0</v>
      </c>
      <c r="Y19" s="172">
        <v>0</v>
      </c>
      <c r="Z19" s="172">
        <v>0</v>
      </c>
      <c r="AA19" s="172">
        <v>0</v>
      </c>
      <c r="AB19" s="172">
        <v>0</v>
      </c>
      <c r="AC19" s="251">
        <v>918746.49</v>
      </c>
      <c r="AD19" s="172">
        <v>0</v>
      </c>
      <c r="AE19" s="172">
        <v>0</v>
      </c>
      <c r="AF19" s="172">
        <v>0</v>
      </c>
      <c r="AG19" s="172">
        <v>0</v>
      </c>
      <c r="AH19" s="252">
        <v>0</v>
      </c>
      <c r="AI19" s="172">
        <v>0</v>
      </c>
      <c r="AJ19" s="172">
        <v>0</v>
      </c>
      <c r="AK19" s="253">
        <v>0</v>
      </c>
      <c r="AL19" s="176">
        <v>0</v>
      </c>
      <c r="AM19" s="172">
        <v>1050000</v>
      </c>
      <c r="AN19" s="173">
        <v>0</v>
      </c>
      <c r="AO19" s="176">
        <v>0</v>
      </c>
      <c r="AP19" s="172">
        <v>1050000</v>
      </c>
      <c r="AQ19" s="177">
        <v>1</v>
      </c>
      <c r="AR19" s="172">
        <v>0</v>
      </c>
      <c r="AS19" s="172">
        <v>918746.49</v>
      </c>
      <c r="AT19" s="172">
        <v>0</v>
      </c>
      <c r="AU19" s="172">
        <v>0</v>
      </c>
      <c r="AV19" s="172">
        <v>0</v>
      </c>
      <c r="AW19" s="172">
        <v>0</v>
      </c>
      <c r="AX19" s="172">
        <v>0</v>
      </c>
      <c r="AY19" s="172">
        <v>0</v>
      </c>
      <c r="AZ19" s="172">
        <v>0</v>
      </c>
      <c r="BA19" s="172">
        <v>0</v>
      </c>
      <c r="BB19" s="172" t="s">
        <v>203</v>
      </c>
      <c r="BC19" s="172" t="s">
        <v>203</v>
      </c>
      <c r="BD19" s="172">
        <v>0</v>
      </c>
      <c r="BE19" s="172">
        <v>0</v>
      </c>
      <c r="BF19" s="172">
        <v>0</v>
      </c>
      <c r="BG19" s="172">
        <v>0</v>
      </c>
      <c r="BH19" s="172">
        <v>0</v>
      </c>
      <c r="BI19" s="172">
        <v>0</v>
      </c>
      <c r="BJ19" s="172">
        <v>0</v>
      </c>
      <c r="BK19" s="172">
        <v>0</v>
      </c>
      <c r="BL19" s="172">
        <v>1050000</v>
      </c>
      <c r="BM19" s="172" t="s">
        <v>346</v>
      </c>
      <c r="BN19" s="172">
        <v>0</v>
      </c>
      <c r="BO19" s="172" t="b">
        <v>0</v>
      </c>
      <c r="BP19" s="172">
        <v>0</v>
      </c>
      <c r="BQ19" s="174">
        <v>0</v>
      </c>
      <c r="BR19" s="173">
        <v>0</v>
      </c>
      <c r="BS19" s="179">
        <v>71</v>
      </c>
      <c r="BT19" s="173">
        <v>0</v>
      </c>
      <c r="BU19" s="237">
        <v>0</v>
      </c>
      <c r="BV19" s="173">
        <v>249</v>
      </c>
      <c r="BW19" s="180">
        <v>0</v>
      </c>
      <c r="BX19" s="180">
        <v>0</v>
      </c>
      <c r="BY19" s="172">
        <v>0</v>
      </c>
      <c r="BZ19" s="172">
        <v>-131253.51</v>
      </c>
      <c r="CA19" s="172">
        <v>-131253.51</v>
      </c>
      <c r="CB19" s="172">
        <v>918746.49</v>
      </c>
      <c r="CC19" s="172">
        <v>0</v>
      </c>
      <c r="CD19" s="172">
        <v>0</v>
      </c>
      <c r="CE19" s="172">
        <v>0</v>
      </c>
      <c r="CF19" s="172">
        <v>0</v>
      </c>
      <c r="CG19" s="172">
        <v>0</v>
      </c>
      <c r="CH19" s="172">
        <v>0</v>
      </c>
      <c r="CI19" s="172">
        <v>0</v>
      </c>
      <c r="CJ19" s="172">
        <v>0</v>
      </c>
      <c r="CK19" s="173">
        <v>0</v>
      </c>
      <c r="CL19" s="173">
        <v>0</v>
      </c>
    </row>
    <row r="20" spans="1:90" s="195" customFormat="1" ht="20.100000000000001" customHeight="1" outlineLevel="2" x14ac:dyDescent="0.25">
      <c r="A20" s="182" t="s">
        <v>369</v>
      </c>
      <c r="B20" s="182"/>
      <c r="C20" s="182"/>
      <c r="D20" s="182"/>
      <c r="E20" s="182"/>
      <c r="F20" s="182"/>
      <c r="G20" s="182"/>
      <c r="H20" s="182"/>
      <c r="I20" s="183"/>
      <c r="J20" s="185"/>
      <c r="K20" s="185"/>
      <c r="L20" s="187"/>
      <c r="M20" s="187"/>
      <c r="N20" s="187"/>
      <c r="O20" s="186"/>
      <c r="P20" s="187"/>
      <c r="Q20" s="187"/>
      <c r="R20" s="189">
        <v>0</v>
      </c>
      <c r="S20" s="189">
        <v>0</v>
      </c>
      <c r="T20" s="189">
        <v>0</v>
      </c>
      <c r="U20" s="254">
        <v>51962447.229999997</v>
      </c>
      <c r="V20" s="186"/>
      <c r="W20" s="186">
        <v>0</v>
      </c>
      <c r="X20" s="186">
        <v>0</v>
      </c>
      <c r="Y20" s="186">
        <v>0</v>
      </c>
      <c r="Z20" s="186">
        <v>0</v>
      </c>
      <c r="AA20" s="186">
        <v>0</v>
      </c>
      <c r="AB20" s="186">
        <v>0</v>
      </c>
      <c r="AC20" s="254">
        <v>51962447.229999997</v>
      </c>
      <c r="AD20" s="186">
        <v>0</v>
      </c>
      <c r="AE20" s="186">
        <v>0</v>
      </c>
      <c r="AF20" s="186">
        <v>0</v>
      </c>
      <c r="AG20" s="186">
        <v>0</v>
      </c>
      <c r="AH20" s="255">
        <v>0</v>
      </c>
      <c r="AI20" s="186">
        <v>0</v>
      </c>
      <c r="AJ20" s="186">
        <v>0</v>
      </c>
      <c r="AK20" s="256">
        <v>0</v>
      </c>
      <c r="AL20" s="190"/>
      <c r="AM20" s="186">
        <v>53339355.829999998</v>
      </c>
      <c r="AN20" s="187"/>
      <c r="AO20" s="190"/>
      <c r="AP20" s="186">
        <v>53339355.829999998</v>
      </c>
      <c r="AQ20" s="191"/>
      <c r="AR20" s="186"/>
      <c r="AS20" s="186"/>
      <c r="AT20" s="186">
        <v>0</v>
      </c>
      <c r="AU20" s="186">
        <v>0</v>
      </c>
      <c r="AV20" s="186">
        <v>0</v>
      </c>
      <c r="AW20" s="186">
        <v>0</v>
      </c>
      <c r="AX20" s="186">
        <v>0</v>
      </c>
      <c r="AY20" s="186">
        <v>0</v>
      </c>
      <c r="AZ20" s="186">
        <v>0</v>
      </c>
      <c r="BA20" s="186">
        <v>0</v>
      </c>
      <c r="BB20" s="186"/>
      <c r="BC20" s="186"/>
      <c r="BD20" s="186"/>
      <c r="BE20" s="186"/>
      <c r="BF20" s="186"/>
      <c r="BG20" s="186"/>
      <c r="BH20" s="186"/>
      <c r="BI20" s="186"/>
      <c r="BJ20" s="186"/>
      <c r="BK20" s="186"/>
      <c r="BL20" s="186"/>
      <c r="BM20" s="186"/>
      <c r="BN20" s="186"/>
      <c r="BO20" s="186"/>
      <c r="BP20" s="186"/>
      <c r="BQ20" s="188"/>
      <c r="BR20" s="187"/>
      <c r="BS20" s="193"/>
      <c r="BT20" s="187"/>
      <c r="BU20" s="230"/>
      <c r="BV20" s="187"/>
      <c r="BW20" s="194"/>
      <c r="BX20" s="194"/>
      <c r="BY20" s="186"/>
      <c r="BZ20" s="186"/>
      <c r="CA20" s="186">
        <v>-1376908.6</v>
      </c>
      <c r="CB20" s="186"/>
      <c r="CC20" s="186"/>
      <c r="CD20" s="186"/>
      <c r="CE20" s="186"/>
      <c r="CF20" s="186"/>
      <c r="CG20" s="186"/>
      <c r="CH20" s="186"/>
      <c r="CI20" s="186"/>
      <c r="CJ20" s="186"/>
      <c r="CK20" s="187"/>
      <c r="CL20" s="187"/>
    </row>
    <row r="21" spans="1:90" s="206" customFormat="1" ht="30" customHeight="1" outlineLevel="1" x14ac:dyDescent="0.25">
      <c r="A21" s="182"/>
      <c r="B21" s="182" t="s">
        <v>372</v>
      </c>
      <c r="C21" s="182"/>
      <c r="D21" s="182"/>
      <c r="E21" s="182"/>
      <c r="F21" s="182"/>
      <c r="G21" s="182"/>
      <c r="H21" s="182"/>
      <c r="I21" s="183"/>
      <c r="J21" s="196"/>
      <c r="K21" s="196"/>
      <c r="L21" s="198"/>
      <c r="M21" s="198"/>
      <c r="N21" s="198"/>
      <c r="O21" s="197"/>
      <c r="P21" s="198"/>
      <c r="Q21" s="198"/>
      <c r="R21" s="200">
        <v>0</v>
      </c>
      <c r="S21" s="200">
        <v>0</v>
      </c>
      <c r="T21" s="200">
        <v>0</v>
      </c>
      <c r="U21" s="257">
        <v>51962447.229999997</v>
      </c>
      <c r="V21" s="197"/>
      <c r="W21" s="197">
        <v>0</v>
      </c>
      <c r="X21" s="197">
        <v>0</v>
      </c>
      <c r="Y21" s="197">
        <v>0</v>
      </c>
      <c r="Z21" s="197">
        <v>0</v>
      </c>
      <c r="AA21" s="197">
        <v>0</v>
      </c>
      <c r="AB21" s="197">
        <v>0</v>
      </c>
      <c r="AC21" s="257">
        <v>51962447.229999997</v>
      </c>
      <c r="AD21" s="197">
        <v>0</v>
      </c>
      <c r="AE21" s="197">
        <v>0</v>
      </c>
      <c r="AF21" s="197">
        <v>0</v>
      </c>
      <c r="AG21" s="197">
        <v>0</v>
      </c>
      <c r="AH21" s="258">
        <v>0</v>
      </c>
      <c r="AI21" s="197">
        <v>0</v>
      </c>
      <c r="AJ21" s="197">
        <v>0</v>
      </c>
      <c r="AK21" s="259">
        <v>0</v>
      </c>
      <c r="AL21" s="201"/>
      <c r="AM21" s="197">
        <v>53339355.829999998</v>
      </c>
      <c r="AN21" s="198"/>
      <c r="AO21" s="201"/>
      <c r="AP21" s="197">
        <v>53339355.829999998</v>
      </c>
      <c r="AQ21" s="202"/>
      <c r="AR21" s="197"/>
      <c r="AS21" s="197"/>
      <c r="AT21" s="197">
        <v>0</v>
      </c>
      <c r="AU21" s="197">
        <v>0</v>
      </c>
      <c r="AV21" s="197">
        <v>0</v>
      </c>
      <c r="AW21" s="197">
        <v>0</v>
      </c>
      <c r="AX21" s="197">
        <v>0</v>
      </c>
      <c r="AY21" s="197">
        <v>0</v>
      </c>
      <c r="AZ21" s="197">
        <v>0</v>
      </c>
      <c r="BA21" s="197">
        <v>0</v>
      </c>
      <c r="BB21" s="197"/>
      <c r="BC21" s="197"/>
      <c r="BD21" s="197"/>
      <c r="BE21" s="197"/>
      <c r="BF21" s="197"/>
      <c r="BG21" s="197"/>
      <c r="BH21" s="197"/>
      <c r="BI21" s="197"/>
      <c r="BJ21" s="197"/>
      <c r="BK21" s="197"/>
      <c r="BL21" s="197"/>
      <c r="BM21" s="197"/>
      <c r="BN21" s="197"/>
      <c r="BO21" s="197"/>
      <c r="BP21" s="197"/>
      <c r="BQ21" s="199"/>
      <c r="BR21" s="198"/>
      <c r="BS21" s="204"/>
      <c r="BT21" s="198"/>
      <c r="BU21" s="231"/>
      <c r="BV21" s="198"/>
      <c r="BW21" s="205"/>
      <c r="BX21" s="205"/>
      <c r="BY21" s="197"/>
      <c r="BZ21" s="197"/>
      <c r="CA21" s="197">
        <v>-1376908.6</v>
      </c>
      <c r="CB21" s="197"/>
      <c r="CC21" s="197"/>
      <c r="CD21" s="197"/>
      <c r="CE21" s="197"/>
      <c r="CF21" s="197"/>
      <c r="CG21" s="197"/>
      <c r="CH21" s="197"/>
      <c r="CI21" s="197"/>
      <c r="CJ21" s="197"/>
      <c r="CK21" s="198"/>
      <c r="CL21" s="198"/>
    </row>
    <row r="22" spans="1:90" outlineLevel="3" x14ac:dyDescent="0.25">
      <c r="A22" s="143" t="s">
        <v>373</v>
      </c>
      <c r="B22" s="143" t="s">
        <v>374</v>
      </c>
      <c r="C22" s="143" t="s">
        <v>375</v>
      </c>
      <c r="D22" s="143" t="s">
        <v>376</v>
      </c>
      <c r="E22" s="143" t="s">
        <v>377</v>
      </c>
      <c r="F22" s="143" t="s">
        <v>378</v>
      </c>
      <c r="G22" s="207" t="s">
        <v>379</v>
      </c>
      <c r="H22" s="207" t="s">
        <v>380</v>
      </c>
      <c r="I22" s="169" t="s">
        <v>380</v>
      </c>
      <c r="J22" s="171">
        <v>46956</v>
      </c>
      <c r="K22" s="171">
        <v>46956</v>
      </c>
      <c r="L22" s="173">
        <v>3.5622124655923404E-2</v>
      </c>
      <c r="M22" s="173">
        <v>0</v>
      </c>
      <c r="N22" s="173">
        <v>0.33221667066522531</v>
      </c>
      <c r="O22" s="172">
        <v>1.5840936981110874</v>
      </c>
      <c r="P22" s="173">
        <v>1.6749590795986473</v>
      </c>
      <c r="Q22" s="173">
        <v>-9.086538148755996E-2</v>
      </c>
      <c r="R22" s="175">
        <v>0</v>
      </c>
      <c r="S22" s="175">
        <v>0</v>
      </c>
      <c r="T22" s="175">
        <v>0</v>
      </c>
      <c r="U22" s="251">
        <v>74382.703688504218</v>
      </c>
      <c r="V22" s="172" t="s">
        <v>345</v>
      </c>
      <c r="W22" s="172">
        <v>0</v>
      </c>
      <c r="X22" s="172">
        <v>0</v>
      </c>
      <c r="Y22" s="172">
        <v>0</v>
      </c>
      <c r="Z22" s="172">
        <v>0</v>
      </c>
      <c r="AA22" s="172">
        <v>0</v>
      </c>
      <c r="AB22" s="172">
        <v>0</v>
      </c>
      <c r="AC22" s="251">
        <v>78649.378541634083</v>
      </c>
      <c r="AD22" s="172">
        <v>-4266.6748531298654</v>
      </c>
      <c r="AE22" s="172">
        <v>0</v>
      </c>
      <c r="AF22" s="172">
        <v>4266.6748531298654</v>
      </c>
      <c r="AG22" s="172">
        <v>0</v>
      </c>
      <c r="AH22" s="252">
        <v>-10487.682338536048</v>
      </c>
      <c r="AI22" s="172">
        <v>0</v>
      </c>
      <c r="AJ22" s="172">
        <v>-19036.62968850413</v>
      </c>
      <c r="AK22" s="253">
        <v>-29524.312027040178</v>
      </c>
      <c r="AL22" s="176">
        <v>0</v>
      </c>
      <c r="AM22" s="172">
        <v>84870.386027040266</v>
      </c>
      <c r="AN22" s="176">
        <v>0</v>
      </c>
      <c r="AO22" s="176">
        <v>23835.582916145435</v>
      </c>
      <c r="AP22" s="172">
        <v>84870.386027040266</v>
      </c>
      <c r="AQ22" s="177">
        <v>1</v>
      </c>
      <c r="AR22" s="172">
        <v>222293.81532552757</v>
      </c>
      <c r="AS22" s="172">
        <v>14.25</v>
      </c>
      <c r="AT22" s="172">
        <v>-10471.556457790124</v>
      </c>
      <c r="AU22" s="172">
        <v>0</v>
      </c>
      <c r="AV22" s="172">
        <v>-19036.62968850413</v>
      </c>
      <c r="AW22" s="172">
        <v>-29508.186146294254</v>
      </c>
      <c r="AX22" s="172">
        <v>19036.629688504225</v>
      </c>
      <c r="AY22" s="172">
        <v>0</v>
      </c>
      <c r="AZ22" s="172">
        <v>-19036.62968850413</v>
      </c>
      <c r="BA22" s="172">
        <v>9.4587448984384537E-11</v>
      </c>
      <c r="BB22" s="172">
        <v>14.25</v>
      </c>
      <c r="BC22" s="172">
        <v>14.5</v>
      </c>
      <c r="BD22" s="172">
        <v>-6204.8816046602587</v>
      </c>
      <c r="BE22" s="172">
        <v>0</v>
      </c>
      <c r="BF22" s="172">
        <v>-23303.304541633996</v>
      </c>
      <c r="BG22" s="172">
        <v>-29508.186146294254</v>
      </c>
      <c r="BH22" s="172">
        <v>23303.30454163409</v>
      </c>
      <c r="BI22" s="172">
        <v>0</v>
      </c>
      <c r="BJ22" s="172">
        <v>-23303.304541633996</v>
      </c>
      <c r="BK22" s="172">
        <v>9.4587448984384537E-11</v>
      </c>
      <c r="BL22" s="172">
        <v>84870.386027040266</v>
      </c>
      <c r="BM22" s="172" t="s">
        <v>353</v>
      </c>
      <c r="BN22" s="172">
        <v>0</v>
      </c>
      <c r="BO22" s="172" t="b">
        <v>0</v>
      </c>
      <c r="BP22" s="172">
        <v>-23303.304541633996</v>
      </c>
      <c r="BQ22" s="173">
        <v>0</v>
      </c>
      <c r="BR22" s="173">
        <v>0</v>
      </c>
      <c r="BS22" s="179">
        <v>41</v>
      </c>
      <c r="BT22" s="173">
        <v>0</v>
      </c>
      <c r="BU22" s="237">
        <v>15599.565987756319</v>
      </c>
      <c r="BV22" s="173">
        <v>360</v>
      </c>
      <c r="BW22" s="180">
        <v>14.25</v>
      </c>
      <c r="BX22" s="180">
        <v>14.25</v>
      </c>
      <c r="BY22" s="172">
        <v>0</v>
      </c>
      <c r="BZ22" s="172">
        <v>0</v>
      </c>
      <c r="CA22" s="172">
        <v>0</v>
      </c>
      <c r="CB22" s="172">
        <v>55346.074000000001</v>
      </c>
      <c r="CC22" s="172">
        <v>0</v>
      </c>
      <c r="CD22" s="172">
        <v>0</v>
      </c>
      <c r="CE22" s="172">
        <v>0</v>
      </c>
      <c r="CF22" s="172">
        <v>0</v>
      </c>
      <c r="CG22" s="172">
        <v>-6221.0074854061822</v>
      </c>
      <c r="CH22" s="172">
        <v>0</v>
      </c>
      <c r="CI22" s="172">
        <v>-23303.304541633996</v>
      </c>
      <c r="CJ22" s="172">
        <v>-29524.312027040178</v>
      </c>
      <c r="CK22" s="173">
        <v>0</v>
      </c>
      <c r="CL22" s="173">
        <v>0</v>
      </c>
    </row>
    <row r="23" spans="1:90" s="195" customFormat="1" ht="20.100000000000001" customHeight="1" outlineLevel="2" x14ac:dyDescent="0.25">
      <c r="A23" s="182" t="s">
        <v>381</v>
      </c>
      <c r="B23" s="182"/>
      <c r="C23" s="182"/>
      <c r="D23" s="182"/>
      <c r="E23" s="182"/>
      <c r="F23" s="182"/>
      <c r="G23" s="208"/>
      <c r="H23" s="208"/>
      <c r="I23" s="183"/>
      <c r="J23" s="185"/>
      <c r="K23" s="185"/>
      <c r="L23" s="187"/>
      <c r="M23" s="187"/>
      <c r="N23" s="187"/>
      <c r="O23" s="186"/>
      <c r="P23" s="187"/>
      <c r="Q23" s="187"/>
      <c r="R23" s="189">
        <v>0</v>
      </c>
      <c r="S23" s="189">
        <v>0</v>
      </c>
      <c r="T23" s="189">
        <v>0</v>
      </c>
      <c r="U23" s="254">
        <v>74382.703688504218</v>
      </c>
      <c r="V23" s="186"/>
      <c r="W23" s="186">
        <v>0</v>
      </c>
      <c r="X23" s="186">
        <v>0</v>
      </c>
      <c r="Y23" s="186">
        <v>0</v>
      </c>
      <c r="Z23" s="186">
        <v>0</v>
      </c>
      <c r="AA23" s="186">
        <v>0</v>
      </c>
      <c r="AB23" s="186">
        <v>0</v>
      </c>
      <c r="AC23" s="254">
        <v>78649.378541634083</v>
      </c>
      <c r="AD23" s="186">
        <v>-4266.6748531298654</v>
      </c>
      <c r="AE23" s="186">
        <v>0</v>
      </c>
      <c r="AF23" s="186">
        <v>4266.6748531298654</v>
      </c>
      <c r="AG23" s="186">
        <v>0</v>
      </c>
      <c r="AH23" s="255">
        <v>-10487.682338536048</v>
      </c>
      <c r="AI23" s="186">
        <v>0</v>
      </c>
      <c r="AJ23" s="186">
        <v>-19036.62968850413</v>
      </c>
      <c r="AK23" s="256">
        <v>-29524.312027040178</v>
      </c>
      <c r="AL23" s="190"/>
      <c r="AM23" s="186">
        <v>84870.386027040266</v>
      </c>
      <c r="AN23" s="190"/>
      <c r="AO23" s="190"/>
      <c r="AP23" s="186">
        <v>84870.386027040266</v>
      </c>
      <c r="AQ23" s="191"/>
      <c r="AR23" s="186"/>
      <c r="AS23" s="186"/>
      <c r="AT23" s="186">
        <v>-10471.556457790124</v>
      </c>
      <c r="AU23" s="186">
        <v>0</v>
      </c>
      <c r="AV23" s="186">
        <v>-19036.62968850413</v>
      </c>
      <c r="AW23" s="186">
        <v>-29508.186146294254</v>
      </c>
      <c r="AX23" s="186">
        <v>19036.629688504225</v>
      </c>
      <c r="AY23" s="186">
        <v>0</v>
      </c>
      <c r="AZ23" s="186">
        <v>-19036.62968850413</v>
      </c>
      <c r="BA23" s="186">
        <v>9.4587448984384537E-11</v>
      </c>
      <c r="BB23" s="186"/>
      <c r="BC23" s="186"/>
      <c r="BD23" s="186"/>
      <c r="BE23" s="186"/>
      <c r="BF23" s="186"/>
      <c r="BG23" s="186"/>
      <c r="BH23" s="186"/>
      <c r="BI23" s="186"/>
      <c r="BJ23" s="186"/>
      <c r="BK23" s="186"/>
      <c r="BL23" s="186"/>
      <c r="BM23" s="186"/>
      <c r="BN23" s="186"/>
      <c r="BO23" s="186"/>
      <c r="BP23" s="186"/>
      <c r="BQ23" s="187"/>
      <c r="BR23" s="187"/>
      <c r="BS23" s="193"/>
      <c r="BT23" s="187"/>
      <c r="BU23" s="230"/>
      <c r="BV23" s="187"/>
      <c r="BW23" s="194"/>
      <c r="BX23" s="194"/>
      <c r="BY23" s="186"/>
      <c r="BZ23" s="186"/>
      <c r="CA23" s="186">
        <v>0</v>
      </c>
      <c r="CB23" s="186"/>
      <c r="CC23" s="186"/>
      <c r="CD23" s="186"/>
      <c r="CE23" s="186"/>
      <c r="CF23" s="186"/>
      <c r="CG23" s="186"/>
      <c r="CH23" s="186"/>
      <c r="CI23" s="186"/>
      <c r="CJ23" s="186"/>
      <c r="CK23" s="187"/>
      <c r="CL23" s="187"/>
    </row>
    <row r="24" spans="1:90" s="206" customFormat="1" ht="30" customHeight="1" outlineLevel="1" x14ac:dyDescent="0.25">
      <c r="A24" s="182"/>
      <c r="B24" s="182" t="s">
        <v>382</v>
      </c>
      <c r="C24" s="182"/>
      <c r="D24" s="182"/>
      <c r="E24" s="182"/>
      <c r="F24" s="182"/>
      <c r="G24" s="208"/>
      <c r="H24" s="208"/>
      <c r="I24" s="183"/>
      <c r="J24" s="196"/>
      <c r="K24" s="196"/>
      <c r="L24" s="198"/>
      <c r="M24" s="198"/>
      <c r="N24" s="198"/>
      <c r="O24" s="197"/>
      <c r="P24" s="198"/>
      <c r="Q24" s="198"/>
      <c r="R24" s="200">
        <v>0</v>
      </c>
      <c r="S24" s="200">
        <v>0</v>
      </c>
      <c r="T24" s="200">
        <v>0</v>
      </c>
      <c r="U24" s="257">
        <v>74382.703688504218</v>
      </c>
      <c r="V24" s="197"/>
      <c r="W24" s="197">
        <v>0</v>
      </c>
      <c r="X24" s="197">
        <v>0</v>
      </c>
      <c r="Y24" s="197">
        <v>0</v>
      </c>
      <c r="Z24" s="197">
        <v>0</v>
      </c>
      <c r="AA24" s="197">
        <v>0</v>
      </c>
      <c r="AB24" s="197">
        <v>0</v>
      </c>
      <c r="AC24" s="257">
        <v>78649.378541634083</v>
      </c>
      <c r="AD24" s="197">
        <v>-4266.6748531298654</v>
      </c>
      <c r="AE24" s="197">
        <v>0</v>
      </c>
      <c r="AF24" s="197">
        <v>4266.6748531298654</v>
      </c>
      <c r="AG24" s="197">
        <v>0</v>
      </c>
      <c r="AH24" s="258">
        <v>-10487.682338536048</v>
      </c>
      <c r="AI24" s="197">
        <v>0</v>
      </c>
      <c r="AJ24" s="197">
        <v>-19036.62968850413</v>
      </c>
      <c r="AK24" s="259">
        <v>-29524.312027040178</v>
      </c>
      <c r="AL24" s="201"/>
      <c r="AM24" s="197">
        <v>84870.386027040266</v>
      </c>
      <c r="AN24" s="201"/>
      <c r="AO24" s="201"/>
      <c r="AP24" s="197">
        <v>84870.386027040266</v>
      </c>
      <c r="AQ24" s="202"/>
      <c r="AR24" s="197"/>
      <c r="AS24" s="197"/>
      <c r="AT24" s="197">
        <v>-10471.556457790124</v>
      </c>
      <c r="AU24" s="197">
        <v>0</v>
      </c>
      <c r="AV24" s="197">
        <v>-19036.62968850413</v>
      </c>
      <c r="AW24" s="197">
        <v>-29508.186146294254</v>
      </c>
      <c r="AX24" s="197">
        <v>19036.629688504225</v>
      </c>
      <c r="AY24" s="197">
        <v>0</v>
      </c>
      <c r="AZ24" s="197">
        <v>-19036.62968850413</v>
      </c>
      <c r="BA24" s="197">
        <v>9.4587448984384537E-11</v>
      </c>
      <c r="BB24" s="197"/>
      <c r="BC24" s="197"/>
      <c r="BD24" s="197"/>
      <c r="BE24" s="197"/>
      <c r="BF24" s="197"/>
      <c r="BG24" s="197"/>
      <c r="BH24" s="197"/>
      <c r="BI24" s="197"/>
      <c r="BJ24" s="197"/>
      <c r="BK24" s="197"/>
      <c r="BL24" s="197"/>
      <c r="BM24" s="197"/>
      <c r="BN24" s="197"/>
      <c r="BO24" s="197"/>
      <c r="BP24" s="197"/>
      <c r="BQ24" s="198"/>
      <c r="BR24" s="198"/>
      <c r="BS24" s="204"/>
      <c r="BT24" s="198"/>
      <c r="BU24" s="231"/>
      <c r="BV24" s="198"/>
      <c r="BW24" s="205"/>
      <c r="BX24" s="205"/>
      <c r="BY24" s="197"/>
      <c r="BZ24" s="197"/>
      <c r="CA24" s="197">
        <v>0</v>
      </c>
      <c r="CB24" s="197"/>
      <c r="CC24" s="197"/>
      <c r="CD24" s="197"/>
      <c r="CE24" s="197"/>
      <c r="CF24" s="197"/>
      <c r="CG24" s="197"/>
      <c r="CH24" s="197"/>
      <c r="CI24" s="197"/>
      <c r="CJ24" s="197"/>
      <c r="CK24" s="198"/>
      <c r="CL24" s="198"/>
    </row>
    <row r="25" spans="1:90" outlineLevel="3" x14ac:dyDescent="0.25">
      <c r="A25" s="143" t="s">
        <v>356</v>
      </c>
      <c r="B25" s="143" t="s">
        <v>383</v>
      </c>
      <c r="C25" s="143" t="s">
        <v>546</v>
      </c>
      <c r="D25" s="143" t="s">
        <v>547</v>
      </c>
      <c r="E25" s="143" t="s">
        <v>208</v>
      </c>
      <c r="F25" s="143" t="s">
        <v>203</v>
      </c>
      <c r="G25" s="143" t="s">
        <v>384</v>
      </c>
      <c r="H25" s="143" t="s">
        <v>342</v>
      </c>
      <c r="I25" s="169" t="s">
        <v>362</v>
      </c>
      <c r="J25" s="171">
        <v>1</v>
      </c>
      <c r="K25" s="171">
        <v>1</v>
      </c>
      <c r="L25" s="173">
        <v>0</v>
      </c>
      <c r="M25" s="173">
        <v>0</v>
      </c>
      <c r="N25" s="173">
        <v>0</v>
      </c>
      <c r="O25" s="172">
        <v>1803840</v>
      </c>
      <c r="P25" s="173">
        <v>1803840</v>
      </c>
      <c r="Q25" s="173">
        <v>0</v>
      </c>
      <c r="R25" s="175" t="s">
        <v>385</v>
      </c>
      <c r="S25" s="175">
        <v>0</v>
      </c>
      <c r="T25" s="175">
        <v>0</v>
      </c>
      <c r="U25" s="251">
        <v>1803840</v>
      </c>
      <c r="V25" s="172" t="s">
        <v>345</v>
      </c>
      <c r="W25" s="172">
        <v>0</v>
      </c>
      <c r="X25" s="172">
        <v>0</v>
      </c>
      <c r="Y25" s="172">
        <v>0</v>
      </c>
      <c r="Z25" s="172">
        <v>0</v>
      </c>
      <c r="AA25" s="172">
        <v>0</v>
      </c>
      <c r="AB25" s="172">
        <v>0</v>
      </c>
      <c r="AC25" s="251">
        <v>1803840</v>
      </c>
      <c r="AD25" s="172">
        <v>0</v>
      </c>
      <c r="AE25" s="172">
        <v>0</v>
      </c>
      <c r="AF25" s="172">
        <v>0</v>
      </c>
      <c r="AG25" s="172">
        <v>0</v>
      </c>
      <c r="AH25" s="252">
        <v>0</v>
      </c>
      <c r="AI25" s="172">
        <v>0</v>
      </c>
      <c r="AJ25" s="172">
        <v>0</v>
      </c>
      <c r="AK25" s="253">
        <v>0</v>
      </c>
      <c r="AL25" s="176">
        <v>0</v>
      </c>
      <c r="AM25" s="172">
        <v>1803840</v>
      </c>
      <c r="AN25" s="173">
        <v>0</v>
      </c>
      <c r="AO25" s="176">
        <v>0</v>
      </c>
      <c r="AP25" s="172">
        <v>1803840</v>
      </c>
      <c r="AQ25" s="177">
        <v>1</v>
      </c>
      <c r="AR25" s="172">
        <v>0</v>
      </c>
      <c r="AS25" s="172">
        <v>1803840</v>
      </c>
      <c r="AT25" s="172">
        <v>0</v>
      </c>
      <c r="AU25" s="172">
        <v>0</v>
      </c>
      <c r="AV25" s="172">
        <v>0</v>
      </c>
      <c r="AW25" s="172">
        <v>0</v>
      </c>
      <c r="AX25" s="172">
        <v>0</v>
      </c>
      <c r="AY25" s="172">
        <v>0</v>
      </c>
      <c r="AZ25" s="172">
        <v>0</v>
      </c>
      <c r="BA25" s="172">
        <v>0</v>
      </c>
      <c r="BB25" s="172" t="s">
        <v>203</v>
      </c>
      <c r="BC25" s="172" t="s">
        <v>203</v>
      </c>
      <c r="BD25" s="172">
        <v>0</v>
      </c>
      <c r="BE25" s="172">
        <v>0</v>
      </c>
      <c r="BF25" s="172">
        <v>0</v>
      </c>
      <c r="BG25" s="172">
        <v>0</v>
      </c>
      <c r="BH25" s="172">
        <v>0</v>
      </c>
      <c r="BI25" s="172">
        <v>0</v>
      </c>
      <c r="BJ25" s="172">
        <v>0</v>
      </c>
      <c r="BK25" s="172">
        <v>0</v>
      </c>
      <c r="BL25" s="172">
        <v>1803840</v>
      </c>
      <c r="BM25" s="172" t="s">
        <v>346</v>
      </c>
      <c r="BN25" s="172">
        <v>0</v>
      </c>
      <c r="BO25" s="172" t="b">
        <v>0</v>
      </c>
      <c r="BP25" s="172">
        <v>0</v>
      </c>
      <c r="BQ25" s="174">
        <v>0</v>
      </c>
      <c r="BR25" s="173">
        <v>0</v>
      </c>
      <c r="BS25" s="179">
        <v>71</v>
      </c>
      <c r="BT25" s="173">
        <v>0</v>
      </c>
      <c r="BU25" s="237">
        <v>0</v>
      </c>
      <c r="BV25" s="173">
        <v>236</v>
      </c>
      <c r="BW25" s="180">
        <v>0</v>
      </c>
      <c r="BX25" s="180">
        <v>0</v>
      </c>
      <c r="BY25" s="172">
        <v>0</v>
      </c>
      <c r="BZ25" s="172">
        <v>0</v>
      </c>
      <c r="CA25" s="172">
        <v>0</v>
      </c>
      <c r="CB25" s="172">
        <v>1803840</v>
      </c>
      <c r="CC25" s="172">
        <v>0</v>
      </c>
      <c r="CD25" s="172">
        <v>0</v>
      </c>
      <c r="CE25" s="172">
        <v>0</v>
      </c>
      <c r="CF25" s="172">
        <v>0</v>
      </c>
      <c r="CG25" s="172">
        <v>0</v>
      </c>
      <c r="CH25" s="172">
        <v>0</v>
      </c>
      <c r="CI25" s="172">
        <v>0</v>
      </c>
      <c r="CJ25" s="172">
        <v>0</v>
      </c>
      <c r="CK25" s="173">
        <v>0</v>
      </c>
      <c r="CL25" s="173">
        <v>0</v>
      </c>
    </row>
    <row r="26" spans="1:90" outlineLevel="3" x14ac:dyDescent="0.25">
      <c r="A26" s="143" t="s">
        <v>356</v>
      </c>
      <c r="B26" s="143" t="s">
        <v>383</v>
      </c>
      <c r="C26" s="143" t="s">
        <v>546</v>
      </c>
      <c r="D26" s="143" t="s">
        <v>547</v>
      </c>
      <c r="E26" s="143" t="s">
        <v>479</v>
      </c>
      <c r="F26" s="143" t="s">
        <v>203</v>
      </c>
      <c r="G26" s="143" t="s">
        <v>384</v>
      </c>
      <c r="H26" s="143" t="s">
        <v>342</v>
      </c>
      <c r="I26" s="169" t="s">
        <v>362</v>
      </c>
      <c r="J26" s="171">
        <v>1</v>
      </c>
      <c r="K26" s="171">
        <v>1</v>
      </c>
      <c r="L26" s="173">
        <v>0</v>
      </c>
      <c r="M26" s="173">
        <v>0</v>
      </c>
      <c r="N26" s="173">
        <v>0</v>
      </c>
      <c r="O26" s="172">
        <v>2300803</v>
      </c>
      <c r="P26" s="173">
        <v>2300803</v>
      </c>
      <c r="Q26" s="173">
        <v>0</v>
      </c>
      <c r="R26" s="175" t="s">
        <v>480</v>
      </c>
      <c r="S26" s="175">
        <v>0</v>
      </c>
      <c r="T26" s="175">
        <v>0</v>
      </c>
      <c r="U26" s="251">
        <v>2300803</v>
      </c>
      <c r="V26" s="172" t="s">
        <v>345</v>
      </c>
      <c r="W26" s="172">
        <v>0</v>
      </c>
      <c r="X26" s="172">
        <v>0</v>
      </c>
      <c r="Y26" s="172">
        <v>0</v>
      </c>
      <c r="Z26" s="172">
        <v>0</v>
      </c>
      <c r="AA26" s="172">
        <v>0</v>
      </c>
      <c r="AB26" s="172">
        <v>0</v>
      </c>
      <c r="AC26" s="251">
        <v>2300803</v>
      </c>
      <c r="AD26" s="172">
        <v>0</v>
      </c>
      <c r="AE26" s="172">
        <v>0</v>
      </c>
      <c r="AF26" s="172">
        <v>0</v>
      </c>
      <c r="AG26" s="172">
        <v>0</v>
      </c>
      <c r="AH26" s="252">
        <v>0</v>
      </c>
      <c r="AI26" s="172">
        <v>0</v>
      </c>
      <c r="AJ26" s="172">
        <v>0</v>
      </c>
      <c r="AK26" s="253">
        <v>0</v>
      </c>
      <c r="AL26" s="176">
        <v>0</v>
      </c>
      <c r="AM26" s="172">
        <v>2300803</v>
      </c>
      <c r="AN26" s="173">
        <v>0</v>
      </c>
      <c r="AO26" s="176">
        <v>0</v>
      </c>
      <c r="AP26" s="172">
        <v>2300803</v>
      </c>
      <c r="AQ26" s="177">
        <v>1</v>
      </c>
      <c r="AR26" s="172">
        <v>0</v>
      </c>
      <c r="AS26" s="172">
        <v>2300803</v>
      </c>
      <c r="AT26" s="172">
        <v>0</v>
      </c>
      <c r="AU26" s="172">
        <v>0</v>
      </c>
      <c r="AV26" s="172">
        <v>0</v>
      </c>
      <c r="AW26" s="172">
        <v>0</v>
      </c>
      <c r="AX26" s="172">
        <v>0</v>
      </c>
      <c r="AY26" s="172">
        <v>0</v>
      </c>
      <c r="AZ26" s="172">
        <v>0</v>
      </c>
      <c r="BA26" s="172">
        <v>0</v>
      </c>
      <c r="BB26" s="172" t="s">
        <v>203</v>
      </c>
      <c r="BC26" s="172" t="s">
        <v>203</v>
      </c>
      <c r="BD26" s="172">
        <v>0</v>
      </c>
      <c r="BE26" s="172">
        <v>0</v>
      </c>
      <c r="BF26" s="172">
        <v>0</v>
      </c>
      <c r="BG26" s="172">
        <v>0</v>
      </c>
      <c r="BH26" s="172">
        <v>0</v>
      </c>
      <c r="BI26" s="172">
        <v>0</v>
      </c>
      <c r="BJ26" s="172">
        <v>0</v>
      </c>
      <c r="BK26" s="172">
        <v>0</v>
      </c>
      <c r="BL26" s="172">
        <v>2300803</v>
      </c>
      <c r="BM26" s="172" t="s">
        <v>346</v>
      </c>
      <c r="BN26" s="172">
        <v>0</v>
      </c>
      <c r="BO26" s="172" t="b">
        <v>0</v>
      </c>
      <c r="BP26" s="172">
        <v>0</v>
      </c>
      <c r="BQ26" s="174">
        <v>0</v>
      </c>
      <c r="BR26" s="173">
        <v>0</v>
      </c>
      <c r="BS26" s="179">
        <v>71</v>
      </c>
      <c r="BT26" s="173">
        <v>0</v>
      </c>
      <c r="BU26" s="237">
        <v>0</v>
      </c>
      <c r="BV26" s="173">
        <v>238</v>
      </c>
      <c r="BW26" s="180">
        <v>0</v>
      </c>
      <c r="BX26" s="180">
        <v>0</v>
      </c>
      <c r="BY26" s="172">
        <v>0</v>
      </c>
      <c r="BZ26" s="172">
        <v>0</v>
      </c>
      <c r="CA26" s="172">
        <v>0</v>
      </c>
      <c r="CB26" s="172">
        <v>2300803</v>
      </c>
      <c r="CC26" s="172">
        <v>0</v>
      </c>
      <c r="CD26" s="172">
        <v>0</v>
      </c>
      <c r="CE26" s="172">
        <v>0</v>
      </c>
      <c r="CF26" s="172">
        <v>0</v>
      </c>
      <c r="CG26" s="172">
        <v>0</v>
      </c>
      <c r="CH26" s="172">
        <v>0</v>
      </c>
      <c r="CI26" s="172">
        <v>0</v>
      </c>
      <c r="CJ26" s="172">
        <v>0</v>
      </c>
      <c r="CK26" s="173">
        <v>0</v>
      </c>
      <c r="CL26" s="173">
        <v>0</v>
      </c>
    </row>
    <row r="27" spans="1:90" s="195" customFormat="1" ht="20.100000000000001" customHeight="1" outlineLevel="2" x14ac:dyDescent="0.25">
      <c r="A27" s="182" t="s">
        <v>369</v>
      </c>
      <c r="B27" s="182"/>
      <c r="C27" s="182"/>
      <c r="D27" s="182"/>
      <c r="E27" s="182"/>
      <c r="F27" s="182"/>
      <c r="G27" s="182"/>
      <c r="H27" s="182"/>
      <c r="I27" s="183"/>
      <c r="J27" s="185"/>
      <c r="K27" s="185"/>
      <c r="L27" s="187"/>
      <c r="M27" s="187"/>
      <c r="N27" s="187"/>
      <c r="O27" s="186"/>
      <c r="P27" s="187"/>
      <c r="Q27" s="187"/>
      <c r="R27" s="189">
        <v>0</v>
      </c>
      <c r="S27" s="189">
        <v>0</v>
      </c>
      <c r="T27" s="189">
        <v>0</v>
      </c>
      <c r="U27" s="254">
        <v>4104643</v>
      </c>
      <c r="V27" s="186"/>
      <c r="W27" s="186">
        <v>0</v>
      </c>
      <c r="X27" s="186">
        <v>0</v>
      </c>
      <c r="Y27" s="186">
        <v>0</v>
      </c>
      <c r="Z27" s="186">
        <v>0</v>
      </c>
      <c r="AA27" s="186">
        <v>0</v>
      </c>
      <c r="AB27" s="186">
        <v>0</v>
      </c>
      <c r="AC27" s="254">
        <v>4104643</v>
      </c>
      <c r="AD27" s="186">
        <v>0</v>
      </c>
      <c r="AE27" s="186">
        <v>0</v>
      </c>
      <c r="AF27" s="186">
        <v>0</v>
      </c>
      <c r="AG27" s="186">
        <v>0</v>
      </c>
      <c r="AH27" s="255">
        <v>0</v>
      </c>
      <c r="AI27" s="186">
        <v>0</v>
      </c>
      <c r="AJ27" s="186">
        <v>0</v>
      </c>
      <c r="AK27" s="256">
        <v>0</v>
      </c>
      <c r="AL27" s="190"/>
      <c r="AM27" s="186">
        <v>4104643</v>
      </c>
      <c r="AN27" s="187"/>
      <c r="AO27" s="190"/>
      <c r="AP27" s="186">
        <v>4104643</v>
      </c>
      <c r="AQ27" s="191"/>
      <c r="AR27" s="186"/>
      <c r="AS27" s="186"/>
      <c r="AT27" s="186">
        <v>0</v>
      </c>
      <c r="AU27" s="186">
        <v>0</v>
      </c>
      <c r="AV27" s="186">
        <v>0</v>
      </c>
      <c r="AW27" s="186">
        <v>0</v>
      </c>
      <c r="AX27" s="186">
        <v>0</v>
      </c>
      <c r="AY27" s="186">
        <v>0</v>
      </c>
      <c r="AZ27" s="186">
        <v>0</v>
      </c>
      <c r="BA27" s="186">
        <v>0</v>
      </c>
      <c r="BB27" s="186"/>
      <c r="BC27" s="186"/>
      <c r="BD27" s="186"/>
      <c r="BE27" s="186"/>
      <c r="BF27" s="186"/>
      <c r="BG27" s="186"/>
      <c r="BH27" s="186"/>
      <c r="BI27" s="186"/>
      <c r="BJ27" s="186"/>
      <c r="BK27" s="186"/>
      <c r="BL27" s="186"/>
      <c r="BM27" s="186"/>
      <c r="BN27" s="186"/>
      <c r="BO27" s="186"/>
      <c r="BP27" s="186"/>
      <c r="BQ27" s="188"/>
      <c r="BR27" s="187"/>
      <c r="BS27" s="193"/>
      <c r="BT27" s="187"/>
      <c r="BU27" s="230"/>
      <c r="BV27" s="187"/>
      <c r="BW27" s="194"/>
      <c r="BX27" s="194"/>
      <c r="BY27" s="186"/>
      <c r="BZ27" s="186"/>
      <c r="CA27" s="186">
        <v>0</v>
      </c>
      <c r="CB27" s="186"/>
      <c r="CC27" s="186"/>
      <c r="CD27" s="186"/>
      <c r="CE27" s="186"/>
      <c r="CF27" s="186"/>
      <c r="CG27" s="186"/>
      <c r="CH27" s="186"/>
      <c r="CI27" s="186"/>
      <c r="CJ27" s="186"/>
      <c r="CK27" s="187"/>
      <c r="CL27" s="187"/>
    </row>
    <row r="28" spans="1:90" s="206" customFormat="1" ht="30" customHeight="1" outlineLevel="1" x14ac:dyDescent="0.25">
      <c r="A28" s="182"/>
      <c r="B28" s="182" t="s">
        <v>386</v>
      </c>
      <c r="C28" s="182"/>
      <c r="D28" s="182"/>
      <c r="E28" s="182"/>
      <c r="F28" s="182"/>
      <c r="G28" s="182"/>
      <c r="H28" s="182"/>
      <c r="I28" s="183"/>
      <c r="J28" s="196"/>
      <c r="K28" s="196"/>
      <c r="L28" s="198"/>
      <c r="M28" s="198"/>
      <c r="N28" s="198"/>
      <c r="O28" s="197"/>
      <c r="P28" s="198"/>
      <c r="Q28" s="198"/>
      <c r="R28" s="200">
        <v>0</v>
      </c>
      <c r="S28" s="200">
        <v>0</v>
      </c>
      <c r="T28" s="200">
        <v>0</v>
      </c>
      <c r="U28" s="257">
        <v>4104643</v>
      </c>
      <c r="V28" s="197"/>
      <c r="W28" s="197">
        <v>0</v>
      </c>
      <c r="X28" s="197">
        <v>0</v>
      </c>
      <c r="Y28" s="197">
        <v>0</v>
      </c>
      <c r="Z28" s="197">
        <v>0</v>
      </c>
      <c r="AA28" s="197">
        <v>0</v>
      </c>
      <c r="AB28" s="197">
        <v>0</v>
      </c>
      <c r="AC28" s="257">
        <v>4104643</v>
      </c>
      <c r="AD28" s="197">
        <v>0</v>
      </c>
      <c r="AE28" s="197">
        <v>0</v>
      </c>
      <c r="AF28" s="197">
        <v>0</v>
      </c>
      <c r="AG28" s="197">
        <v>0</v>
      </c>
      <c r="AH28" s="258">
        <v>0</v>
      </c>
      <c r="AI28" s="197">
        <v>0</v>
      </c>
      <c r="AJ28" s="197">
        <v>0</v>
      </c>
      <c r="AK28" s="259">
        <v>0</v>
      </c>
      <c r="AL28" s="201"/>
      <c r="AM28" s="197">
        <v>4104643</v>
      </c>
      <c r="AN28" s="198"/>
      <c r="AO28" s="201"/>
      <c r="AP28" s="197">
        <v>4104643</v>
      </c>
      <c r="AQ28" s="202"/>
      <c r="AR28" s="197"/>
      <c r="AS28" s="197"/>
      <c r="AT28" s="197">
        <v>0</v>
      </c>
      <c r="AU28" s="197">
        <v>0</v>
      </c>
      <c r="AV28" s="197">
        <v>0</v>
      </c>
      <c r="AW28" s="197">
        <v>0</v>
      </c>
      <c r="AX28" s="197">
        <v>0</v>
      </c>
      <c r="AY28" s="197">
        <v>0</v>
      </c>
      <c r="AZ28" s="197">
        <v>0</v>
      </c>
      <c r="BA28" s="197">
        <v>0</v>
      </c>
      <c r="BB28" s="197"/>
      <c r="BC28" s="197"/>
      <c r="BD28" s="197"/>
      <c r="BE28" s="197"/>
      <c r="BF28" s="197"/>
      <c r="BG28" s="197"/>
      <c r="BH28" s="197"/>
      <c r="BI28" s="197"/>
      <c r="BJ28" s="197"/>
      <c r="BK28" s="197"/>
      <c r="BL28" s="197"/>
      <c r="BM28" s="197"/>
      <c r="BN28" s="197"/>
      <c r="BO28" s="197"/>
      <c r="BP28" s="197"/>
      <c r="BQ28" s="199"/>
      <c r="BR28" s="198"/>
      <c r="BS28" s="204"/>
      <c r="BT28" s="198"/>
      <c r="BU28" s="231"/>
      <c r="BV28" s="198"/>
      <c r="BW28" s="205"/>
      <c r="BX28" s="205"/>
      <c r="BY28" s="197"/>
      <c r="BZ28" s="197"/>
      <c r="CA28" s="197">
        <v>0</v>
      </c>
      <c r="CB28" s="197"/>
      <c r="CC28" s="197"/>
      <c r="CD28" s="197"/>
      <c r="CE28" s="197"/>
      <c r="CF28" s="197"/>
      <c r="CG28" s="197"/>
      <c r="CH28" s="197"/>
      <c r="CI28" s="197"/>
      <c r="CJ28" s="197"/>
      <c r="CK28" s="198"/>
      <c r="CL28" s="198"/>
    </row>
    <row r="29" spans="1:90" outlineLevel="3" x14ac:dyDescent="0.25">
      <c r="A29" s="143" t="s">
        <v>391</v>
      </c>
      <c r="B29" s="143" t="s">
        <v>387</v>
      </c>
      <c r="C29" s="143" t="s">
        <v>388</v>
      </c>
      <c r="D29" s="143" t="s">
        <v>389</v>
      </c>
      <c r="E29" s="143" t="s">
        <v>209</v>
      </c>
      <c r="F29" s="143" t="s">
        <v>203</v>
      </c>
      <c r="G29" s="143" t="s">
        <v>390</v>
      </c>
      <c r="H29" s="143" t="s">
        <v>342</v>
      </c>
      <c r="I29" s="169" t="s">
        <v>392</v>
      </c>
      <c r="J29" s="171">
        <v>1</v>
      </c>
      <c r="K29" s="171">
        <v>1</v>
      </c>
      <c r="L29" s="173">
        <v>0</v>
      </c>
      <c r="M29" s="173">
        <v>0</v>
      </c>
      <c r="N29" s="173">
        <v>0</v>
      </c>
      <c r="O29" s="172">
        <v>13228050</v>
      </c>
      <c r="P29" s="173">
        <v>13228050</v>
      </c>
      <c r="Q29" s="173">
        <v>0</v>
      </c>
      <c r="R29" s="175" t="s">
        <v>393</v>
      </c>
      <c r="S29" s="175">
        <v>0</v>
      </c>
      <c r="T29" s="175">
        <v>0</v>
      </c>
      <c r="U29" s="251">
        <v>13228050</v>
      </c>
      <c r="V29" s="172" t="s">
        <v>345</v>
      </c>
      <c r="W29" s="172">
        <v>0</v>
      </c>
      <c r="X29" s="172">
        <v>0</v>
      </c>
      <c r="Y29" s="172">
        <v>0</v>
      </c>
      <c r="Z29" s="172">
        <v>0</v>
      </c>
      <c r="AA29" s="172">
        <v>0</v>
      </c>
      <c r="AB29" s="172">
        <v>0</v>
      </c>
      <c r="AC29" s="251">
        <v>13228050</v>
      </c>
      <c r="AD29" s="172">
        <v>0</v>
      </c>
      <c r="AE29" s="172">
        <v>0</v>
      </c>
      <c r="AF29" s="172">
        <v>0</v>
      </c>
      <c r="AG29" s="172">
        <v>0</v>
      </c>
      <c r="AH29" s="252">
        <v>0</v>
      </c>
      <c r="AI29" s="172">
        <v>0</v>
      </c>
      <c r="AJ29" s="172">
        <v>0</v>
      </c>
      <c r="AK29" s="253">
        <v>0</v>
      </c>
      <c r="AL29" s="176">
        <v>0</v>
      </c>
      <c r="AM29" s="172">
        <v>13228050</v>
      </c>
      <c r="AN29" s="173">
        <v>0</v>
      </c>
      <c r="AO29" s="176">
        <v>0</v>
      </c>
      <c r="AP29" s="172">
        <v>13228050</v>
      </c>
      <c r="AQ29" s="177">
        <v>1</v>
      </c>
      <c r="AR29" s="172">
        <v>0</v>
      </c>
      <c r="AS29" s="172">
        <v>13228050</v>
      </c>
      <c r="AT29" s="172">
        <v>0</v>
      </c>
      <c r="AU29" s="172">
        <v>0</v>
      </c>
      <c r="AV29" s="172">
        <v>0</v>
      </c>
      <c r="AW29" s="172">
        <v>0</v>
      </c>
      <c r="AX29" s="172">
        <v>0</v>
      </c>
      <c r="AY29" s="172">
        <v>0</v>
      </c>
      <c r="AZ29" s="172">
        <v>0</v>
      </c>
      <c r="BA29" s="172">
        <v>0</v>
      </c>
      <c r="BB29" s="172" t="s">
        <v>203</v>
      </c>
      <c r="BC29" s="172" t="s">
        <v>203</v>
      </c>
      <c r="BD29" s="172">
        <v>0</v>
      </c>
      <c r="BE29" s="172">
        <v>0</v>
      </c>
      <c r="BF29" s="172">
        <v>0</v>
      </c>
      <c r="BG29" s="172">
        <v>0</v>
      </c>
      <c r="BH29" s="172">
        <v>0</v>
      </c>
      <c r="BI29" s="172">
        <v>0</v>
      </c>
      <c r="BJ29" s="172">
        <v>0</v>
      </c>
      <c r="BK29" s="172">
        <v>0</v>
      </c>
      <c r="BL29" s="172">
        <v>13228050</v>
      </c>
      <c r="BM29" s="172" t="s">
        <v>353</v>
      </c>
      <c r="BN29" s="172">
        <v>0</v>
      </c>
      <c r="BO29" s="172" t="b">
        <v>0</v>
      </c>
      <c r="BP29" s="172">
        <v>0</v>
      </c>
      <c r="BQ29" s="174">
        <v>0</v>
      </c>
      <c r="BR29" s="173">
        <v>0</v>
      </c>
      <c r="BS29" s="179">
        <v>72</v>
      </c>
      <c r="BT29" s="173">
        <v>0</v>
      </c>
      <c r="BU29" s="237">
        <v>0</v>
      </c>
      <c r="BV29" s="173">
        <v>255</v>
      </c>
      <c r="BW29" s="180">
        <v>0</v>
      </c>
      <c r="BX29" s="180">
        <v>0</v>
      </c>
      <c r="BY29" s="172">
        <v>0</v>
      </c>
      <c r="BZ29" s="172">
        <v>0</v>
      </c>
      <c r="CA29" s="172">
        <v>0</v>
      </c>
      <c r="CB29" s="172">
        <v>13228050</v>
      </c>
      <c r="CC29" s="172">
        <v>0</v>
      </c>
      <c r="CD29" s="172">
        <v>0</v>
      </c>
      <c r="CE29" s="172">
        <v>0</v>
      </c>
      <c r="CF29" s="172">
        <v>0</v>
      </c>
      <c r="CG29" s="172">
        <v>0</v>
      </c>
      <c r="CH29" s="172">
        <v>0</v>
      </c>
      <c r="CI29" s="172">
        <v>0</v>
      </c>
      <c r="CJ29" s="172">
        <v>0</v>
      </c>
      <c r="CK29" s="173">
        <v>0</v>
      </c>
      <c r="CL29" s="173">
        <v>0</v>
      </c>
    </row>
    <row r="30" spans="1:90" outlineLevel="3" x14ac:dyDescent="0.25">
      <c r="A30" s="143" t="s">
        <v>391</v>
      </c>
      <c r="B30" s="143" t="s">
        <v>387</v>
      </c>
      <c r="C30" s="143" t="s">
        <v>525</v>
      </c>
      <c r="D30" s="143" t="s">
        <v>526</v>
      </c>
      <c r="E30" s="143" t="s">
        <v>527</v>
      </c>
      <c r="F30" s="143" t="s">
        <v>203</v>
      </c>
      <c r="G30" s="143" t="s">
        <v>528</v>
      </c>
      <c r="H30" s="143" t="s">
        <v>342</v>
      </c>
      <c r="I30" s="169" t="s">
        <v>392</v>
      </c>
      <c r="J30" s="171">
        <v>1</v>
      </c>
      <c r="K30" s="171">
        <v>1</v>
      </c>
      <c r="L30" s="173">
        <v>0</v>
      </c>
      <c r="M30" s="173">
        <v>0</v>
      </c>
      <c r="N30" s="173">
        <v>0</v>
      </c>
      <c r="O30" s="172">
        <v>93746588.676477998</v>
      </c>
      <c r="P30" s="173">
        <v>93746588.676477998</v>
      </c>
      <c r="Q30" s="173">
        <v>0</v>
      </c>
      <c r="R30" s="175" t="s">
        <v>529</v>
      </c>
      <c r="S30" s="175">
        <v>0</v>
      </c>
      <c r="T30" s="175">
        <v>0</v>
      </c>
      <c r="U30" s="251">
        <v>93746588.676477998</v>
      </c>
      <c r="V30" s="172" t="s">
        <v>345</v>
      </c>
      <c r="W30" s="172">
        <v>0</v>
      </c>
      <c r="X30" s="172">
        <v>0</v>
      </c>
      <c r="Y30" s="172">
        <v>0</v>
      </c>
      <c r="Z30" s="172">
        <v>0</v>
      </c>
      <c r="AA30" s="172">
        <v>0</v>
      </c>
      <c r="AB30" s="172">
        <v>0</v>
      </c>
      <c r="AC30" s="251">
        <v>93746588.676477998</v>
      </c>
      <c r="AD30" s="172">
        <v>0</v>
      </c>
      <c r="AE30" s="172">
        <v>0</v>
      </c>
      <c r="AF30" s="172">
        <v>0</v>
      </c>
      <c r="AG30" s="172">
        <v>0</v>
      </c>
      <c r="AH30" s="252">
        <v>0</v>
      </c>
      <c r="AI30" s="172">
        <v>0</v>
      </c>
      <c r="AJ30" s="172">
        <v>0</v>
      </c>
      <c r="AK30" s="253">
        <v>0</v>
      </c>
      <c r="AL30" s="176">
        <v>0</v>
      </c>
      <c r="AM30" s="172">
        <v>93746588.676477998</v>
      </c>
      <c r="AN30" s="173">
        <v>0</v>
      </c>
      <c r="AO30" s="176">
        <v>0</v>
      </c>
      <c r="AP30" s="172">
        <v>93746588.676477998</v>
      </c>
      <c r="AQ30" s="177">
        <v>1</v>
      </c>
      <c r="AR30" s="172">
        <v>0</v>
      </c>
      <c r="AS30" s="172">
        <v>93746588.676477998</v>
      </c>
      <c r="AT30" s="172">
        <v>0</v>
      </c>
      <c r="AU30" s="172">
        <v>0</v>
      </c>
      <c r="AV30" s="172">
        <v>0</v>
      </c>
      <c r="AW30" s="172">
        <v>0</v>
      </c>
      <c r="AX30" s="172">
        <v>0</v>
      </c>
      <c r="AY30" s="172">
        <v>0</v>
      </c>
      <c r="AZ30" s="172">
        <v>0</v>
      </c>
      <c r="BA30" s="172">
        <v>0</v>
      </c>
      <c r="BB30" s="172" t="s">
        <v>203</v>
      </c>
      <c r="BC30" s="172" t="s">
        <v>203</v>
      </c>
      <c r="BD30" s="172">
        <v>0</v>
      </c>
      <c r="BE30" s="172">
        <v>0</v>
      </c>
      <c r="BF30" s="172">
        <v>0</v>
      </c>
      <c r="BG30" s="172">
        <v>0</v>
      </c>
      <c r="BH30" s="172">
        <v>0</v>
      </c>
      <c r="BI30" s="172">
        <v>0</v>
      </c>
      <c r="BJ30" s="172">
        <v>0</v>
      </c>
      <c r="BK30" s="172">
        <v>0</v>
      </c>
      <c r="BL30" s="172">
        <v>93746588.676477998</v>
      </c>
      <c r="BM30" s="172" t="s">
        <v>346</v>
      </c>
      <c r="BN30" s="172">
        <v>0</v>
      </c>
      <c r="BO30" s="172" t="b">
        <v>0</v>
      </c>
      <c r="BP30" s="172">
        <v>0</v>
      </c>
      <c r="BQ30" s="174">
        <v>0</v>
      </c>
      <c r="BR30" s="173">
        <v>0</v>
      </c>
      <c r="BS30" s="179">
        <v>72</v>
      </c>
      <c r="BT30" s="173">
        <v>0</v>
      </c>
      <c r="BU30" s="237">
        <v>0</v>
      </c>
      <c r="BV30" s="173">
        <v>294</v>
      </c>
      <c r="BW30" s="180">
        <v>0</v>
      </c>
      <c r="BX30" s="180">
        <v>0</v>
      </c>
      <c r="BY30" s="172">
        <v>0</v>
      </c>
      <c r="BZ30" s="172">
        <v>0</v>
      </c>
      <c r="CA30" s="172">
        <v>0</v>
      </c>
      <c r="CB30" s="172">
        <v>93746588.676477998</v>
      </c>
      <c r="CC30" s="172">
        <v>0</v>
      </c>
      <c r="CD30" s="172">
        <v>0</v>
      </c>
      <c r="CE30" s="172">
        <v>0</v>
      </c>
      <c r="CF30" s="172">
        <v>0</v>
      </c>
      <c r="CG30" s="172">
        <v>0</v>
      </c>
      <c r="CH30" s="172">
        <v>0</v>
      </c>
      <c r="CI30" s="172">
        <v>0</v>
      </c>
      <c r="CJ30" s="172">
        <v>0</v>
      </c>
      <c r="CK30" s="173">
        <v>0</v>
      </c>
      <c r="CL30" s="173">
        <v>0</v>
      </c>
    </row>
    <row r="31" spans="1:90" s="195" customFormat="1" ht="20.100000000000001" customHeight="1" outlineLevel="2" x14ac:dyDescent="0.25">
      <c r="A31" s="182" t="s">
        <v>394</v>
      </c>
      <c r="B31" s="182"/>
      <c r="C31" s="182"/>
      <c r="D31" s="182"/>
      <c r="E31" s="182"/>
      <c r="F31" s="182"/>
      <c r="G31" s="182"/>
      <c r="H31" s="182"/>
      <c r="I31" s="183"/>
      <c r="J31" s="185"/>
      <c r="K31" s="185"/>
      <c r="L31" s="187"/>
      <c r="M31" s="187"/>
      <c r="N31" s="187"/>
      <c r="O31" s="186"/>
      <c r="P31" s="187"/>
      <c r="Q31" s="187"/>
      <c r="R31" s="189">
        <v>0</v>
      </c>
      <c r="S31" s="189">
        <v>0</v>
      </c>
      <c r="T31" s="189">
        <v>0</v>
      </c>
      <c r="U31" s="254">
        <v>106974638.676478</v>
      </c>
      <c r="V31" s="186"/>
      <c r="W31" s="186">
        <v>0</v>
      </c>
      <c r="X31" s="186">
        <v>0</v>
      </c>
      <c r="Y31" s="186">
        <v>0</v>
      </c>
      <c r="Z31" s="186">
        <v>0</v>
      </c>
      <c r="AA31" s="186">
        <v>0</v>
      </c>
      <c r="AB31" s="186">
        <v>0</v>
      </c>
      <c r="AC31" s="254">
        <v>106974638.676478</v>
      </c>
      <c r="AD31" s="186">
        <v>0</v>
      </c>
      <c r="AE31" s="186">
        <v>0</v>
      </c>
      <c r="AF31" s="186">
        <v>0</v>
      </c>
      <c r="AG31" s="186">
        <v>0</v>
      </c>
      <c r="AH31" s="255">
        <v>0</v>
      </c>
      <c r="AI31" s="186">
        <v>0</v>
      </c>
      <c r="AJ31" s="186">
        <v>0</v>
      </c>
      <c r="AK31" s="256">
        <v>0</v>
      </c>
      <c r="AL31" s="190"/>
      <c r="AM31" s="186">
        <v>106974638.676478</v>
      </c>
      <c r="AN31" s="187"/>
      <c r="AO31" s="190"/>
      <c r="AP31" s="186">
        <v>106974638.676478</v>
      </c>
      <c r="AQ31" s="191"/>
      <c r="AR31" s="186"/>
      <c r="AS31" s="186"/>
      <c r="AT31" s="186">
        <v>0</v>
      </c>
      <c r="AU31" s="186">
        <v>0</v>
      </c>
      <c r="AV31" s="186">
        <v>0</v>
      </c>
      <c r="AW31" s="186">
        <v>0</v>
      </c>
      <c r="AX31" s="186">
        <v>0</v>
      </c>
      <c r="AY31" s="186">
        <v>0</v>
      </c>
      <c r="AZ31" s="186">
        <v>0</v>
      </c>
      <c r="BA31" s="186">
        <v>0</v>
      </c>
      <c r="BB31" s="186"/>
      <c r="BC31" s="186"/>
      <c r="BD31" s="186"/>
      <c r="BE31" s="186"/>
      <c r="BF31" s="186"/>
      <c r="BG31" s="186"/>
      <c r="BH31" s="186"/>
      <c r="BI31" s="186"/>
      <c r="BJ31" s="186"/>
      <c r="BK31" s="186"/>
      <c r="BL31" s="186"/>
      <c r="BM31" s="186"/>
      <c r="BN31" s="186"/>
      <c r="BO31" s="186"/>
      <c r="BP31" s="186"/>
      <c r="BQ31" s="188"/>
      <c r="BR31" s="187"/>
      <c r="BS31" s="193"/>
      <c r="BT31" s="187"/>
      <c r="BU31" s="230"/>
      <c r="BV31" s="187"/>
      <c r="BW31" s="194"/>
      <c r="BX31" s="194"/>
      <c r="BY31" s="186"/>
      <c r="BZ31" s="186"/>
      <c r="CA31" s="186">
        <v>0</v>
      </c>
      <c r="CB31" s="186"/>
      <c r="CC31" s="186"/>
      <c r="CD31" s="186"/>
      <c r="CE31" s="186"/>
      <c r="CF31" s="186"/>
      <c r="CG31" s="186"/>
      <c r="CH31" s="186"/>
      <c r="CI31" s="186"/>
      <c r="CJ31" s="186"/>
      <c r="CK31" s="187"/>
      <c r="CL31" s="187"/>
    </row>
    <row r="32" spans="1:90" s="206" customFormat="1" ht="30" customHeight="1" outlineLevel="1" x14ac:dyDescent="0.25">
      <c r="A32" s="182"/>
      <c r="B32" s="182" t="s">
        <v>395</v>
      </c>
      <c r="C32" s="182"/>
      <c r="D32" s="182"/>
      <c r="E32" s="182"/>
      <c r="F32" s="182"/>
      <c r="G32" s="182"/>
      <c r="H32" s="182"/>
      <c r="I32" s="183"/>
      <c r="J32" s="196"/>
      <c r="K32" s="196"/>
      <c r="L32" s="198"/>
      <c r="M32" s="198"/>
      <c r="N32" s="198"/>
      <c r="O32" s="197"/>
      <c r="P32" s="198"/>
      <c r="Q32" s="198"/>
      <c r="R32" s="200">
        <v>0</v>
      </c>
      <c r="S32" s="200">
        <v>0</v>
      </c>
      <c r="T32" s="200">
        <v>0</v>
      </c>
      <c r="U32" s="257">
        <v>106974638.676478</v>
      </c>
      <c r="V32" s="197"/>
      <c r="W32" s="197">
        <v>0</v>
      </c>
      <c r="X32" s="197">
        <v>0</v>
      </c>
      <c r="Y32" s="197">
        <v>0</v>
      </c>
      <c r="Z32" s="197">
        <v>0</v>
      </c>
      <c r="AA32" s="197">
        <v>0</v>
      </c>
      <c r="AB32" s="197">
        <v>0</v>
      </c>
      <c r="AC32" s="257">
        <v>106974638.676478</v>
      </c>
      <c r="AD32" s="197">
        <v>0</v>
      </c>
      <c r="AE32" s="197">
        <v>0</v>
      </c>
      <c r="AF32" s="197">
        <v>0</v>
      </c>
      <c r="AG32" s="197">
        <v>0</v>
      </c>
      <c r="AH32" s="258">
        <v>0</v>
      </c>
      <c r="AI32" s="197">
        <v>0</v>
      </c>
      <c r="AJ32" s="197">
        <v>0</v>
      </c>
      <c r="AK32" s="259">
        <v>0</v>
      </c>
      <c r="AL32" s="201"/>
      <c r="AM32" s="197">
        <v>106974638.676478</v>
      </c>
      <c r="AN32" s="198"/>
      <c r="AO32" s="201"/>
      <c r="AP32" s="197">
        <v>106974638.676478</v>
      </c>
      <c r="AQ32" s="202"/>
      <c r="AR32" s="197"/>
      <c r="AS32" s="197"/>
      <c r="AT32" s="197">
        <v>0</v>
      </c>
      <c r="AU32" s="197">
        <v>0</v>
      </c>
      <c r="AV32" s="197">
        <v>0</v>
      </c>
      <c r="AW32" s="197">
        <v>0</v>
      </c>
      <c r="AX32" s="197">
        <v>0</v>
      </c>
      <c r="AY32" s="197">
        <v>0</v>
      </c>
      <c r="AZ32" s="197">
        <v>0</v>
      </c>
      <c r="BA32" s="197">
        <v>0</v>
      </c>
      <c r="BB32" s="197"/>
      <c r="BC32" s="197"/>
      <c r="BD32" s="197"/>
      <c r="BE32" s="197"/>
      <c r="BF32" s="197"/>
      <c r="BG32" s="197"/>
      <c r="BH32" s="197"/>
      <c r="BI32" s="197"/>
      <c r="BJ32" s="197"/>
      <c r="BK32" s="197"/>
      <c r="BL32" s="197"/>
      <c r="BM32" s="197"/>
      <c r="BN32" s="197"/>
      <c r="BO32" s="197"/>
      <c r="BP32" s="197"/>
      <c r="BQ32" s="199"/>
      <c r="BR32" s="198"/>
      <c r="BS32" s="204"/>
      <c r="BT32" s="198"/>
      <c r="BU32" s="231"/>
      <c r="BV32" s="198"/>
      <c r="BW32" s="205"/>
      <c r="BX32" s="205"/>
      <c r="BY32" s="197"/>
      <c r="BZ32" s="197"/>
      <c r="CA32" s="197">
        <v>0</v>
      </c>
      <c r="CB32" s="197"/>
      <c r="CC32" s="197"/>
      <c r="CD32" s="197"/>
      <c r="CE32" s="197"/>
      <c r="CF32" s="197"/>
      <c r="CG32" s="197"/>
      <c r="CH32" s="197"/>
      <c r="CI32" s="197"/>
      <c r="CJ32" s="197"/>
      <c r="CK32" s="198"/>
      <c r="CL32" s="198"/>
    </row>
    <row r="33" spans="1:90" outlineLevel="3" x14ac:dyDescent="0.25">
      <c r="A33" s="143" t="s">
        <v>370</v>
      </c>
      <c r="B33" s="143" t="s">
        <v>396</v>
      </c>
      <c r="C33" s="143" t="s">
        <v>532</v>
      </c>
      <c r="D33" s="143" t="s">
        <v>533</v>
      </c>
      <c r="E33" s="143" t="s">
        <v>210</v>
      </c>
      <c r="F33" s="143" t="s">
        <v>400</v>
      </c>
      <c r="G33" s="143" t="s">
        <v>397</v>
      </c>
      <c r="H33" s="143" t="s">
        <v>351</v>
      </c>
      <c r="I33" s="169" t="s">
        <v>343</v>
      </c>
      <c r="J33" s="171">
        <v>1276383</v>
      </c>
      <c r="K33" s="171">
        <v>1276383</v>
      </c>
      <c r="L33" s="173">
        <v>0</v>
      </c>
      <c r="M33" s="173">
        <v>0</v>
      </c>
      <c r="N33" s="173">
        <v>1</v>
      </c>
      <c r="O33" s="172">
        <v>18</v>
      </c>
      <c r="P33" s="174">
        <v>18.6875</v>
      </c>
      <c r="Q33" s="174">
        <v>-0.6875</v>
      </c>
      <c r="R33" s="175" t="s">
        <v>401</v>
      </c>
      <c r="S33" s="175">
        <v>0</v>
      </c>
      <c r="T33" s="175">
        <v>0</v>
      </c>
      <c r="U33" s="251">
        <v>22974894</v>
      </c>
      <c r="V33" s="172" t="s">
        <v>345</v>
      </c>
      <c r="W33" s="172">
        <v>0</v>
      </c>
      <c r="X33" s="172">
        <v>0</v>
      </c>
      <c r="Y33" s="172">
        <v>0</v>
      </c>
      <c r="Z33" s="172">
        <v>0</v>
      </c>
      <c r="AA33" s="172">
        <v>0</v>
      </c>
      <c r="AB33" s="172">
        <v>0</v>
      </c>
      <c r="AC33" s="251">
        <v>23852407.3125</v>
      </c>
      <c r="AD33" s="172">
        <v>-877513.3125</v>
      </c>
      <c r="AE33" s="172">
        <v>0</v>
      </c>
      <c r="AF33" s="172">
        <v>877513.3125</v>
      </c>
      <c r="AG33" s="172">
        <v>0</v>
      </c>
      <c r="AH33" s="252">
        <v>-56160852</v>
      </c>
      <c r="AI33" s="172">
        <v>0</v>
      </c>
      <c r="AJ33" s="172">
        <v>44673405.25</v>
      </c>
      <c r="AK33" s="253">
        <v>-11487446.75</v>
      </c>
      <c r="AL33" s="176">
        <v>0</v>
      </c>
      <c r="AM33" s="172">
        <v>79135746</v>
      </c>
      <c r="AN33" s="173">
        <v>0</v>
      </c>
      <c r="AO33" s="176">
        <v>0</v>
      </c>
      <c r="AP33" s="172">
        <v>79135746</v>
      </c>
      <c r="AQ33" s="177">
        <v>1</v>
      </c>
      <c r="AR33" s="172">
        <v>22974894</v>
      </c>
      <c r="AS33" s="172">
        <v>18</v>
      </c>
      <c r="AT33" s="172">
        <v>-25687207.875</v>
      </c>
      <c r="AU33" s="172">
        <v>0</v>
      </c>
      <c r="AV33" s="172">
        <v>44673405.25</v>
      </c>
      <c r="AW33" s="172">
        <v>18986197.375</v>
      </c>
      <c r="AX33" s="172">
        <v>-44673405.25</v>
      </c>
      <c r="AY33" s="172">
        <v>0</v>
      </c>
      <c r="AZ33" s="172">
        <v>44673405.25</v>
      </c>
      <c r="BA33" s="172">
        <v>0</v>
      </c>
      <c r="BB33" s="172">
        <v>18</v>
      </c>
      <c r="BC33" s="172">
        <v>18.6875</v>
      </c>
      <c r="BD33" s="172">
        <v>-24809694.5625</v>
      </c>
      <c r="BE33" s="172">
        <v>0</v>
      </c>
      <c r="BF33" s="172">
        <v>43795891.9375</v>
      </c>
      <c r="BG33" s="172">
        <v>18986197.375</v>
      </c>
      <c r="BH33" s="172">
        <v>-43795891.9375</v>
      </c>
      <c r="BI33" s="172">
        <v>0</v>
      </c>
      <c r="BJ33" s="172">
        <v>43795891.9375</v>
      </c>
      <c r="BK33" s="172">
        <v>0</v>
      </c>
      <c r="BL33" s="172">
        <v>79135746</v>
      </c>
      <c r="BM33" s="172" t="s">
        <v>353</v>
      </c>
      <c r="BN33" s="172">
        <v>0</v>
      </c>
      <c r="BO33" s="172" t="b">
        <v>0</v>
      </c>
      <c r="BP33" s="172">
        <v>43795891.9375</v>
      </c>
      <c r="BQ33" s="174">
        <v>0</v>
      </c>
      <c r="BR33" s="173">
        <v>0</v>
      </c>
      <c r="BS33" s="179">
        <v>64</v>
      </c>
      <c r="BT33" s="173">
        <v>-877513.3125</v>
      </c>
      <c r="BU33" s="237">
        <v>0</v>
      </c>
      <c r="BV33" s="173">
        <v>41</v>
      </c>
      <c r="BW33" s="180">
        <v>18</v>
      </c>
      <c r="BX33" s="180">
        <v>0</v>
      </c>
      <c r="BY33" s="172">
        <v>0</v>
      </c>
      <c r="BZ33" s="172">
        <v>0</v>
      </c>
      <c r="CA33" s="172">
        <v>0</v>
      </c>
      <c r="CB33" s="172">
        <v>67648299.25</v>
      </c>
      <c r="CC33" s="172">
        <v>0</v>
      </c>
      <c r="CD33" s="172">
        <v>0</v>
      </c>
      <c r="CE33" s="172">
        <v>0</v>
      </c>
      <c r="CF33" s="172">
        <v>0</v>
      </c>
      <c r="CG33" s="172">
        <v>-55283338.6875</v>
      </c>
      <c r="CH33" s="172">
        <v>0</v>
      </c>
      <c r="CI33" s="172">
        <v>43795891.9375</v>
      </c>
      <c r="CJ33" s="172">
        <v>-11487446.75</v>
      </c>
      <c r="CK33" s="173">
        <v>0</v>
      </c>
      <c r="CL33" s="173">
        <v>0</v>
      </c>
    </row>
    <row r="34" spans="1:90" s="195" customFormat="1" ht="20.100000000000001" customHeight="1" outlineLevel="2" x14ac:dyDescent="0.25">
      <c r="A34" s="182" t="s">
        <v>371</v>
      </c>
      <c r="B34" s="182"/>
      <c r="C34" s="182"/>
      <c r="D34" s="182"/>
      <c r="E34" s="182"/>
      <c r="F34" s="182"/>
      <c r="G34" s="182"/>
      <c r="H34" s="182"/>
      <c r="I34" s="183"/>
      <c r="J34" s="185"/>
      <c r="K34" s="185"/>
      <c r="L34" s="187"/>
      <c r="M34" s="187"/>
      <c r="N34" s="187"/>
      <c r="O34" s="186"/>
      <c r="P34" s="188"/>
      <c r="Q34" s="188"/>
      <c r="R34" s="189">
        <v>0</v>
      </c>
      <c r="S34" s="189">
        <v>0</v>
      </c>
      <c r="T34" s="189">
        <v>0</v>
      </c>
      <c r="U34" s="254">
        <v>22974894</v>
      </c>
      <c r="V34" s="186"/>
      <c r="W34" s="186">
        <v>0</v>
      </c>
      <c r="X34" s="186">
        <v>0</v>
      </c>
      <c r="Y34" s="186">
        <v>0</v>
      </c>
      <c r="Z34" s="186">
        <v>0</v>
      </c>
      <c r="AA34" s="186">
        <v>0</v>
      </c>
      <c r="AB34" s="186">
        <v>0</v>
      </c>
      <c r="AC34" s="254">
        <v>23852407.3125</v>
      </c>
      <c r="AD34" s="186">
        <v>-877513.3125</v>
      </c>
      <c r="AE34" s="186">
        <v>0</v>
      </c>
      <c r="AF34" s="186">
        <v>877513.3125</v>
      </c>
      <c r="AG34" s="186">
        <v>0</v>
      </c>
      <c r="AH34" s="255">
        <v>-56160852</v>
      </c>
      <c r="AI34" s="186">
        <v>0</v>
      </c>
      <c r="AJ34" s="186">
        <v>44673405.25</v>
      </c>
      <c r="AK34" s="256">
        <v>-11487446.75</v>
      </c>
      <c r="AL34" s="190"/>
      <c r="AM34" s="186">
        <v>79135746</v>
      </c>
      <c r="AN34" s="187"/>
      <c r="AO34" s="190"/>
      <c r="AP34" s="186">
        <v>79135746</v>
      </c>
      <c r="AQ34" s="191"/>
      <c r="AR34" s="186"/>
      <c r="AS34" s="186"/>
      <c r="AT34" s="186">
        <v>-25687207.875</v>
      </c>
      <c r="AU34" s="186">
        <v>0</v>
      </c>
      <c r="AV34" s="186">
        <v>44673405.25</v>
      </c>
      <c r="AW34" s="186">
        <v>18986197.375</v>
      </c>
      <c r="AX34" s="186">
        <v>-44673405.25</v>
      </c>
      <c r="AY34" s="186">
        <v>0</v>
      </c>
      <c r="AZ34" s="186">
        <v>44673405.25</v>
      </c>
      <c r="BA34" s="186">
        <v>0</v>
      </c>
      <c r="BB34" s="186"/>
      <c r="BC34" s="186"/>
      <c r="BD34" s="186"/>
      <c r="BE34" s="186"/>
      <c r="BF34" s="186"/>
      <c r="BG34" s="186"/>
      <c r="BH34" s="186"/>
      <c r="BI34" s="186"/>
      <c r="BJ34" s="186"/>
      <c r="BK34" s="186"/>
      <c r="BL34" s="186"/>
      <c r="BM34" s="186"/>
      <c r="BN34" s="186"/>
      <c r="BO34" s="186"/>
      <c r="BP34" s="186"/>
      <c r="BQ34" s="188"/>
      <c r="BR34" s="187"/>
      <c r="BS34" s="193"/>
      <c r="BT34" s="187"/>
      <c r="BU34" s="230"/>
      <c r="BV34" s="187"/>
      <c r="BW34" s="194"/>
      <c r="BX34" s="194"/>
      <c r="BY34" s="186"/>
      <c r="BZ34" s="186"/>
      <c r="CA34" s="186">
        <v>0</v>
      </c>
      <c r="CB34" s="186"/>
      <c r="CC34" s="186"/>
      <c r="CD34" s="186"/>
      <c r="CE34" s="186"/>
      <c r="CF34" s="186"/>
      <c r="CG34" s="186"/>
      <c r="CH34" s="186"/>
      <c r="CI34" s="186"/>
      <c r="CJ34" s="186"/>
      <c r="CK34" s="187"/>
      <c r="CL34" s="187"/>
    </row>
    <row r="35" spans="1:90" s="206" customFormat="1" ht="30" customHeight="1" outlineLevel="1" x14ac:dyDescent="0.25">
      <c r="A35" s="182"/>
      <c r="B35" s="182" t="s">
        <v>402</v>
      </c>
      <c r="C35" s="182"/>
      <c r="D35" s="182"/>
      <c r="E35" s="182"/>
      <c r="F35" s="182"/>
      <c r="G35" s="182"/>
      <c r="H35" s="182"/>
      <c r="I35" s="183"/>
      <c r="J35" s="196"/>
      <c r="K35" s="196"/>
      <c r="L35" s="198"/>
      <c r="M35" s="198"/>
      <c r="N35" s="198"/>
      <c r="O35" s="197"/>
      <c r="P35" s="199"/>
      <c r="Q35" s="199"/>
      <c r="R35" s="200">
        <v>0</v>
      </c>
      <c r="S35" s="200">
        <v>0</v>
      </c>
      <c r="T35" s="200">
        <v>0</v>
      </c>
      <c r="U35" s="257">
        <v>22974894</v>
      </c>
      <c r="V35" s="197"/>
      <c r="W35" s="197">
        <v>0</v>
      </c>
      <c r="X35" s="197">
        <v>0</v>
      </c>
      <c r="Y35" s="197">
        <v>0</v>
      </c>
      <c r="Z35" s="197">
        <v>0</v>
      </c>
      <c r="AA35" s="197">
        <v>0</v>
      </c>
      <c r="AB35" s="197">
        <v>0</v>
      </c>
      <c r="AC35" s="257">
        <v>23852407.3125</v>
      </c>
      <c r="AD35" s="197">
        <v>-877513.3125</v>
      </c>
      <c r="AE35" s="197">
        <v>0</v>
      </c>
      <c r="AF35" s="197">
        <v>877513.3125</v>
      </c>
      <c r="AG35" s="197">
        <v>0</v>
      </c>
      <c r="AH35" s="258">
        <v>-56160852</v>
      </c>
      <c r="AI35" s="197">
        <v>0</v>
      </c>
      <c r="AJ35" s="197">
        <v>44673405.25</v>
      </c>
      <c r="AK35" s="259">
        <v>-11487446.75</v>
      </c>
      <c r="AL35" s="201"/>
      <c r="AM35" s="197">
        <v>79135746</v>
      </c>
      <c r="AN35" s="198"/>
      <c r="AO35" s="201"/>
      <c r="AP35" s="197">
        <v>79135746</v>
      </c>
      <c r="AQ35" s="202"/>
      <c r="AR35" s="197"/>
      <c r="AS35" s="197"/>
      <c r="AT35" s="197">
        <v>-25687207.875</v>
      </c>
      <c r="AU35" s="197">
        <v>0</v>
      </c>
      <c r="AV35" s="197">
        <v>44673405.25</v>
      </c>
      <c r="AW35" s="197">
        <v>18986197.375</v>
      </c>
      <c r="AX35" s="197">
        <v>-44673405.25</v>
      </c>
      <c r="AY35" s="197">
        <v>0</v>
      </c>
      <c r="AZ35" s="197">
        <v>44673405.25</v>
      </c>
      <c r="BA35" s="197">
        <v>0</v>
      </c>
      <c r="BB35" s="197"/>
      <c r="BC35" s="197"/>
      <c r="BD35" s="197"/>
      <c r="BE35" s="197"/>
      <c r="BF35" s="197"/>
      <c r="BG35" s="197"/>
      <c r="BH35" s="197"/>
      <c r="BI35" s="197"/>
      <c r="BJ35" s="197"/>
      <c r="BK35" s="197"/>
      <c r="BL35" s="197"/>
      <c r="BM35" s="197"/>
      <c r="BN35" s="197"/>
      <c r="BO35" s="197"/>
      <c r="BP35" s="197"/>
      <c r="BQ35" s="199"/>
      <c r="BR35" s="198"/>
      <c r="BS35" s="204"/>
      <c r="BT35" s="198"/>
      <c r="BU35" s="231"/>
      <c r="BV35" s="198"/>
      <c r="BW35" s="205"/>
      <c r="BX35" s="205"/>
      <c r="BY35" s="197"/>
      <c r="BZ35" s="197"/>
      <c r="CA35" s="197">
        <v>0</v>
      </c>
      <c r="CB35" s="197"/>
      <c r="CC35" s="197"/>
      <c r="CD35" s="197"/>
      <c r="CE35" s="197"/>
      <c r="CF35" s="197"/>
      <c r="CG35" s="197"/>
      <c r="CH35" s="197"/>
      <c r="CI35" s="197"/>
      <c r="CJ35" s="197"/>
      <c r="CK35" s="198"/>
      <c r="CL35" s="198"/>
    </row>
    <row r="36" spans="1:90" outlineLevel="3" x14ac:dyDescent="0.25">
      <c r="A36" s="143" t="s">
        <v>403</v>
      </c>
      <c r="B36" s="143" t="s">
        <v>404</v>
      </c>
      <c r="C36" s="143" t="s">
        <v>339</v>
      </c>
      <c r="D36" s="143" t="s">
        <v>340</v>
      </c>
      <c r="E36" s="143" t="s">
        <v>405</v>
      </c>
      <c r="F36" s="143" t="s">
        <v>349</v>
      </c>
      <c r="G36" s="207" t="s">
        <v>350</v>
      </c>
      <c r="H36" s="207" t="s">
        <v>351</v>
      </c>
      <c r="I36" s="169" t="s">
        <v>343</v>
      </c>
      <c r="J36" s="171">
        <v>0</v>
      </c>
      <c r="K36" s="171">
        <v>0</v>
      </c>
      <c r="L36" s="173">
        <v>0</v>
      </c>
      <c r="M36" s="173">
        <v>0</v>
      </c>
      <c r="N36" s="173">
        <v>1</v>
      </c>
      <c r="O36" s="172">
        <v>1.3739967897271268</v>
      </c>
      <c r="P36" s="174">
        <v>1.37311517484761</v>
      </c>
      <c r="Q36" s="174">
        <v>8.8161487951676776E-4</v>
      </c>
      <c r="R36" s="175">
        <v>0</v>
      </c>
      <c r="S36" s="175">
        <v>0</v>
      </c>
      <c r="T36" s="175">
        <v>0</v>
      </c>
      <c r="U36" s="251">
        <v>0</v>
      </c>
      <c r="V36" s="172" t="s">
        <v>345</v>
      </c>
      <c r="W36" s="172">
        <v>0</v>
      </c>
      <c r="X36" s="172">
        <v>0</v>
      </c>
      <c r="Y36" s="172">
        <v>0</v>
      </c>
      <c r="Z36" s="172">
        <v>0</v>
      </c>
      <c r="AA36" s="172">
        <v>0</v>
      </c>
      <c r="AB36" s="172">
        <v>0</v>
      </c>
      <c r="AC36" s="251">
        <v>0</v>
      </c>
      <c r="AD36" s="172">
        <v>0</v>
      </c>
      <c r="AE36" s="172">
        <v>0</v>
      </c>
      <c r="AF36" s="172">
        <v>0</v>
      </c>
      <c r="AG36" s="172">
        <v>0</v>
      </c>
      <c r="AH36" s="252">
        <v>0</v>
      </c>
      <c r="AI36" s="172">
        <v>0</v>
      </c>
      <c r="AJ36" s="172">
        <v>0</v>
      </c>
      <c r="AK36" s="253">
        <v>0</v>
      </c>
      <c r="AL36" s="176">
        <v>0</v>
      </c>
      <c r="AM36" s="172">
        <v>0</v>
      </c>
      <c r="AN36" s="176">
        <v>0</v>
      </c>
      <c r="AO36" s="176">
        <v>0</v>
      </c>
      <c r="AP36" s="172">
        <v>0</v>
      </c>
      <c r="AQ36" s="177">
        <v>1</v>
      </c>
      <c r="AR36" s="172">
        <v>0</v>
      </c>
      <c r="AS36" s="172">
        <v>1.3739967897271268</v>
      </c>
      <c r="AT36" s="172">
        <v>0</v>
      </c>
      <c r="AU36" s="172">
        <v>0</v>
      </c>
      <c r="AV36" s="172">
        <v>0</v>
      </c>
      <c r="AW36" s="172">
        <v>0</v>
      </c>
      <c r="AX36" s="172">
        <v>0</v>
      </c>
      <c r="AY36" s="172">
        <v>0</v>
      </c>
      <c r="AZ36" s="172">
        <v>0</v>
      </c>
      <c r="BA36" s="172">
        <v>0</v>
      </c>
      <c r="BB36" s="172">
        <v>1.3739967897271268</v>
      </c>
      <c r="BC36" s="172">
        <v>1.37311517484761</v>
      </c>
      <c r="BD36" s="172">
        <v>0</v>
      </c>
      <c r="BE36" s="172">
        <v>0</v>
      </c>
      <c r="BF36" s="172">
        <v>0</v>
      </c>
      <c r="BG36" s="172">
        <v>0</v>
      </c>
      <c r="BH36" s="172">
        <v>0</v>
      </c>
      <c r="BI36" s="172">
        <v>0</v>
      </c>
      <c r="BJ36" s="172">
        <v>0</v>
      </c>
      <c r="BK36" s="172">
        <v>0</v>
      </c>
      <c r="BL36" s="172">
        <v>0</v>
      </c>
      <c r="BM36" s="172" t="s">
        <v>353</v>
      </c>
      <c r="BN36" s="172">
        <v>0</v>
      </c>
      <c r="BO36" s="172" t="b">
        <v>0</v>
      </c>
      <c r="BP36" s="172">
        <v>0</v>
      </c>
      <c r="BQ36" s="173">
        <v>0</v>
      </c>
      <c r="BR36" s="173">
        <v>0</v>
      </c>
      <c r="BS36" s="179">
        <v>39</v>
      </c>
      <c r="BT36" s="173">
        <v>0</v>
      </c>
      <c r="BU36" s="237">
        <v>0</v>
      </c>
      <c r="BV36" s="173">
        <v>342</v>
      </c>
      <c r="BW36" s="180">
        <v>1.3739967897271268</v>
      </c>
      <c r="BX36" s="180">
        <v>0</v>
      </c>
      <c r="BY36" s="172">
        <v>0</v>
      </c>
      <c r="BZ36" s="172">
        <v>0</v>
      </c>
      <c r="CA36" s="172">
        <v>0</v>
      </c>
      <c r="CB36" s="172">
        <v>0</v>
      </c>
      <c r="CC36" s="172">
        <v>0</v>
      </c>
      <c r="CD36" s="172">
        <v>0</v>
      </c>
      <c r="CE36" s="172">
        <v>0</v>
      </c>
      <c r="CF36" s="172">
        <v>0</v>
      </c>
      <c r="CG36" s="172">
        <v>0</v>
      </c>
      <c r="CH36" s="172">
        <v>0</v>
      </c>
      <c r="CI36" s="172">
        <v>0</v>
      </c>
      <c r="CJ36" s="172">
        <v>0</v>
      </c>
      <c r="CK36" s="173">
        <v>0</v>
      </c>
      <c r="CL36" s="173">
        <v>0</v>
      </c>
    </row>
    <row r="37" spans="1:90" outlineLevel="3" x14ac:dyDescent="0.25">
      <c r="A37" s="143" t="s">
        <v>403</v>
      </c>
      <c r="B37" s="143" t="s">
        <v>404</v>
      </c>
      <c r="C37" s="143" t="s">
        <v>339</v>
      </c>
      <c r="D37" s="143" t="s">
        <v>340</v>
      </c>
      <c r="E37" s="143" t="s">
        <v>503</v>
      </c>
      <c r="F37" s="143" t="s">
        <v>492</v>
      </c>
      <c r="G37" s="207" t="s">
        <v>350</v>
      </c>
      <c r="H37" s="207" t="s">
        <v>351</v>
      </c>
      <c r="I37" s="169" t="s">
        <v>343</v>
      </c>
      <c r="J37" s="171">
        <v>0</v>
      </c>
      <c r="K37" s="171">
        <v>0</v>
      </c>
      <c r="L37" s="173">
        <v>0</v>
      </c>
      <c r="M37" s="173">
        <v>0</v>
      </c>
      <c r="N37" s="173">
        <v>1</v>
      </c>
      <c r="O37" s="172">
        <v>1.9069020866773676</v>
      </c>
      <c r="P37" s="174">
        <v>1.9056785370548606</v>
      </c>
      <c r="Q37" s="174">
        <v>1.2235496225070364E-3</v>
      </c>
      <c r="R37" s="175">
        <v>0</v>
      </c>
      <c r="S37" s="175">
        <v>0</v>
      </c>
      <c r="T37" s="175">
        <v>0</v>
      </c>
      <c r="U37" s="251">
        <v>0</v>
      </c>
      <c r="V37" s="172" t="s">
        <v>345</v>
      </c>
      <c r="W37" s="172">
        <v>0</v>
      </c>
      <c r="X37" s="172">
        <v>0</v>
      </c>
      <c r="Y37" s="172">
        <v>0</v>
      </c>
      <c r="Z37" s="172">
        <v>0</v>
      </c>
      <c r="AA37" s="172">
        <v>0</v>
      </c>
      <c r="AB37" s="172">
        <v>0</v>
      </c>
      <c r="AC37" s="251">
        <v>0</v>
      </c>
      <c r="AD37" s="172">
        <v>0</v>
      </c>
      <c r="AE37" s="172">
        <v>0</v>
      </c>
      <c r="AF37" s="172">
        <v>0</v>
      </c>
      <c r="AG37" s="172">
        <v>0</v>
      </c>
      <c r="AH37" s="252">
        <v>187632.21639079531</v>
      </c>
      <c r="AI37" s="172">
        <v>0</v>
      </c>
      <c r="AJ37" s="172">
        <v>-112400.30984777</v>
      </c>
      <c r="AK37" s="253">
        <v>75231.90654302531</v>
      </c>
      <c r="AL37" s="176">
        <v>0</v>
      </c>
      <c r="AM37" s="172">
        <v>669867.78360920469</v>
      </c>
      <c r="AN37" s="176">
        <v>0</v>
      </c>
      <c r="AO37" s="176">
        <v>0</v>
      </c>
      <c r="AP37" s="172">
        <v>669867.78360920469</v>
      </c>
      <c r="AQ37" s="177">
        <v>1</v>
      </c>
      <c r="AR37" s="172">
        <v>0</v>
      </c>
      <c r="AS37" s="172">
        <v>1.9069020866773676</v>
      </c>
      <c r="AT37" s="172">
        <v>-20245.275236002053</v>
      </c>
      <c r="AU37" s="172">
        <v>0</v>
      </c>
      <c r="AV37" s="172">
        <v>-112400.30984777</v>
      </c>
      <c r="AW37" s="172">
        <v>-132645.58508377205</v>
      </c>
      <c r="AX37" s="172">
        <v>112400.30984777038</v>
      </c>
      <c r="AY37" s="172">
        <v>0</v>
      </c>
      <c r="AZ37" s="172">
        <v>-112400.30984777</v>
      </c>
      <c r="BA37" s="172">
        <v>3.7834979593753815E-10</v>
      </c>
      <c r="BB37" s="172">
        <v>1.9069020866773676</v>
      </c>
      <c r="BC37" s="172">
        <v>1.9056785370548606</v>
      </c>
      <c r="BD37" s="172">
        <v>-20245.275236002053</v>
      </c>
      <c r="BE37" s="172">
        <v>0</v>
      </c>
      <c r="BF37" s="172">
        <v>-112400.30984777</v>
      </c>
      <c r="BG37" s="172">
        <v>-132645.58508377205</v>
      </c>
      <c r="BH37" s="172">
        <v>112400.30984777038</v>
      </c>
      <c r="BI37" s="172">
        <v>0</v>
      </c>
      <c r="BJ37" s="172">
        <v>-112400.30984777</v>
      </c>
      <c r="BK37" s="172">
        <v>3.7834979593753815E-10</v>
      </c>
      <c r="BL37" s="172">
        <v>669867.78360920469</v>
      </c>
      <c r="BM37" s="172" t="s">
        <v>353</v>
      </c>
      <c r="BN37" s="172">
        <v>0</v>
      </c>
      <c r="BO37" s="172" t="b">
        <v>0</v>
      </c>
      <c r="BP37" s="172">
        <v>-112400.30984777</v>
      </c>
      <c r="BQ37" s="173">
        <v>0</v>
      </c>
      <c r="BR37" s="173">
        <v>0</v>
      </c>
      <c r="BS37" s="179">
        <v>39</v>
      </c>
      <c r="BT37" s="173">
        <v>0</v>
      </c>
      <c r="BU37" s="237">
        <v>0</v>
      </c>
      <c r="BV37" s="173">
        <v>344</v>
      </c>
      <c r="BW37" s="180">
        <v>1.9069020866773676</v>
      </c>
      <c r="BX37" s="180">
        <v>0</v>
      </c>
      <c r="BY37" s="172">
        <v>0</v>
      </c>
      <c r="BZ37" s="172">
        <v>-857500</v>
      </c>
      <c r="CA37" s="172">
        <v>-857500</v>
      </c>
      <c r="CB37" s="172">
        <v>-112400.30984777038</v>
      </c>
      <c r="CC37" s="172">
        <v>0</v>
      </c>
      <c r="CD37" s="172">
        <v>0</v>
      </c>
      <c r="CE37" s="172">
        <v>0</v>
      </c>
      <c r="CF37" s="172">
        <v>0</v>
      </c>
      <c r="CG37" s="172">
        <v>187632.21639079531</v>
      </c>
      <c r="CH37" s="172">
        <v>0</v>
      </c>
      <c r="CI37" s="172">
        <v>-112400.30984777</v>
      </c>
      <c r="CJ37" s="172">
        <v>75231.90654302531</v>
      </c>
      <c r="CK37" s="173">
        <v>0</v>
      </c>
      <c r="CL37" s="173">
        <v>0</v>
      </c>
    </row>
    <row r="38" spans="1:90" s="195" customFormat="1" ht="20.100000000000001" customHeight="1" outlineLevel="2" x14ac:dyDescent="0.25">
      <c r="A38" s="182" t="s">
        <v>406</v>
      </c>
      <c r="B38" s="182"/>
      <c r="C38" s="182"/>
      <c r="D38" s="182"/>
      <c r="E38" s="182"/>
      <c r="F38" s="182"/>
      <c r="G38" s="208"/>
      <c r="H38" s="208"/>
      <c r="I38" s="183"/>
      <c r="J38" s="185"/>
      <c r="K38" s="185"/>
      <c r="L38" s="187"/>
      <c r="M38" s="187"/>
      <c r="N38" s="187"/>
      <c r="O38" s="186"/>
      <c r="P38" s="188"/>
      <c r="Q38" s="188"/>
      <c r="R38" s="189">
        <v>0</v>
      </c>
      <c r="S38" s="189">
        <v>0</v>
      </c>
      <c r="T38" s="189">
        <v>0</v>
      </c>
      <c r="U38" s="254">
        <v>0</v>
      </c>
      <c r="V38" s="186"/>
      <c r="W38" s="186">
        <v>0</v>
      </c>
      <c r="X38" s="186">
        <v>0</v>
      </c>
      <c r="Y38" s="186">
        <v>0</v>
      </c>
      <c r="Z38" s="186">
        <v>0</v>
      </c>
      <c r="AA38" s="186">
        <v>0</v>
      </c>
      <c r="AB38" s="186">
        <v>0</v>
      </c>
      <c r="AC38" s="254">
        <v>0</v>
      </c>
      <c r="AD38" s="186">
        <v>0</v>
      </c>
      <c r="AE38" s="186">
        <v>0</v>
      </c>
      <c r="AF38" s="186">
        <v>0</v>
      </c>
      <c r="AG38" s="186">
        <v>0</v>
      </c>
      <c r="AH38" s="255">
        <v>187632.21639079531</v>
      </c>
      <c r="AI38" s="186">
        <v>0</v>
      </c>
      <c r="AJ38" s="186">
        <v>-112400.30984777</v>
      </c>
      <c r="AK38" s="256">
        <v>75231.90654302531</v>
      </c>
      <c r="AL38" s="190"/>
      <c r="AM38" s="186">
        <v>669867.78360920469</v>
      </c>
      <c r="AN38" s="190"/>
      <c r="AO38" s="190"/>
      <c r="AP38" s="186">
        <v>669867.78360920469</v>
      </c>
      <c r="AQ38" s="191"/>
      <c r="AR38" s="186"/>
      <c r="AS38" s="186"/>
      <c r="AT38" s="186">
        <v>-20245.275236002053</v>
      </c>
      <c r="AU38" s="186">
        <v>0</v>
      </c>
      <c r="AV38" s="186">
        <v>-112400.30984777</v>
      </c>
      <c r="AW38" s="186">
        <v>-132645.58508377205</v>
      </c>
      <c r="AX38" s="186">
        <v>112400.30984777038</v>
      </c>
      <c r="AY38" s="186">
        <v>0</v>
      </c>
      <c r="AZ38" s="186">
        <v>-112400.30984777</v>
      </c>
      <c r="BA38" s="186">
        <v>3.7834979593753815E-10</v>
      </c>
      <c r="BB38" s="186"/>
      <c r="BC38" s="186"/>
      <c r="BD38" s="186"/>
      <c r="BE38" s="186"/>
      <c r="BF38" s="186"/>
      <c r="BG38" s="186"/>
      <c r="BH38" s="186"/>
      <c r="BI38" s="186"/>
      <c r="BJ38" s="186"/>
      <c r="BK38" s="186"/>
      <c r="BL38" s="186"/>
      <c r="BM38" s="186"/>
      <c r="BN38" s="186"/>
      <c r="BO38" s="186"/>
      <c r="BP38" s="186"/>
      <c r="BQ38" s="187"/>
      <c r="BR38" s="187"/>
      <c r="BS38" s="193"/>
      <c r="BT38" s="187"/>
      <c r="BU38" s="230"/>
      <c r="BV38" s="187"/>
      <c r="BW38" s="194"/>
      <c r="BX38" s="194"/>
      <c r="BY38" s="186"/>
      <c r="BZ38" s="186"/>
      <c r="CA38" s="186">
        <v>-857500</v>
      </c>
      <c r="CB38" s="186"/>
      <c r="CC38" s="186"/>
      <c r="CD38" s="186"/>
      <c r="CE38" s="186"/>
      <c r="CF38" s="186"/>
      <c r="CG38" s="186"/>
      <c r="CH38" s="186"/>
      <c r="CI38" s="186"/>
      <c r="CJ38" s="186"/>
      <c r="CK38" s="187"/>
      <c r="CL38" s="187"/>
    </row>
    <row r="39" spans="1:90" outlineLevel="3" x14ac:dyDescent="0.25">
      <c r="A39" s="143" t="s">
        <v>407</v>
      </c>
      <c r="B39" s="143" t="s">
        <v>404</v>
      </c>
      <c r="C39" s="143" t="s">
        <v>408</v>
      </c>
      <c r="D39" s="143" t="s">
        <v>409</v>
      </c>
      <c r="E39" s="143" t="s">
        <v>410</v>
      </c>
      <c r="F39" s="143" t="s">
        <v>203</v>
      </c>
      <c r="G39" s="143" t="s">
        <v>379</v>
      </c>
      <c r="H39" s="143" t="s">
        <v>342</v>
      </c>
      <c r="I39" s="169" t="s">
        <v>362</v>
      </c>
      <c r="J39" s="171">
        <v>1</v>
      </c>
      <c r="K39" s="171">
        <v>1</v>
      </c>
      <c r="L39" s="173">
        <v>0</v>
      </c>
      <c r="M39" s="173">
        <v>0</v>
      </c>
      <c r="N39" s="173">
        <v>0</v>
      </c>
      <c r="O39" s="172">
        <v>2806168.63</v>
      </c>
      <c r="P39" s="173">
        <v>2806168.63</v>
      </c>
      <c r="Q39" s="173">
        <v>0</v>
      </c>
      <c r="R39" s="175">
        <v>0</v>
      </c>
      <c r="S39" s="175">
        <v>0</v>
      </c>
      <c r="T39" s="175">
        <v>0</v>
      </c>
      <c r="U39" s="251">
        <v>2806168.63</v>
      </c>
      <c r="V39" s="172" t="s">
        <v>345</v>
      </c>
      <c r="W39" s="172">
        <v>0</v>
      </c>
      <c r="X39" s="172">
        <v>0</v>
      </c>
      <c r="Y39" s="172">
        <v>0</v>
      </c>
      <c r="Z39" s="172">
        <v>0</v>
      </c>
      <c r="AA39" s="172">
        <v>0</v>
      </c>
      <c r="AB39" s="172">
        <v>0</v>
      </c>
      <c r="AC39" s="251">
        <v>2806168.63</v>
      </c>
      <c r="AD39" s="172">
        <v>0</v>
      </c>
      <c r="AE39" s="172">
        <v>0</v>
      </c>
      <c r="AF39" s="172">
        <v>0</v>
      </c>
      <c r="AG39" s="172">
        <v>0</v>
      </c>
      <c r="AH39" s="252">
        <v>0</v>
      </c>
      <c r="AI39" s="172">
        <v>0</v>
      </c>
      <c r="AJ39" s="172">
        <v>0</v>
      </c>
      <c r="AK39" s="253">
        <v>0</v>
      </c>
      <c r="AL39" s="176">
        <v>0</v>
      </c>
      <c r="AM39" s="172">
        <v>2769672</v>
      </c>
      <c r="AN39" s="173">
        <v>0</v>
      </c>
      <c r="AO39" s="176">
        <v>0</v>
      </c>
      <c r="AP39" s="172">
        <v>2769672</v>
      </c>
      <c r="AQ39" s="177">
        <v>1</v>
      </c>
      <c r="AR39" s="172">
        <v>0</v>
      </c>
      <c r="AS39" s="172">
        <v>2806168.63</v>
      </c>
      <c r="AT39" s="172">
        <v>0</v>
      </c>
      <c r="AU39" s="172">
        <v>0</v>
      </c>
      <c r="AV39" s="172">
        <v>0</v>
      </c>
      <c r="AW39" s="172">
        <v>0</v>
      </c>
      <c r="AX39" s="172">
        <v>0</v>
      </c>
      <c r="AY39" s="172">
        <v>0</v>
      </c>
      <c r="AZ39" s="172">
        <v>0</v>
      </c>
      <c r="BA39" s="172">
        <v>0</v>
      </c>
      <c r="BB39" s="172" t="s">
        <v>203</v>
      </c>
      <c r="BC39" s="172" t="s">
        <v>203</v>
      </c>
      <c r="BD39" s="172">
        <v>0</v>
      </c>
      <c r="BE39" s="172">
        <v>0</v>
      </c>
      <c r="BF39" s="172">
        <v>0</v>
      </c>
      <c r="BG39" s="172">
        <v>0</v>
      </c>
      <c r="BH39" s="172">
        <v>0</v>
      </c>
      <c r="BI39" s="172">
        <v>0</v>
      </c>
      <c r="BJ39" s="172">
        <v>0</v>
      </c>
      <c r="BK39" s="172">
        <v>0</v>
      </c>
      <c r="BL39" s="172">
        <v>2769672</v>
      </c>
      <c r="BM39" s="172" t="s">
        <v>346</v>
      </c>
      <c r="BN39" s="172">
        <v>0</v>
      </c>
      <c r="BO39" s="172" t="b">
        <v>0</v>
      </c>
      <c r="BP39" s="172">
        <v>0</v>
      </c>
      <c r="BQ39" s="174">
        <v>0</v>
      </c>
      <c r="BR39" s="173">
        <v>0</v>
      </c>
      <c r="BS39" s="179">
        <v>38</v>
      </c>
      <c r="BT39" s="173">
        <v>0</v>
      </c>
      <c r="BU39" s="237">
        <v>0</v>
      </c>
      <c r="BV39" s="173">
        <v>320</v>
      </c>
      <c r="BW39" s="180">
        <v>0</v>
      </c>
      <c r="BX39" s="180">
        <v>0</v>
      </c>
      <c r="BY39" s="172">
        <v>0</v>
      </c>
      <c r="BZ39" s="172">
        <v>36836.22</v>
      </c>
      <c r="CA39" s="172">
        <v>36496.629999999997</v>
      </c>
      <c r="CB39" s="172">
        <v>2806168.63</v>
      </c>
      <c r="CC39" s="172">
        <v>0</v>
      </c>
      <c r="CD39" s="172">
        <v>0</v>
      </c>
      <c r="CE39" s="172">
        <v>0</v>
      </c>
      <c r="CF39" s="172">
        <v>0</v>
      </c>
      <c r="CG39" s="172">
        <v>0</v>
      </c>
      <c r="CH39" s="172">
        <v>0</v>
      </c>
      <c r="CI39" s="172">
        <v>0</v>
      </c>
      <c r="CJ39" s="172">
        <v>0</v>
      </c>
      <c r="CK39" s="173">
        <v>0</v>
      </c>
      <c r="CL39" s="173">
        <v>0</v>
      </c>
    </row>
    <row r="40" spans="1:90" s="195" customFormat="1" ht="20.100000000000001" customHeight="1" outlineLevel="2" x14ac:dyDescent="0.25">
      <c r="A40" s="182" t="s">
        <v>411</v>
      </c>
      <c r="B40" s="182"/>
      <c r="C40" s="182"/>
      <c r="D40" s="182"/>
      <c r="E40" s="182"/>
      <c r="F40" s="182"/>
      <c r="G40" s="182"/>
      <c r="H40" s="182"/>
      <c r="I40" s="183"/>
      <c r="J40" s="185"/>
      <c r="K40" s="185"/>
      <c r="L40" s="187"/>
      <c r="M40" s="187"/>
      <c r="N40" s="187"/>
      <c r="O40" s="186"/>
      <c r="P40" s="187"/>
      <c r="Q40" s="187"/>
      <c r="R40" s="189">
        <v>0</v>
      </c>
      <c r="S40" s="189">
        <v>0</v>
      </c>
      <c r="T40" s="189">
        <v>0</v>
      </c>
      <c r="U40" s="254">
        <v>2806168.63</v>
      </c>
      <c r="V40" s="186"/>
      <c r="W40" s="186">
        <v>0</v>
      </c>
      <c r="X40" s="186">
        <v>0</v>
      </c>
      <c r="Y40" s="186">
        <v>0</v>
      </c>
      <c r="Z40" s="186">
        <v>0</v>
      </c>
      <c r="AA40" s="186">
        <v>0</v>
      </c>
      <c r="AB40" s="186">
        <v>0</v>
      </c>
      <c r="AC40" s="254">
        <v>2806168.63</v>
      </c>
      <c r="AD40" s="186">
        <v>0</v>
      </c>
      <c r="AE40" s="186">
        <v>0</v>
      </c>
      <c r="AF40" s="186">
        <v>0</v>
      </c>
      <c r="AG40" s="186">
        <v>0</v>
      </c>
      <c r="AH40" s="255">
        <v>0</v>
      </c>
      <c r="AI40" s="186">
        <v>0</v>
      </c>
      <c r="AJ40" s="186">
        <v>0</v>
      </c>
      <c r="AK40" s="256">
        <v>0</v>
      </c>
      <c r="AL40" s="190"/>
      <c r="AM40" s="186">
        <v>2769672</v>
      </c>
      <c r="AN40" s="187"/>
      <c r="AO40" s="190"/>
      <c r="AP40" s="186">
        <v>2769672</v>
      </c>
      <c r="AQ40" s="191"/>
      <c r="AR40" s="186"/>
      <c r="AS40" s="186"/>
      <c r="AT40" s="186">
        <v>0</v>
      </c>
      <c r="AU40" s="186">
        <v>0</v>
      </c>
      <c r="AV40" s="186">
        <v>0</v>
      </c>
      <c r="AW40" s="186">
        <v>0</v>
      </c>
      <c r="AX40" s="186">
        <v>0</v>
      </c>
      <c r="AY40" s="186">
        <v>0</v>
      </c>
      <c r="AZ40" s="186">
        <v>0</v>
      </c>
      <c r="BA40" s="186">
        <v>0</v>
      </c>
      <c r="BB40" s="186"/>
      <c r="BC40" s="186"/>
      <c r="BD40" s="186"/>
      <c r="BE40" s="186"/>
      <c r="BF40" s="186"/>
      <c r="BG40" s="186"/>
      <c r="BH40" s="186"/>
      <c r="BI40" s="186"/>
      <c r="BJ40" s="186"/>
      <c r="BK40" s="186"/>
      <c r="BL40" s="186"/>
      <c r="BM40" s="186"/>
      <c r="BN40" s="186"/>
      <c r="BO40" s="186"/>
      <c r="BP40" s="186"/>
      <c r="BQ40" s="188"/>
      <c r="BR40" s="187"/>
      <c r="BS40" s="193"/>
      <c r="BT40" s="187"/>
      <c r="BU40" s="230"/>
      <c r="BV40" s="187"/>
      <c r="BW40" s="194"/>
      <c r="BX40" s="194"/>
      <c r="BY40" s="186"/>
      <c r="BZ40" s="186"/>
      <c r="CA40" s="186">
        <v>36496.629999999997</v>
      </c>
      <c r="CB40" s="186"/>
      <c r="CC40" s="186"/>
      <c r="CD40" s="186"/>
      <c r="CE40" s="186"/>
      <c r="CF40" s="186"/>
      <c r="CG40" s="186"/>
      <c r="CH40" s="186"/>
      <c r="CI40" s="186"/>
      <c r="CJ40" s="186"/>
      <c r="CK40" s="187"/>
      <c r="CL40" s="187"/>
    </row>
    <row r="41" spans="1:90" outlineLevel="3" x14ac:dyDescent="0.25">
      <c r="A41" s="143" t="s">
        <v>412</v>
      </c>
      <c r="B41" s="143" t="s">
        <v>404</v>
      </c>
      <c r="C41" s="143" t="s">
        <v>413</v>
      </c>
      <c r="D41" s="143" t="s">
        <v>414</v>
      </c>
      <c r="E41" s="143" t="s">
        <v>557</v>
      </c>
      <c r="F41" s="143" t="s">
        <v>558</v>
      </c>
      <c r="G41" s="207" t="s">
        <v>379</v>
      </c>
      <c r="H41" s="207" t="s">
        <v>351</v>
      </c>
      <c r="I41" s="169" t="s">
        <v>343</v>
      </c>
      <c r="J41" s="171">
        <v>82856.029200000004</v>
      </c>
      <c r="K41" s="171">
        <v>82856.029200000004</v>
      </c>
      <c r="L41" s="173">
        <v>0</v>
      </c>
      <c r="M41" s="173">
        <v>0</v>
      </c>
      <c r="N41" s="173">
        <v>1</v>
      </c>
      <c r="O41" s="172">
        <v>7.0625</v>
      </c>
      <c r="P41" s="174">
        <v>7.0625</v>
      </c>
      <c r="Q41" s="174">
        <v>0</v>
      </c>
      <c r="R41" s="175">
        <v>0</v>
      </c>
      <c r="S41" s="175">
        <v>0</v>
      </c>
      <c r="T41" s="175">
        <v>0</v>
      </c>
      <c r="U41" s="251">
        <v>585170.70622500009</v>
      </c>
      <c r="V41" s="172" t="s">
        <v>345</v>
      </c>
      <c r="W41" s="172">
        <v>0</v>
      </c>
      <c r="X41" s="172">
        <v>0</v>
      </c>
      <c r="Y41" s="172">
        <v>0</v>
      </c>
      <c r="Z41" s="172">
        <v>0</v>
      </c>
      <c r="AA41" s="172">
        <v>0</v>
      </c>
      <c r="AB41" s="172">
        <v>0</v>
      </c>
      <c r="AC41" s="251">
        <v>585170.70622500009</v>
      </c>
      <c r="AD41" s="172">
        <v>0</v>
      </c>
      <c r="AE41" s="172">
        <v>0</v>
      </c>
      <c r="AF41" s="172">
        <v>0</v>
      </c>
      <c r="AG41" s="172">
        <v>0</v>
      </c>
      <c r="AH41" s="252">
        <v>342111.14979300014</v>
      </c>
      <c r="AI41" s="172">
        <v>0</v>
      </c>
      <c r="AJ41" s="172">
        <v>-187436.706225</v>
      </c>
      <c r="AK41" s="253">
        <v>154674.44356800013</v>
      </c>
      <c r="AL41" s="176">
        <v>0</v>
      </c>
      <c r="AM41" s="172">
        <v>243059.55643199998</v>
      </c>
      <c r="AN41" s="176">
        <v>0</v>
      </c>
      <c r="AO41" s="176">
        <v>0</v>
      </c>
      <c r="AP41" s="172">
        <v>243059.55643199998</v>
      </c>
      <c r="AQ41" s="177">
        <v>1</v>
      </c>
      <c r="AR41" s="172">
        <v>585170.70622500009</v>
      </c>
      <c r="AS41" s="172">
        <v>7.0625</v>
      </c>
      <c r="AT41" s="172">
        <v>5178.501825000043</v>
      </c>
      <c r="AU41" s="172">
        <v>0</v>
      </c>
      <c r="AV41" s="172">
        <v>-187436.706225</v>
      </c>
      <c r="AW41" s="172">
        <v>-182258.20439999996</v>
      </c>
      <c r="AX41" s="172">
        <v>187436.70622500012</v>
      </c>
      <c r="AY41" s="172">
        <v>0</v>
      </c>
      <c r="AZ41" s="172">
        <v>-187436.706225</v>
      </c>
      <c r="BA41" s="172">
        <v>0</v>
      </c>
      <c r="BB41" s="172">
        <v>7.0625</v>
      </c>
      <c r="BC41" s="172">
        <v>7.0625</v>
      </c>
      <c r="BD41" s="172">
        <v>5178.501825000043</v>
      </c>
      <c r="BE41" s="172">
        <v>0</v>
      </c>
      <c r="BF41" s="172">
        <v>-187436.706225</v>
      </c>
      <c r="BG41" s="172">
        <v>-182258.20439999996</v>
      </c>
      <c r="BH41" s="172">
        <v>187436.70622500012</v>
      </c>
      <c r="BI41" s="172">
        <v>0</v>
      </c>
      <c r="BJ41" s="172">
        <v>-187436.706225</v>
      </c>
      <c r="BK41" s="172">
        <v>0</v>
      </c>
      <c r="BL41" s="172">
        <v>243059.55643199998</v>
      </c>
      <c r="BM41" s="172" t="s">
        <v>353</v>
      </c>
      <c r="BN41" s="172">
        <v>0</v>
      </c>
      <c r="BO41" s="172" t="b">
        <v>0</v>
      </c>
      <c r="BP41" s="172">
        <v>-187436.706225</v>
      </c>
      <c r="BQ41" s="173">
        <v>0</v>
      </c>
      <c r="BR41" s="173">
        <v>0</v>
      </c>
      <c r="BS41" s="179">
        <v>40</v>
      </c>
      <c r="BT41" s="173">
        <v>0</v>
      </c>
      <c r="BU41" s="237">
        <v>82856.029200000004</v>
      </c>
      <c r="BV41" s="173">
        <v>347</v>
      </c>
      <c r="BW41" s="180">
        <v>7.0625</v>
      </c>
      <c r="BX41" s="180">
        <v>0</v>
      </c>
      <c r="BY41" s="172">
        <v>0</v>
      </c>
      <c r="BZ41" s="172">
        <v>0</v>
      </c>
      <c r="CA41" s="172">
        <v>0</v>
      </c>
      <c r="CB41" s="172">
        <v>397734</v>
      </c>
      <c r="CC41" s="172">
        <v>0</v>
      </c>
      <c r="CD41" s="172">
        <v>0</v>
      </c>
      <c r="CE41" s="172">
        <v>0</v>
      </c>
      <c r="CF41" s="172">
        <v>0</v>
      </c>
      <c r="CG41" s="172">
        <v>342111.14979300014</v>
      </c>
      <c r="CH41" s="172">
        <v>0</v>
      </c>
      <c r="CI41" s="172">
        <v>-187436.706225</v>
      </c>
      <c r="CJ41" s="172">
        <v>154674.44356800013</v>
      </c>
      <c r="CK41" s="173">
        <v>0</v>
      </c>
      <c r="CL41" s="173">
        <v>0</v>
      </c>
    </row>
    <row r="42" spans="1:90" outlineLevel="3" x14ac:dyDescent="0.25">
      <c r="A42" s="143" t="s">
        <v>412</v>
      </c>
      <c r="B42" s="143" t="s">
        <v>404</v>
      </c>
      <c r="C42" s="143" t="s">
        <v>408</v>
      </c>
      <c r="D42" s="143" t="s">
        <v>409</v>
      </c>
      <c r="E42" s="143" t="s">
        <v>415</v>
      </c>
      <c r="F42" s="143" t="s">
        <v>416</v>
      </c>
      <c r="G42" s="207" t="s">
        <v>379</v>
      </c>
      <c r="H42" s="207" t="s">
        <v>361</v>
      </c>
      <c r="I42" s="169" t="s">
        <v>343</v>
      </c>
      <c r="J42" s="171">
        <v>484154.28600000002</v>
      </c>
      <c r="K42" s="171">
        <v>484154.28600000002</v>
      </c>
      <c r="L42" s="173">
        <v>0</v>
      </c>
      <c r="M42" s="173">
        <v>0</v>
      </c>
      <c r="N42" s="173">
        <v>1</v>
      </c>
      <c r="O42" s="172">
        <v>8.625</v>
      </c>
      <c r="P42" s="174">
        <v>9</v>
      </c>
      <c r="Q42" s="174">
        <v>-0.375</v>
      </c>
      <c r="R42" s="175">
        <v>0</v>
      </c>
      <c r="S42" s="175">
        <v>0</v>
      </c>
      <c r="T42" s="175">
        <v>0</v>
      </c>
      <c r="U42" s="251">
        <v>4175830.7167500001</v>
      </c>
      <c r="V42" s="172" t="s">
        <v>345</v>
      </c>
      <c r="W42" s="172">
        <v>0</v>
      </c>
      <c r="X42" s="172">
        <v>0</v>
      </c>
      <c r="Y42" s="172">
        <v>0</v>
      </c>
      <c r="Z42" s="172">
        <v>0</v>
      </c>
      <c r="AA42" s="172">
        <v>0</v>
      </c>
      <c r="AB42" s="172">
        <v>0</v>
      </c>
      <c r="AC42" s="251">
        <v>4357388.574</v>
      </c>
      <c r="AD42" s="172">
        <v>-181557.85724999988</v>
      </c>
      <c r="AE42" s="172">
        <v>0</v>
      </c>
      <c r="AF42" s="172">
        <v>181557.85724999988</v>
      </c>
      <c r="AG42" s="172">
        <v>0</v>
      </c>
      <c r="AH42" s="252">
        <v>-544673.57174999965</v>
      </c>
      <c r="AI42" s="172">
        <v>0</v>
      </c>
      <c r="AJ42" s="172">
        <v>-484154.71674999979</v>
      </c>
      <c r="AK42" s="253">
        <v>-1028828.2884999994</v>
      </c>
      <c r="AL42" s="176">
        <v>0</v>
      </c>
      <c r="AM42" s="172">
        <v>4720504.2884999998</v>
      </c>
      <c r="AN42" s="176">
        <v>0</v>
      </c>
      <c r="AO42" s="176">
        <v>0</v>
      </c>
      <c r="AP42" s="172">
        <v>4720504.2884999998</v>
      </c>
      <c r="AQ42" s="177">
        <v>1</v>
      </c>
      <c r="AR42" s="172">
        <v>4175830.7167500001</v>
      </c>
      <c r="AS42" s="172">
        <v>8.625</v>
      </c>
      <c r="AT42" s="172">
        <v>423635.00025000004</v>
      </c>
      <c r="AU42" s="172">
        <v>0</v>
      </c>
      <c r="AV42" s="172">
        <v>-484154.71674999979</v>
      </c>
      <c r="AW42" s="172">
        <v>-60519.716499999748</v>
      </c>
      <c r="AX42" s="172">
        <v>484154.71675000014</v>
      </c>
      <c r="AY42" s="172">
        <v>0</v>
      </c>
      <c r="AZ42" s="172">
        <v>-484154.71674999979</v>
      </c>
      <c r="BA42" s="172">
        <v>0</v>
      </c>
      <c r="BB42" s="172">
        <v>8.625</v>
      </c>
      <c r="BC42" s="172">
        <v>9</v>
      </c>
      <c r="BD42" s="172">
        <v>605192.85749999993</v>
      </c>
      <c r="BE42" s="172">
        <v>0</v>
      </c>
      <c r="BF42" s="172">
        <v>-665712.57399999967</v>
      </c>
      <c r="BG42" s="172">
        <v>-60519.716499999748</v>
      </c>
      <c r="BH42" s="172">
        <v>665712.57400000002</v>
      </c>
      <c r="BI42" s="172">
        <v>0</v>
      </c>
      <c r="BJ42" s="172">
        <v>-665712.57399999967</v>
      </c>
      <c r="BK42" s="172">
        <v>0</v>
      </c>
      <c r="BL42" s="172">
        <v>4720504.2884999998</v>
      </c>
      <c r="BM42" s="172" t="s">
        <v>353</v>
      </c>
      <c r="BN42" s="172">
        <v>0</v>
      </c>
      <c r="BO42" s="172" t="b">
        <v>0</v>
      </c>
      <c r="BP42" s="172">
        <v>-665712.57399999967</v>
      </c>
      <c r="BQ42" s="173">
        <v>0</v>
      </c>
      <c r="BR42" s="173">
        <v>0</v>
      </c>
      <c r="BS42" s="179">
        <v>40</v>
      </c>
      <c r="BT42" s="173">
        <v>-181557.85724999988</v>
      </c>
      <c r="BU42" s="237">
        <v>484154.28600000002</v>
      </c>
      <c r="BV42" s="173">
        <v>354</v>
      </c>
      <c r="BW42" s="180">
        <v>8.625</v>
      </c>
      <c r="BX42" s="180">
        <v>0</v>
      </c>
      <c r="BY42" s="172">
        <v>0</v>
      </c>
      <c r="BZ42" s="172">
        <v>0</v>
      </c>
      <c r="CA42" s="172">
        <v>0</v>
      </c>
      <c r="CB42" s="172">
        <v>3691676</v>
      </c>
      <c r="CC42" s="172">
        <v>0</v>
      </c>
      <c r="CD42" s="172">
        <v>0</v>
      </c>
      <c r="CE42" s="172">
        <v>0</v>
      </c>
      <c r="CF42" s="172">
        <v>0</v>
      </c>
      <c r="CG42" s="172">
        <v>-363115.71449999977</v>
      </c>
      <c r="CH42" s="172">
        <v>0</v>
      </c>
      <c r="CI42" s="172">
        <v>-665712.57399999967</v>
      </c>
      <c r="CJ42" s="172">
        <v>-1028828.2884999994</v>
      </c>
      <c r="CK42" s="173">
        <v>0</v>
      </c>
      <c r="CL42" s="173">
        <v>0</v>
      </c>
    </row>
    <row r="43" spans="1:90" s="195" customFormat="1" ht="20.100000000000001" customHeight="1" outlineLevel="2" x14ac:dyDescent="0.25">
      <c r="A43" s="182" t="s">
        <v>417</v>
      </c>
      <c r="B43" s="182"/>
      <c r="C43" s="182"/>
      <c r="D43" s="182"/>
      <c r="E43" s="182"/>
      <c r="F43" s="182"/>
      <c r="G43" s="208"/>
      <c r="H43" s="208"/>
      <c r="I43" s="183"/>
      <c r="J43" s="185"/>
      <c r="K43" s="185"/>
      <c r="L43" s="187"/>
      <c r="M43" s="187"/>
      <c r="N43" s="187"/>
      <c r="O43" s="186"/>
      <c r="P43" s="188"/>
      <c r="Q43" s="188"/>
      <c r="R43" s="189">
        <v>0</v>
      </c>
      <c r="S43" s="189">
        <v>0</v>
      </c>
      <c r="T43" s="189">
        <v>0</v>
      </c>
      <c r="U43" s="254">
        <v>4761001.422975</v>
      </c>
      <c r="V43" s="186"/>
      <c r="W43" s="186">
        <v>0</v>
      </c>
      <c r="X43" s="186">
        <v>0</v>
      </c>
      <c r="Y43" s="186">
        <v>0</v>
      </c>
      <c r="Z43" s="186">
        <v>0</v>
      </c>
      <c r="AA43" s="186">
        <v>0</v>
      </c>
      <c r="AB43" s="186">
        <v>0</v>
      </c>
      <c r="AC43" s="254">
        <v>4942559.2802250003</v>
      </c>
      <c r="AD43" s="186">
        <v>-181557.85724999988</v>
      </c>
      <c r="AE43" s="186">
        <v>0</v>
      </c>
      <c r="AF43" s="186">
        <v>181557.85724999988</v>
      </c>
      <c r="AG43" s="186">
        <v>0</v>
      </c>
      <c r="AH43" s="255">
        <v>-202562.42195699952</v>
      </c>
      <c r="AI43" s="186">
        <v>0</v>
      </c>
      <c r="AJ43" s="186">
        <v>-671591.42297499976</v>
      </c>
      <c r="AK43" s="256">
        <v>-874153.84493199934</v>
      </c>
      <c r="AL43" s="190"/>
      <c r="AM43" s="186">
        <v>4963563.8449320002</v>
      </c>
      <c r="AN43" s="190"/>
      <c r="AO43" s="190"/>
      <c r="AP43" s="186">
        <v>4963563.8449320002</v>
      </c>
      <c r="AQ43" s="191"/>
      <c r="AR43" s="186"/>
      <c r="AS43" s="186"/>
      <c r="AT43" s="186">
        <v>428813.50207500008</v>
      </c>
      <c r="AU43" s="186">
        <v>0</v>
      </c>
      <c r="AV43" s="186">
        <v>-671591.42297499976</v>
      </c>
      <c r="AW43" s="186">
        <v>-242777.92089999971</v>
      </c>
      <c r="AX43" s="186">
        <v>671591.42297500023</v>
      </c>
      <c r="AY43" s="186">
        <v>0</v>
      </c>
      <c r="AZ43" s="186">
        <v>-671591.42297499976</v>
      </c>
      <c r="BA43" s="186">
        <v>0</v>
      </c>
      <c r="BB43" s="186"/>
      <c r="BC43" s="186"/>
      <c r="BD43" s="186"/>
      <c r="BE43" s="186"/>
      <c r="BF43" s="186"/>
      <c r="BG43" s="186"/>
      <c r="BH43" s="186"/>
      <c r="BI43" s="186"/>
      <c r="BJ43" s="186"/>
      <c r="BK43" s="186"/>
      <c r="BL43" s="186"/>
      <c r="BM43" s="186"/>
      <c r="BN43" s="186"/>
      <c r="BO43" s="186"/>
      <c r="BP43" s="186"/>
      <c r="BQ43" s="187"/>
      <c r="BR43" s="187"/>
      <c r="BS43" s="193"/>
      <c r="BT43" s="187"/>
      <c r="BU43" s="230"/>
      <c r="BV43" s="187"/>
      <c r="BW43" s="194"/>
      <c r="BX43" s="194"/>
      <c r="BY43" s="186"/>
      <c r="BZ43" s="186"/>
      <c r="CA43" s="186">
        <v>0</v>
      </c>
      <c r="CB43" s="186"/>
      <c r="CC43" s="186"/>
      <c r="CD43" s="186"/>
      <c r="CE43" s="186"/>
      <c r="CF43" s="186"/>
      <c r="CG43" s="186"/>
      <c r="CH43" s="186"/>
      <c r="CI43" s="186"/>
      <c r="CJ43" s="186"/>
      <c r="CK43" s="187"/>
      <c r="CL43" s="187"/>
    </row>
    <row r="44" spans="1:90" outlineLevel="3" x14ac:dyDescent="0.25">
      <c r="A44" s="143" t="s">
        <v>418</v>
      </c>
      <c r="B44" s="143" t="s">
        <v>404</v>
      </c>
      <c r="C44" s="143" t="s">
        <v>419</v>
      </c>
      <c r="D44" s="143" t="s">
        <v>420</v>
      </c>
      <c r="E44" s="143" t="s">
        <v>421</v>
      </c>
      <c r="F44" s="143" t="s">
        <v>203</v>
      </c>
      <c r="G44" s="143" t="s">
        <v>379</v>
      </c>
      <c r="H44" s="143" t="s">
        <v>342</v>
      </c>
      <c r="I44" s="169" t="s">
        <v>392</v>
      </c>
      <c r="J44" s="171">
        <v>1</v>
      </c>
      <c r="K44" s="171">
        <v>1</v>
      </c>
      <c r="L44" s="173">
        <v>0</v>
      </c>
      <c r="M44" s="173">
        <v>0</v>
      </c>
      <c r="N44" s="173">
        <v>0</v>
      </c>
      <c r="O44" s="172">
        <v>283416</v>
      </c>
      <c r="P44" s="173">
        <v>283416</v>
      </c>
      <c r="Q44" s="173">
        <v>0</v>
      </c>
      <c r="R44" s="175">
        <v>0</v>
      </c>
      <c r="S44" s="175">
        <v>0</v>
      </c>
      <c r="T44" s="175">
        <v>0</v>
      </c>
      <c r="U44" s="251">
        <v>283416</v>
      </c>
      <c r="V44" s="172" t="s">
        <v>345</v>
      </c>
      <c r="W44" s="172">
        <v>0</v>
      </c>
      <c r="X44" s="172">
        <v>0</v>
      </c>
      <c r="Y44" s="172">
        <v>0</v>
      </c>
      <c r="Z44" s="172">
        <v>0</v>
      </c>
      <c r="AA44" s="172">
        <v>0</v>
      </c>
      <c r="AB44" s="172">
        <v>0</v>
      </c>
      <c r="AC44" s="251">
        <v>283416</v>
      </c>
      <c r="AD44" s="172">
        <v>0</v>
      </c>
      <c r="AE44" s="172">
        <v>0</v>
      </c>
      <c r="AF44" s="172">
        <v>0</v>
      </c>
      <c r="AG44" s="172">
        <v>0</v>
      </c>
      <c r="AH44" s="252">
        <v>0</v>
      </c>
      <c r="AI44" s="172">
        <v>0</v>
      </c>
      <c r="AJ44" s="172">
        <v>0</v>
      </c>
      <c r="AK44" s="253">
        <v>0</v>
      </c>
      <c r="AL44" s="176">
        <v>0</v>
      </c>
      <c r="AM44" s="172">
        <v>283416</v>
      </c>
      <c r="AN44" s="173">
        <v>0</v>
      </c>
      <c r="AO44" s="176">
        <v>0</v>
      </c>
      <c r="AP44" s="172">
        <v>283416</v>
      </c>
      <c r="AQ44" s="177">
        <v>1</v>
      </c>
      <c r="AR44" s="172">
        <v>0</v>
      </c>
      <c r="AS44" s="172">
        <v>283416</v>
      </c>
      <c r="AT44" s="172">
        <v>0</v>
      </c>
      <c r="AU44" s="172">
        <v>0</v>
      </c>
      <c r="AV44" s="172">
        <v>0</v>
      </c>
      <c r="AW44" s="172">
        <v>0</v>
      </c>
      <c r="AX44" s="172">
        <v>0</v>
      </c>
      <c r="AY44" s="172">
        <v>0</v>
      </c>
      <c r="AZ44" s="172">
        <v>0</v>
      </c>
      <c r="BA44" s="172">
        <v>0</v>
      </c>
      <c r="BB44" s="172" t="s">
        <v>203</v>
      </c>
      <c r="BC44" s="172" t="s">
        <v>203</v>
      </c>
      <c r="BD44" s="172">
        <v>0</v>
      </c>
      <c r="BE44" s="172">
        <v>0</v>
      </c>
      <c r="BF44" s="172">
        <v>0</v>
      </c>
      <c r="BG44" s="172">
        <v>0</v>
      </c>
      <c r="BH44" s="172">
        <v>0</v>
      </c>
      <c r="BI44" s="172">
        <v>0</v>
      </c>
      <c r="BJ44" s="172">
        <v>0</v>
      </c>
      <c r="BK44" s="172">
        <v>0</v>
      </c>
      <c r="BL44" s="172">
        <v>283416</v>
      </c>
      <c r="BM44" s="172" t="s">
        <v>346</v>
      </c>
      <c r="BN44" s="172">
        <v>0</v>
      </c>
      <c r="BO44" s="172" t="b">
        <v>0</v>
      </c>
      <c r="BP44" s="172">
        <v>0</v>
      </c>
      <c r="BQ44" s="174">
        <v>0</v>
      </c>
      <c r="BR44" s="173">
        <v>0</v>
      </c>
      <c r="BS44" s="179">
        <v>37</v>
      </c>
      <c r="BT44" s="173">
        <v>0</v>
      </c>
      <c r="BU44" s="237">
        <v>0</v>
      </c>
      <c r="BV44" s="173">
        <v>324</v>
      </c>
      <c r="BW44" s="180">
        <v>0</v>
      </c>
      <c r="BX44" s="180">
        <v>0</v>
      </c>
      <c r="BY44" s="172">
        <v>0</v>
      </c>
      <c r="BZ44" s="172">
        <v>0</v>
      </c>
      <c r="CA44" s="172">
        <v>0</v>
      </c>
      <c r="CB44" s="172">
        <v>283416</v>
      </c>
      <c r="CC44" s="172">
        <v>0</v>
      </c>
      <c r="CD44" s="172">
        <v>0</v>
      </c>
      <c r="CE44" s="172">
        <v>0</v>
      </c>
      <c r="CF44" s="172">
        <v>0</v>
      </c>
      <c r="CG44" s="172">
        <v>0</v>
      </c>
      <c r="CH44" s="172">
        <v>0</v>
      </c>
      <c r="CI44" s="172">
        <v>0</v>
      </c>
      <c r="CJ44" s="172">
        <v>0</v>
      </c>
      <c r="CK44" s="173">
        <v>0</v>
      </c>
      <c r="CL44" s="173">
        <v>0</v>
      </c>
    </row>
    <row r="45" spans="1:90" s="195" customFormat="1" ht="20.100000000000001" customHeight="1" outlineLevel="2" x14ac:dyDescent="0.25">
      <c r="A45" s="182" t="s">
        <v>422</v>
      </c>
      <c r="B45" s="182"/>
      <c r="C45" s="182"/>
      <c r="D45" s="182"/>
      <c r="E45" s="182"/>
      <c r="F45" s="182"/>
      <c r="G45" s="182"/>
      <c r="H45" s="182"/>
      <c r="I45" s="183"/>
      <c r="J45" s="185"/>
      <c r="K45" s="185"/>
      <c r="L45" s="187"/>
      <c r="M45" s="187"/>
      <c r="N45" s="187"/>
      <c r="O45" s="186"/>
      <c r="P45" s="187"/>
      <c r="Q45" s="187"/>
      <c r="R45" s="189">
        <v>0</v>
      </c>
      <c r="S45" s="189">
        <v>0</v>
      </c>
      <c r="T45" s="189">
        <v>0</v>
      </c>
      <c r="U45" s="254">
        <v>283416</v>
      </c>
      <c r="V45" s="186"/>
      <c r="W45" s="186">
        <v>0</v>
      </c>
      <c r="X45" s="186">
        <v>0</v>
      </c>
      <c r="Y45" s="186">
        <v>0</v>
      </c>
      <c r="Z45" s="186">
        <v>0</v>
      </c>
      <c r="AA45" s="186">
        <v>0</v>
      </c>
      <c r="AB45" s="186">
        <v>0</v>
      </c>
      <c r="AC45" s="254">
        <v>283416</v>
      </c>
      <c r="AD45" s="186">
        <v>0</v>
      </c>
      <c r="AE45" s="186">
        <v>0</v>
      </c>
      <c r="AF45" s="186">
        <v>0</v>
      </c>
      <c r="AG45" s="186">
        <v>0</v>
      </c>
      <c r="AH45" s="255">
        <v>0</v>
      </c>
      <c r="AI45" s="186">
        <v>0</v>
      </c>
      <c r="AJ45" s="186">
        <v>0</v>
      </c>
      <c r="AK45" s="256">
        <v>0</v>
      </c>
      <c r="AL45" s="190"/>
      <c r="AM45" s="186">
        <v>283416</v>
      </c>
      <c r="AN45" s="187"/>
      <c r="AO45" s="190"/>
      <c r="AP45" s="186">
        <v>283416</v>
      </c>
      <c r="AQ45" s="191"/>
      <c r="AR45" s="186"/>
      <c r="AS45" s="186"/>
      <c r="AT45" s="186">
        <v>0</v>
      </c>
      <c r="AU45" s="186">
        <v>0</v>
      </c>
      <c r="AV45" s="186">
        <v>0</v>
      </c>
      <c r="AW45" s="186">
        <v>0</v>
      </c>
      <c r="AX45" s="186">
        <v>0</v>
      </c>
      <c r="AY45" s="186">
        <v>0</v>
      </c>
      <c r="AZ45" s="186">
        <v>0</v>
      </c>
      <c r="BA45" s="186">
        <v>0</v>
      </c>
      <c r="BB45" s="186"/>
      <c r="BC45" s="186"/>
      <c r="BD45" s="186"/>
      <c r="BE45" s="186"/>
      <c r="BF45" s="186"/>
      <c r="BG45" s="186"/>
      <c r="BH45" s="186"/>
      <c r="BI45" s="186"/>
      <c r="BJ45" s="186"/>
      <c r="BK45" s="186"/>
      <c r="BL45" s="186"/>
      <c r="BM45" s="186"/>
      <c r="BN45" s="186"/>
      <c r="BO45" s="186"/>
      <c r="BP45" s="186"/>
      <c r="BQ45" s="188"/>
      <c r="BR45" s="187"/>
      <c r="BS45" s="193"/>
      <c r="BT45" s="187"/>
      <c r="BU45" s="230"/>
      <c r="BV45" s="187"/>
      <c r="BW45" s="194"/>
      <c r="BX45" s="194"/>
      <c r="BY45" s="186"/>
      <c r="BZ45" s="186"/>
      <c r="CA45" s="186">
        <v>0</v>
      </c>
      <c r="CB45" s="186"/>
      <c r="CC45" s="186"/>
      <c r="CD45" s="186"/>
      <c r="CE45" s="186"/>
      <c r="CF45" s="186"/>
      <c r="CG45" s="186"/>
      <c r="CH45" s="186"/>
      <c r="CI45" s="186"/>
      <c r="CJ45" s="186"/>
      <c r="CK45" s="187"/>
      <c r="CL45" s="187"/>
    </row>
    <row r="46" spans="1:90" s="206" customFormat="1" ht="30" customHeight="1" outlineLevel="1" x14ac:dyDescent="0.25">
      <c r="A46" s="182"/>
      <c r="B46" s="182" t="s">
        <v>423</v>
      </c>
      <c r="C46" s="182"/>
      <c r="D46" s="182"/>
      <c r="E46" s="182"/>
      <c r="F46" s="182"/>
      <c r="G46" s="182"/>
      <c r="H46" s="182"/>
      <c r="I46" s="183"/>
      <c r="J46" s="196"/>
      <c r="K46" s="196"/>
      <c r="L46" s="198"/>
      <c r="M46" s="198"/>
      <c r="N46" s="198"/>
      <c r="O46" s="197"/>
      <c r="P46" s="198"/>
      <c r="Q46" s="198"/>
      <c r="R46" s="200">
        <v>0</v>
      </c>
      <c r="S46" s="200">
        <v>0</v>
      </c>
      <c r="T46" s="200">
        <v>0</v>
      </c>
      <c r="U46" s="257">
        <v>7850586.0529750008</v>
      </c>
      <c r="V46" s="197"/>
      <c r="W46" s="197">
        <v>0</v>
      </c>
      <c r="X46" s="197">
        <v>0</v>
      </c>
      <c r="Y46" s="197">
        <v>0</v>
      </c>
      <c r="Z46" s="197">
        <v>0</v>
      </c>
      <c r="AA46" s="197">
        <v>0</v>
      </c>
      <c r="AB46" s="197">
        <v>0</v>
      </c>
      <c r="AC46" s="257">
        <v>8032143.9102250002</v>
      </c>
      <c r="AD46" s="197">
        <v>-181557.85724999988</v>
      </c>
      <c r="AE46" s="197">
        <v>0</v>
      </c>
      <c r="AF46" s="197">
        <v>181557.85724999988</v>
      </c>
      <c r="AG46" s="197">
        <v>0</v>
      </c>
      <c r="AH46" s="258">
        <v>-14930.205566204153</v>
      </c>
      <c r="AI46" s="197">
        <v>0</v>
      </c>
      <c r="AJ46" s="197">
        <v>-783991.73282276979</v>
      </c>
      <c r="AK46" s="259">
        <v>-798921.93838897394</v>
      </c>
      <c r="AL46" s="201"/>
      <c r="AM46" s="197">
        <v>8686519.6285412051</v>
      </c>
      <c r="AN46" s="198"/>
      <c r="AO46" s="201"/>
      <c r="AP46" s="197">
        <v>8686519.6285412051</v>
      </c>
      <c r="AQ46" s="202"/>
      <c r="AR46" s="197"/>
      <c r="AS46" s="197"/>
      <c r="AT46" s="197">
        <v>408568.22683899803</v>
      </c>
      <c r="AU46" s="197">
        <v>0</v>
      </c>
      <c r="AV46" s="197">
        <v>-783991.73282276979</v>
      </c>
      <c r="AW46" s="197">
        <v>-375423.50598377176</v>
      </c>
      <c r="AX46" s="197">
        <v>783991.7328227706</v>
      </c>
      <c r="AY46" s="197">
        <v>0</v>
      </c>
      <c r="AZ46" s="197">
        <v>-783991.73282276979</v>
      </c>
      <c r="BA46" s="197">
        <v>3.7834979593753815E-10</v>
      </c>
      <c r="BB46" s="197"/>
      <c r="BC46" s="197"/>
      <c r="BD46" s="197"/>
      <c r="BE46" s="197"/>
      <c r="BF46" s="197"/>
      <c r="BG46" s="197"/>
      <c r="BH46" s="197"/>
      <c r="BI46" s="197"/>
      <c r="BJ46" s="197"/>
      <c r="BK46" s="197"/>
      <c r="BL46" s="197"/>
      <c r="BM46" s="197"/>
      <c r="BN46" s="197"/>
      <c r="BO46" s="197"/>
      <c r="BP46" s="197"/>
      <c r="BQ46" s="199"/>
      <c r="BR46" s="198"/>
      <c r="BS46" s="204"/>
      <c r="BT46" s="198"/>
      <c r="BU46" s="231"/>
      <c r="BV46" s="198"/>
      <c r="BW46" s="205"/>
      <c r="BX46" s="205"/>
      <c r="BY46" s="197"/>
      <c r="BZ46" s="197"/>
      <c r="CA46" s="197">
        <v>-821003.37</v>
      </c>
      <c r="CB46" s="197"/>
      <c r="CC46" s="197"/>
      <c r="CD46" s="197"/>
      <c r="CE46" s="197"/>
      <c r="CF46" s="197"/>
      <c r="CG46" s="197"/>
      <c r="CH46" s="197"/>
      <c r="CI46" s="197"/>
      <c r="CJ46" s="197"/>
      <c r="CK46" s="198"/>
      <c r="CL46" s="198"/>
    </row>
    <row r="47" spans="1:90" outlineLevel="3" x14ac:dyDescent="0.25">
      <c r="A47" s="143" t="s">
        <v>424</v>
      </c>
      <c r="B47" s="143" t="s">
        <v>425</v>
      </c>
      <c r="C47" s="143" t="s">
        <v>419</v>
      </c>
      <c r="D47" s="143" t="s">
        <v>420</v>
      </c>
      <c r="E47" s="143" t="s">
        <v>211</v>
      </c>
      <c r="F47" s="143" t="s">
        <v>203</v>
      </c>
      <c r="G47" s="143" t="s">
        <v>426</v>
      </c>
      <c r="H47" s="143" t="s">
        <v>342</v>
      </c>
      <c r="I47" s="169" t="s">
        <v>392</v>
      </c>
      <c r="J47" s="170">
        <v>1</v>
      </c>
      <c r="K47" s="171">
        <v>1</v>
      </c>
      <c r="L47" s="173">
        <v>0</v>
      </c>
      <c r="M47" s="173">
        <v>0</v>
      </c>
      <c r="N47" s="173">
        <v>0</v>
      </c>
      <c r="O47" s="172">
        <v>2220747.16</v>
      </c>
      <c r="P47" s="173">
        <v>2220747.16</v>
      </c>
      <c r="Q47" s="173">
        <v>0</v>
      </c>
      <c r="R47" s="175" t="s">
        <v>427</v>
      </c>
      <c r="S47" s="175">
        <v>0</v>
      </c>
      <c r="T47" s="175">
        <v>0</v>
      </c>
      <c r="U47" s="251">
        <v>2220747.16</v>
      </c>
      <c r="V47" s="172" t="s">
        <v>345</v>
      </c>
      <c r="W47" s="172">
        <v>0</v>
      </c>
      <c r="X47" s="172">
        <v>0</v>
      </c>
      <c r="Y47" s="172">
        <v>0</v>
      </c>
      <c r="Z47" s="172">
        <v>0</v>
      </c>
      <c r="AA47" s="172">
        <v>0</v>
      </c>
      <c r="AB47" s="172">
        <v>0</v>
      </c>
      <c r="AC47" s="251">
        <v>2220747.16</v>
      </c>
      <c r="AD47" s="172">
        <v>0</v>
      </c>
      <c r="AE47" s="172">
        <v>0</v>
      </c>
      <c r="AF47" s="172">
        <v>0</v>
      </c>
      <c r="AG47" s="172">
        <v>0</v>
      </c>
      <c r="AH47" s="252">
        <v>0</v>
      </c>
      <c r="AI47" s="172">
        <v>0</v>
      </c>
      <c r="AJ47" s="172">
        <v>0</v>
      </c>
      <c r="AK47" s="253">
        <v>0</v>
      </c>
      <c r="AL47" s="176">
        <v>0</v>
      </c>
      <c r="AM47" s="172">
        <v>2136334</v>
      </c>
      <c r="AN47" s="173">
        <v>0</v>
      </c>
      <c r="AO47" s="176">
        <v>0</v>
      </c>
      <c r="AP47" s="172">
        <v>2136334</v>
      </c>
      <c r="AQ47" s="177">
        <v>1</v>
      </c>
      <c r="AR47" s="172">
        <v>0</v>
      </c>
      <c r="AS47" s="172">
        <v>2220747.16</v>
      </c>
      <c r="AT47" s="172">
        <v>0</v>
      </c>
      <c r="AU47" s="172">
        <v>0</v>
      </c>
      <c r="AV47" s="172">
        <v>0</v>
      </c>
      <c r="AW47" s="172">
        <v>0</v>
      </c>
      <c r="AX47" s="172">
        <v>0</v>
      </c>
      <c r="AY47" s="172">
        <v>0</v>
      </c>
      <c r="AZ47" s="172">
        <v>0</v>
      </c>
      <c r="BA47" s="172">
        <v>0</v>
      </c>
      <c r="BB47" s="172" t="s">
        <v>203</v>
      </c>
      <c r="BC47" s="172" t="s">
        <v>203</v>
      </c>
      <c r="BD47" s="172">
        <v>0</v>
      </c>
      <c r="BE47" s="172">
        <v>0</v>
      </c>
      <c r="BF47" s="172">
        <v>0</v>
      </c>
      <c r="BG47" s="172">
        <v>0</v>
      </c>
      <c r="BH47" s="172">
        <v>0</v>
      </c>
      <c r="BI47" s="172">
        <v>0</v>
      </c>
      <c r="BJ47" s="172">
        <v>0</v>
      </c>
      <c r="BK47" s="172">
        <v>0</v>
      </c>
      <c r="BL47" s="172">
        <v>2136334</v>
      </c>
      <c r="BM47" s="172" t="s">
        <v>346</v>
      </c>
      <c r="BN47" s="172">
        <v>0</v>
      </c>
      <c r="BO47" s="172" t="b">
        <v>0</v>
      </c>
      <c r="BP47" s="172">
        <v>0</v>
      </c>
      <c r="BQ47" s="174">
        <v>0</v>
      </c>
      <c r="BR47" s="173">
        <v>0</v>
      </c>
      <c r="BS47" s="179">
        <v>66</v>
      </c>
      <c r="BT47" s="173">
        <v>0</v>
      </c>
      <c r="BU47" s="237">
        <v>0</v>
      </c>
      <c r="BV47" s="173">
        <v>312</v>
      </c>
      <c r="BW47" s="180">
        <v>0</v>
      </c>
      <c r="BX47" s="180">
        <v>0</v>
      </c>
      <c r="BY47" s="172">
        <v>0</v>
      </c>
      <c r="BZ47" s="172">
        <v>0</v>
      </c>
      <c r="CA47" s="172">
        <v>84413.16</v>
      </c>
      <c r="CB47" s="172">
        <v>2220747.16</v>
      </c>
      <c r="CC47" s="172">
        <v>0</v>
      </c>
      <c r="CD47" s="172">
        <v>0</v>
      </c>
      <c r="CE47" s="172">
        <v>0</v>
      </c>
      <c r="CF47" s="172">
        <v>0</v>
      </c>
      <c r="CG47" s="172">
        <v>0</v>
      </c>
      <c r="CH47" s="172">
        <v>0</v>
      </c>
      <c r="CI47" s="172">
        <v>0</v>
      </c>
      <c r="CJ47" s="172">
        <v>0</v>
      </c>
      <c r="CK47" s="173">
        <v>0</v>
      </c>
      <c r="CL47" s="173">
        <v>0</v>
      </c>
    </row>
    <row r="48" spans="1:90" s="195" customFormat="1" ht="20.100000000000001" customHeight="1" outlineLevel="2" x14ac:dyDescent="0.25">
      <c r="A48" s="182" t="s">
        <v>428</v>
      </c>
      <c r="B48" s="182"/>
      <c r="C48" s="182"/>
      <c r="D48" s="182"/>
      <c r="E48" s="182"/>
      <c r="F48" s="182"/>
      <c r="G48" s="182"/>
      <c r="H48" s="182"/>
      <c r="I48" s="183"/>
      <c r="J48" s="184"/>
      <c r="K48" s="185"/>
      <c r="L48" s="187"/>
      <c r="M48" s="187"/>
      <c r="N48" s="187"/>
      <c r="O48" s="186"/>
      <c r="P48" s="187"/>
      <c r="Q48" s="187"/>
      <c r="R48" s="189">
        <v>0</v>
      </c>
      <c r="S48" s="189">
        <v>0</v>
      </c>
      <c r="T48" s="189">
        <v>0</v>
      </c>
      <c r="U48" s="254">
        <v>2220747.16</v>
      </c>
      <c r="V48" s="186"/>
      <c r="W48" s="186">
        <v>0</v>
      </c>
      <c r="X48" s="186">
        <v>0</v>
      </c>
      <c r="Y48" s="186">
        <v>0</v>
      </c>
      <c r="Z48" s="186">
        <v>0</v>
      </c>
      <c r="AA48" s="186">
        <v>0</v>
      </c>
      <c r="AB48" s="186">
        <v>0</v>
      </c>
      <c r="AC48" s="254">
        <v>2220747.16</v>
      </c>
      <c r="AD48" s="186">
        <v>0</v>
      </c>
      <c r="AE48" s="186">
        <v>0</v>
      </c>
      <c r="AF48" s="186">
        <v>0</v>
      </c>
      <c r="AG48" s="186">
        <v>0</v>
      </c>
      <c r="AH48" s="255">
        <v>0</v>
      </c>
      <c r="AI48" s="186">
        <v>0</v>
      </c>
      <c r="AJ48" s="186">
        <v>0</v>
      </c>
      <c r="AK48" s="256">
        <v>0</v>
      </c>
      <c r="AL48" s="190"/>
      <c r="AM48" s="186">
        <v>2136334</v>
      </c>
      <c r="AN48" s="187"/>
      <c r="AO48" s="190"/>
      <c r="AP48" s="186">
        <v>2136334</v>
      </c>
      <c r="AQ48" s="191"/>
      <c r="AR48" s="186"/>
      <c r="AS48" s="186"/>
      <c r="AT48" s="186">
        <v>0</v>
      </c>
      <c r="AU48" s="186">
        <v>0</v>
      </c>
      <c r="AV48" s="186">
        <v>0</v>
      </c>
      <c r="AW48" s="186">
        <v>0</v>
      </c>
      <c r="AX48" s="186">
        <v>0</v>
      </c>
      <c r="AY48" s="186">
        <v>0</v>
      </c>
      <c r="AZ48" s="186">
        <v>0</v>
      </c>
      <c r="BA48" s="186">
        <v>0</v>
      </c>
      <c r="BB48" s="186"/>
      <c r="BC48" s="186"/>
      <c r="BD48" s="186"/>
      <c r="BE48" s="186"/>
      <c r="BF48" s="186"/>
      <c r="BG48" s="186"/>
      <c r="BH48" s="186"/>
      <c r="BI48" s="186"/>
      <c r="BJ48" s="186"/>
      <c r="BK48" s="186"/>
      <c r="BL48" s="186"/>
      <c r="BM48" s="186"/>
      <c r="BN48" s="186"/>
      <c r="BO48" s="186"/>
      <c r="BP48" s="186"/>
      <c r="BQ48" s="188"/>
      <c r="BR48" s="187"/>
      <c r="BS48" s="193"/>
      <c r="BT48" s="187"/>
      <c r="BU48" s="230"/>
      <c r="BV48" s="187"/>
      <c r="BW48" s="194"/>
      <c r="BX48" s="194"/>
      <c r="BY48" s="186"/>
      <c r="BZ48" s="186"/>
      <c r="CA48" s="186">
        <v>84413.16</v>
      </c>
      <c r="CB48" s="186"/>
      <c r="CC48" s="186"/>
      <c r="CD48" s="186"/>
      <c r="CE48" s="186"/>
      <c r="CF48" s="186"/>
      <c r="CG48" s="186"/>
      <c r="CH48" s="186"/>
      <c r="CI48" s="186"/>
      <c r="CJ48" s="186"/>
      <c r="CK48" s="187"/>
      <c r="CL48" s="187"/>
    </row>
    <row r="49" spans="1:90" outlineLevel="3" x14ac:dyDescent="0.25">
      <c r="A49" s="143" t="s">
        <v>398</v>
      </c>
      <c r="B49" s="143" t="s">
        <v>425</v>
      </c>
      <c r="C49" s="143" t="s">
        <v>419</v>
      </c>
      <c r="D49" s="143" t="s">
        <v>420</v>
      </c>
      <c r="E49" s="143" t="s">
        <v>212</v>
      </c>
      <c r="F49" s="143" t="s">
        <v>203</v>
      </c>
      <c r="G49" s="143" t="s">
        <v>426</v>
      </c>
      <c r="H49" s="207" t="s">
        <v>361</v>
      </c>
      <c r="I49" s="169" t="s">
        <v>343</v>
      </c>
      <c r="J49" s="170">
        <v>172031</v>
      </c>
      <c r="K49" s="171">
        <v>172031</v>
      </c>
      <c r="L49" s="173">
        <v>0</v>
      </c>
      <c r="M49" s="173">
        <v>0.5</v>
      </c>
      <c r="N49" s="173">
        <v>1</v>
      </c>
      <c r="O49" s="172">
        <v>136.64929576646068</v>
      </c>
      <c r="P49" s="174">
        <v>136.64929576646068</v>
      </c>
      <c r="Q49" s="174">
        <v>0</v>
      </c>
      <c r="R49" s="175" t="s">
        <v>429</v>
      </c>
      <c r="S49" s="175">
        <v>0</v>
      </c>
      <c r="T49" s="175">
        <v>0</v>
      </c>
      <c r="U49" s="251">
        <v>23507915</v>
      </c>
      <c r="V49" s="172" t="s">
        <v>345</v>
      </c>
      <c r="W49" s="172">
        <v>11753957.499999998</v>
      </c>
      <c r="X49" s="172">
        <v>0</v>
      </c>
      <c r="Y49" s="172">
        <v>11753957.499999998</v>
      </c>
      <c r="Z49" s="172">
        <v>0</v>
      </c>
      <c r="AA49" s="172">
        <v>0</v>
      </c>
      <c r="AB49" s="172">
        <v>0</v>
      </c>
      <c r="AC49" s="251">
        <v>23507915</v>
      </c>
      <c r="AD49" s="172">
        <v>0</v>
      </c>
      <c r="AE49" s="172">
        <v>0</v>
      </c>
      <c r="AF49" s="172">
        <v>0</v>
      </c>
      <c r="AG49" s="172">
        <v>0</v>
      </c>
      <c r="AH49" s="252">
        <v>0</v>
      </c>
      <c r="AI49" s="172">
        <v>0</v>
      </c>
      <c r="AJ49" s="172">
        <v>0</v>
      </c>
      <c r="AK49" s="253">
        <v>0</v>
      </c>
      <c r="AL49" s="176">
        <v>0</v>
      </c>
      <c r="AM49" s="172">
        <v>23507915</v>
      </c>
      <c r="AN49" s="176">
        <v>0</v>
      </c>
      <c r="AO49" s="173">
        <v>0</v>
      </c>
      <c r="AP49" s="172">
        <v>23507915</v>
      </c>
      <c r="AQ49" s="177">
        <v>1</v>
      </c>
      <c r="AR49" s="172">
        <v>23507914.999999996</v>
      </c>
      <c r="AS49" s="172">
        <v>136.64929576646068</v>
      </c>
      <c r="AT49" s="172">
        <v>0</v>
      </c>
      <c r="AU49" s="172">
        <v>0</v>
      </c>
      <c r="AV49" s="172">
        <v>0</v>
      </c>
      <c r="AW49" s="172">
        <v>0</v>
      </c>
      <c r="AX49" s="172">
        <v>0</v>
      </c>
      <c r="AY49" s="172">
        <v>0</v>
      </c>
      <c r="AZ49" s="172">
        <v>0</v>
      </c>
      <c r="BA49" s="172">
        <v>0</v>
      </c>
      <c r="BB49" s="172" t="s">
        <v>203</v>
      </c>
      <c r="BC49" s="172" t="s">
        <v>203</v>
      </c>
      <c r="BD49" s="172">
        <v>0</v>
      </c>
      <c r="BE49" s="172">
        <v>0</v>
      </c>
      <c r="BF49" s="172">
        <v>0</v>
      </c>
      <c r="BG49" s="172">
        <v>0</v>
      </c>
      <c r="BH49" s="172">
        <v>0</v>
      </c>
      <c r="BI49" s="172">
        <v>0</v>
      </c>
      <c r="BJ49" s="172">
        <v>0</v>
      </c>
      <c r="BK49" s="172">
        <v>0</v>
      </c>
      <c r="BL49" s="180">
        <v>23507915</v>
      </c>
      <c r="BM49" s="172" t="s">
        <v>346</v>
      </c>
      <c r="BN49" s="172">
        <v>0</v>
      </c>
      <c r="BO49" s="172" t="b">
        <v>0</v>
      </c>
      <c r="BP49" s="172">
        <v>0</v>
      </c>
      <c r="BQ49" s="174">
        <v>89.228099999999998</v>
      </c>
      <c r="BR49" s="173">
        <v>15349999.2711</v>
      </c>
      <c r="BS49" s="179">
        <v>65</v>
      </c>
      <c r="BT49" s="173">
        <v>0</v>
      </c>
      <c r="BU49" s="237">
        <v>0</v>
      </c>
      <c r="BV49" s="173">
        <v>60</v>
      </c>
      <c r="BW49" s="180">
        <v>0</v>
      </c>
      <c r="BX49" s="180">
        <v>0</v>
      </c>
      <c r="BY49" s="172">
        <v>0</v>
      </c>
      <c r="BZ49" s="172">
        <v>0</v>
      </c>
      <c r="CA49" s="172">
        <v>0</v>
      </c>
      <c r="CB49" s="172">
        <v>23507915</v>
      </c>
      <c r="CC49" s="172">
        <v>0</v>
      </c>
      <c r="CD49" s="172">
        <v>0</v>
      </c>
      <c r="CE49" s="172">
        <v>0</v>
      </c>
      <c r="CF49" s="172">
        <v>0</v>
      </c>
      <c r="CG49" s="172">
        <v>0</v>
      </c>
      <c r="CH49" s="172">
        <v>0</v>
      </c>
      <c r="CI49" s="172">
        <v>0</v>
      </c>
      <c r="CJ49" s="172">
        <v>0</v>
      </c>
      <c r="CK49" s="173">
        <v>0.5</v>
      </c>
      <c r="CL49" s="173">
        <v>0</v>
      </c>
    </row>
    <row r="50" spans="1:90" outlineLevel="3" x14ac:dyDescent="0.25">
      <c r="A50" s="143" t="s">
        <v>398</v>
      </c>
      <c r="B50" s="143" t="s">
        <v>425</v>
      </c>
      <c r="C50" s="143" t="s">
        <v>419</v>
      </c>
      <c r="D50" s="143" t="s">
        <v>420</v>
      </c>
      <c r="E50" s="143" t="s">
        <v>481</v>
      </c>
      <c r="F50" s="143" t="s">
        <v>203</v>
      </c>
      <c r="G50" s="207" t="s">
        <v>482</v>
      </c>
      <c r="H50" s="207" t="s">
        <v>361</v>
      </c>
      <c r="I50" s="169" t="s">
        <v>343</v>
      </c>
      <c r="J50" s="170">
        <v>1</v>
      </c>
      <c r="K50" s="171">
        <v>1</v>
      </c>
      <c r="L50" s="173">
        <v>0</v>
      </c>
      <c r="M50" s="173">
        <v>0</v>
      </c>
      <c r="N50" s="173">
        <v>1</v>
      </c>
      <c r="O50" s="172">
        <v>10372212</v>
      </c>
      <c r="P50" s="174">
        <v>10372212</v>
      </c>
      <c r="Q50" s="174">
        <v>0</v>
      </c>
      <c r="R50" s="175" t="s">
        <v>483</v>
      </c>
      <c r="S50" s="175">
        <v>0</v>
      </c>
      <c r="T50" s="175">
        <v>0</v>
      </c>
      <c r="U50" s="251">
        <v>10372212</v>
      </c>
      <c r="V50" s="172" t="s">
        <v>345</v>
      </c>
      <c r="W50" s="172">
        <v>0</v>
      </c>
      <c r="X50" s="172">
        <v>0</v>
      </c>
      <c r="Y50" s="172">
        <v>0</v>
      </c>
      <c r="Z50" s="172">
        <v>0</v>
      </c>
      <c r="AA50" s="172">
        <v>0</v>
      </c>
      <c r="AB50" s="172">
        <v>0</v>
      </c>
      <c r="AC50" s="251">
        <v>10372212</v>
      </c>
      <c r="AD50" s="172">
        <v>0</v>
      </c>
      <c r="AE50" s="172">
        <v>0</v>
      </c>
      <c r="AF50" s="172">
        <v>0</v>
      </c>
      <c r="AG50" s="172">
        <v>0</v>
      </c>
      <c r="AH50" s="252">
        <v>0</v>
      </c>
      <c r="AI50" s="172">
        <v>0</v>
      </c>
      <c r="AJ50" s="172">
        <v>0</v>
      </c>
      <c r="AK50" s="253">
        <v>0</v>
      </c>
      <c r="AL50" s="176">
        <v>0</v>
      </c>
      <c r="AM50" s="172">
        <v>14753533</v>
      </c>
      <c r="AN50" s="176">
        <v>0</v>
      </c>
      <c r="AO50" s="173">
        <v>0</v>
      </c>
      <c r="AP50" s="172">
        <v>14753533</v>
      </c>
      <c r="AQ50" s="177">
        <v>1</v>
      </c>
      <c r="AR50" s="172">
        <v>10372212</v>
      </c>
      <c r="AS50" s="172">
        <v>10372212</v>
      </c>
      <c r="AT50" s="172">
        <v>0</v>
      </c>
      <c r="AU50" s="172">
        <v>0</v>
      </c>
      <c r="AV50" s="172">
        <v>0</v>
      </c>
      <c r="AW50" s="172">
        <v>0</v>
      </c>
      <c r="AX50" s="172">
        <v>0</v>
      </c>
      <c r="AY50" s="172">
        <v>0</v>
      </c>
      <c r="AZ50" s="172">
        <v>0</v>
      </c>
      <c r="BA50" s="172">
        <v>0</v>
      </c>
      <c r="BB50" s="172" t="s">
        <v>203</v>
      </c>
      <c r="BC50" s="172" t="s">
        <v>203</v>
      </c>
      <c r="BD50" s="172">
        <v>0</v>
      </c>
      <c r="BE50" s="172">
        <v>0</v>
      </c>
      <c r="BF50" s="172">
        <v>0</v>
      </c>
      <c r="BG50" s="172">
        <v>0</v>
      </c>
      <c r="BH50" s="172">
        <v>0</v>
      </c>
      <c r="BI50" s="172">
        <v>0</v>
      </c>
      <c r="BJ50" s="172">
        <v>0</v>
      </c>
      <c r="BK50" s="172">
        <v>0</v>
      </c>
      <c r="BL50" s="180">
        <v>14753533</v>
      </c>
      <c r="BM50" s="172" t="s">
        <v>346</v>
      </c>
      <c r="BN50" s="172">
        <v>0</v>
      </c>
      <c r="BO50" s="172" t="b">
        <v>0</v>
      </c>
      <c r="BP50" s="172">
        <v>0</v>
      </c>
      <c r="BQ50" s="174">
        <v>0</v>
      </c>
      <c r="BR50" s="173">
        <v>0</v>
      </c>
      <c r="BS50" s="179">
        <v>65</v>
      </c>
      <c r="BT50" s="173">
        <v>0</v>
      </c>
      <c r="BU50" s="237">
        <v>0</v>
      </c>
      <c r="BV50" s="173">
        <v>62</v>
      </c>
      <c r="BW50" s="180">
        <v>0</v>
      </c>
      <c r="BX50" s="180">
        <v>0</v>
      </c>
      <c r="BY50" s="172">
        <v>0</v>
      </c>
      <c r="BZ50" s="172">
        <v>0</v>
      </c>
      <c r="CA50" s="172">
        <v>-4381321</v>
      </c>
      <c r="CB50" s="172">
        <v>10372212</v>
      </c>
      <c r="CC50" s="172">
        <v>0</v>
      </c>
      <c r="CD50" s="172">
        <v>0</v>
      </c>
      <c r="CE50" s="172">
        <v>0</v>
      </c>
      <c r="CF50" s="172">
        <v>0</v>
      </c>
      <c r="CG50" s="172">
        <v>0</v>
      </c>
      <c r="CH50" s="172">
        <v>0</v>
      </c>
      <c r="CI50" s="172">
        <v>0</v>
      </c>
      <c r="CJ50" s="172">
        <v>0</v>
      </c>
      <c r="CK50" s="173">
        <v>0</v>
      </c>
      <c r="CL50" s="173">
        <v>0</v>
      </c>
    </row>
    <row r="51" spans="1:90" s="195" customFormat="1" ht="20.100000000000001" customHeight="1" outlineLevel="2" x14ac:dyDescent="0.25">
      <c r="A51" s="182" t="s">
        <v>399</v>
      </c>
      <c r="B51" s="182"/>
      <c r="C51" s="182"/>
      <c r="D51" s="182"/>
      <c r="E51" s="182"/>
      <c r="F51" s="182"/>
      <c r="G51" s="208"/>
      <c r="H51" s="208"/>
      <c r="I51" s="183"/>
      <c r="J51" s="184"/>
      <c r="K51" s="185"/>
      <c r="L51" s="187"/>
      <c r="M51" s="187"/>
      <c r="N51" s="187"/>
      <c r="O51" s="186"/>
      <c r="P51" s="188"/>
      <c r="Q51" s="188"/>
      <c r="R51" s="189">
        <v>0</v>
      </c>
      <c r="S51" s="189">
        <v>0</v>
      </c>
      <c r="T51" s="189">
        <v>0</v>
      </c>
      <c r="U51" s="254">
        <v>33880127</v>
      </c>
      <c r="V51" s="186"/>
      <c r="W51" s="186">
        <v>11753957.499999998</v>
      </c>
      <c r="X51" s="186">
        <v>0</v>
      </c>
      <c r="Y51" s="186">
        <v>11753957.499999998</v>
      </c>
      <c r="Z51" s="186">
        <v>0</v>
      </c>
      <c r="AA51" s="186">
        <v>0</v>
      </c>
      <c r="AB51" s="186">
        <v>0</v>
      </c>
      <c r="AC51" s="254">
        <v>33880127</v>
      </c>
      <c r="AD51" s="186">
        <v>0</v>
      </c>
      <c r="AE51" s="186">
        <v>0</v>
      </c>
      <c r="AF51" s="186">
        <v>0</v>
      </c>
      <c r="AG51" s="186">
        <v>0</v>
      </c>
      <c r="AH51" s="255">
        <v>0</v>
      </c>
      <c r="AI51" s="186">
        <v>0</v>
      </c>
      <c r="AJ51" s="186">
        <v>0</v>
      </c>
      <c r="AK51" s="256">
        <v>0</v>
      </c>
      <c r="AL51" s="190"/>
      <c r="AM51" s="186">
        <v>38261448</v>
      </c>
      <c r="AN51" s="190"/>
      <c r="AO51" s="187"/>
      <c r="AP51" s="186">
        <v>38261448</v>
      </c>
      <c r="AQ51" s="191"/>
      <c r="AR51" s="186"/>
      <c r="AS51" s="186"/>
      <c r="AT51" s="186">
        <v>0</v>
      </c>
      <c r="AU51" s="186">
        <v>0</v>
      </c>
      <c r="AV51" s="186">
        <v>0</v>
      </c>
      <c r="AW51" s="186">
        <v>0</v>
      </c>
      <c r="AX51" s="186">
        <v>0</v>
      </c>
      <c r="AY51" s="186">
        <v>0</v>
      </c>
      <c r="AZ51" s="186">
        <v>0</v>
      </c>
      <c r="BA51" s="186">
        <v>0</v>
      </c>
      <c r="BB51" s="186"/>
      <c r="BC51" s="186"/>
      <c r="BD51" s="186"/>
      <c r="BE51" s="186"/>
      <c r="BF51" s="186"/>
      <c r="BG51" s="186"/>
      <c r="BH51" s="186"/>
      <c r="BI51" s="186"/>
      <c r="BJ51" s="186"/>
      <c r="BK51" s="186"/>
      <c r="BL51" s="194"/>
      <c r="BM51" s="186"/>
      <c r="BN51" s="186"/>
      <c r="BO51" s="186"/>
      <c r="BP51" s="186"/>
      <c r="BQ51" s="188"/>
      <c r="BR51" s="187"/>
      <c r="BS51" s="193"/>
      <c r="BT51" s="187"/>
      <c r="BU51" s="230"/>
      <c r="BV51" s="187"/>
      <c r="BW51" s="194"/>
      <c r="BX51" s="194"/>
      <c r="BY51" s="186"/>
      <c r="BZ51" s="186"/>
      <c r="CA51" s="186">
        <v>-4381321</v>
      </c>
      <c r="CB51" s="186"/>
      <c r="CC51" s="186"/>
      <c r="CD51" s="186"/>
      <c r="CE51" s="186"/>
      <c r="CF51" s="186"/>
      <c r="CG51" s="186"/>
      <c r="CH51" s="186"/>
      <c r="CI51" s="186"/>
      <c r="CJ51" s="186"/>
      <c r="CK51" s="187"/>
      <c r="CL51" s="187"/>
    </row>
    <row r="52" spans="1:90" outlineLevel="3" x14ac:dyDescent="0.25">
      <c r="A52" s="143" t="s">
        <v>370</v>
      </c>
      <c r="B52" s="143" t="s">
        <v>425</v>
      </c>
      <c r="C52" s="143" t="s">
        <v>419</v>
      </c>
      <c r="D52" s="143" t="s">
        <v>420</v>
      </c>
      <c r="E52" s="143" t="s">
        <v>213</v>
      </c>
      <c r="F52" s="143" t="s">
        <v>430</v>
      </c>
      <c r="G52" s="143" t="s">
        <v>426</v>
      </c>
      <c r="H52" s="143" t="s">
        <v>351</v>
      </c>
      <c r="I52" s="169" t="s">
        <v>343</v>
      </c>
      <c r="J52" s="171">
        <v>0</v>
      </c>
      <c r="K52" s="171">
        <v>0</v>
      </c>
      <c r="L52" s="173">
        <v>0</v>
      </c>
      <c r="M52" s="173">
        <v>0.5</v>
      </c>
      <c r="N52" s="173">
        <v>1</v>
      </c>
      <c r="O52" s="172">
        <v>3.25</v>
      </c>
      <c r="P52" s="174">
        <v>3.53125</v>
      </c>
      <c r="Q52" s="174">
        <v>-0.28125</v>
      </c>
      <c r="R52" s="175" t="s">
        <v>431</v>
      </c>
      <c r="S52" s="175">
        <v>0</v>
      </c>
      <c r="T52" s="175">
        <v>0</v>
      </c>
      <c r="U52" s="251">
        <v>0</v>
      </c>
      <c r="V52" s="172" t="s">
        <v>345</v>
      </c>
      <c r="W52" s="172">
        <v>0</v>
      </c>
      <c r="X52" s="172">
        <v>0</v>
      </c>
      <c r="Y52" s="172">
        <v>0</v>
      </c>
      <c r="Z52" s="172">
        <v>0</v>
      </c>
      <c r="AA52" s="172">
        <v>0</v>
      </c>
      <c r="AB52" s="172">
        <v>0</v>
      </c>
      <c r="AC52" s="251">
        <v>0</v>
      </c>
      <c r="AD52" s="172">
        <v>0</v>
      </c>
      <c r="AE52" s="172">
        <v>0</v>
      </c>
      <c r="AF52" s="172">
        <v>0</v>
      </c>
      <c r="AG52" s="172">
        <v>0</v>
      </c>
      <c r="AH52" s="252">
        <v>0</v>
      </c>
      <c r="AI52" s="172">
        <v>0</v>
      </c>
      <c r="AJ52" s="172">
        <v>0</v>
      </c>
      <c r="AK52" s="253">
        <v>0</v>
      </c>
      <c r="AL52" s="176">
        <v>0</v>
      </c>
      <c r="AM52" s="172">
        <v>0</v>
      </c>
      <c r="AN52" s="173">
        <v>0</v>
      </c>
      <c r="AO52" s="176">
        <v>0</v>
      </c>
      <c r="AP52" s="172">
        <v>0</v>
      </c>
      <c r="AQ52" s="177">
        <v>1</v>
      </c>
      <c r="AR52" s="172">
        <v>0</v>
      </c>
      <c r="AS52" s="172">
        <v>3.25</v>
      </c>
      <c r="AT52" s="172">
        <v>0</v>
      </c>
      <c r="AU52" s="172">
        <v>0</v>
      </c>
      <c r="AV52" s="172">
        <v>0</v>
      </c>
      <c r="AW52" s="172">
        <v>0</v>
      </c>
      <c r="AX52" s="172">
        <v>0</v>
      </c>
      <c r="AY52" s="172">
        <v>0</v>
      </c>
      <c r="AZ52" s="172">
        <v>0</v>
      </c>
      <c r="BA52" s="172">
        <v>0</v>
      </c>
      <c r="BB52" s="172">
        <v>3.25</v>
      </c>
      <c r="BC52" s="172">
        <v>3.53125</v>
      </c>
      <c r="BD52" s="172">
        <v>0</v>
      </c>
      <c r="BE52" s="172">
        <v>0</v>
      </c>
      <c r="BF52" s="172">
        <v>0</v>
      </c>
      <c r="BG52" s="172">
        <v>0</v>
      </c>
      <c r="BH52" s="172">
        <v>0</v>
      </c>
      <c r="BI52" s="172">
        <v>0</v>
      </c>
      <c r="BJ52" s="172">
        <v>0</v>
      </c>
      <c r="BK52" s="172">
        <v>0</v>
      </c>
      <c r="BL52" s="172">
        <v>0</v>
      </c>
      <c r="BM52" s="172" t="s">
        <v>353</v>
      </c>
      <c r="BN52" s="172">
        <v>0</v>
      </c>
      <c r="BO52" s="172" t="b">
        <v>0</v>
      </c>
      <c r="BP52" s="172">
        <v>0</v>
      </c>
      <c r="BQ52" s="174">
        <v>9.4999962000015206</v>
      </c>
      <c r="BR52" s="173">
        <v>0</v>
      </c>
      <c r="BS52" s="179">
        <v>64</v>
      </c>
      <c r="BT52" s="173">
        <v>0</v>
      </c>
      <c r="BU52" s="237">
        <v>0</v>
      </c>
      <c r="BV52" s="173">
        <v>1</v>
      </c>
      <c r="BW52" s="180">
        <v>3.25</v>
      </c>
      <c r="BX52" s="180">
        <v>0</v>
      </c>
      <c r="BY52" s="172">
        <v>0</v>
      </c>
      <c r="BZ52" s="172">
        <v>0</v>
      </c>
      <c r="CA52" s="172">
        <v>0</v>
      </c>
      <c r="CB52" s="172">
        <v>0</v>
      </c>
      <c r="CC52" s="172">
        <v>0</v>
      </c>
      <c r="CD52" s="172">
        <v>0</v>
      </c>
      <c r="CE52" s="172">
        <v>0</v>
      </c>
      <c r="CF52" s="172">
        <v>0</v>
      </c>
      <c r="CG52" s="172">
        <v>0</v>
      </c>
      <c r="CH52" s="172">
        <v>0</v>
      </c>
      <c r="CI52" s="172">
        <v>0</v>
      </c>
      <c r="CJ52" s="172">
        <v>0</v>
      </c>
      <c r="CK52" s="173">
        <v>1</v>
      </c>
      <c r="CL52" s="173">
        <v>0</v>
      </c>
    </row>
    <row r="53" spans="1:90" outlineLevel="3" x14ac:dyDescent="0.25">
      <c r="A53" s="143" t="s">
        <v>370</v>
      </c>
      <c r="B53" s="143" t="s">
        <v>425</v>
      </c>
      <c r="C53" s="143" t="s">
        <v>419</v>
      </c>
      <c r="D53" s="143" t="s">
        <v>420</v>
      </c>
      <c r="E53" s="143" t="s">
        <v>214</v>
      </c>
      <c r="F53" s="143" t="s">
        <v>432</v>
      </c>
      <c r="G53" s="143" t="s">
        <v>426</v>
      </c>
      <c r="H53" s="143" t="s">
        <v>351</v>
      </c>
      <c r="I53" s="169" t="s">
        <v>343</v>
      </c>
      <c r="J53" s="171">
        <v>0</v>
      </c>
      <c r="K53" s="171">
        <v>0</v>
      </c>
      <c r="L53" s="173">
        <v>0</v>
      </c>
      <c r="M53" s="173">
        <v>0</v>
      </c>
      <c r="N53" s="173">
        <v>1</v>
      </c>
      <c r="O53" s="172">
        <v>1.75</v>
      </c>
      <c r="P53" s="174">
        <v>1.75</v>
      </c>
      <c r="Q53" s="174">
        <v>0</v>
      </c>
      <c r="R53" s="175" t="s">
        <v>433</v>
      </c>
      <c r="S53" s="175">
        <v>0</v>
      </c>
      <c r="T53" s="175">
        <v>0</v>
      </c>
      <c r="U53" s="251">
        <v>0</v>
      </c>
      <c r="V53" s="172" t="s">
        <v>345</v>
      </c>
      <c r="W53" s="172">
        <v>0</v>
      </c>
      <c r="X53" s="172">
        <v>0</v>
      </c>
      <c r="Y53" s="172">
        <v>0</v>
      </c>
      <c r="Z53" s="172">
        <v>0</v>
      </c>
      <c r="AA53" s="172">
        <v>0</v>
      </c>
      <c r="AB53" s="172">
        <v>0</v>
      </c>
      <c r="AC53" s="251">
        <v>0</v>
      </c>
      <c r="AD53" s="172">
        <v>0</v>
      </c>
      <c r="AE53" s="172">
        <v>0</v>
      </c>
      <c r="AF53" s="172">
        <v>0</v>
      </c>
      <c r="AG53" s="172">
        <v>0</v>
      </c>
      <c r="AH53" s="252">
        <v>0</v>
      </c>
      <c r="AI53" s="172">
        <v>0</v>
      </c>
      <c r="AJ53" s="172">
        <v>0</v>
      </c>
      <c r="AK53" s="253">
        <v>0</v>
      </c>
      <c r="AL53" s="176">
        <v>0</v>
      </c>
      <c r="AM53" s="172">
        <v>0</v>
      </c>
      <c r="AN53" s="173">
        <v>0</v>
      </c>
      <c r="AO53" s="176">
        <v>0</v>
      </c>
      <c r="AP53" s="172">
        <v>0</v>
      </c>
      <c r="AQ53" s="177">
        <v>1</v>
      </c>
      <c r="AR53" s="172">
        <v>0</v>
      </c>
      <c r="AS53" s="172">
        <v>1.75</v>
      </c>
      <c r="AT53" s="172">
        <v>0</v>
      </c>
      <c r="AU53" s="172">
        <v>0</v>
      </c>
      <c r="AV53" s="172">
        <v>0</v>
      </c>
      <c r="AW53" s="172">
        <v>0</v>
      </c>
      <c r="AX53" s="172">
        <v>0</v>
      </c>
      <c r="AY53" s="172">
        <v>0</v>
      </c>
      <c r="AZ53" s="172">
        <v>0</v>
      </c>
      <c r="BA53" s="172">
        <v>0</v>
      </c>
      <c r="BB53" s="172">
        <v>1.75</v>
      </c>
      <c r="BC53" s="172">
        <v>1.75</v>
      </c>
      <c r="BD53" s="172">
        <v>0</v>
      </c>
      <c r="BE53" s="172">
        <v>0</v>
      </c>
      <c r="BF53" s="172">
        <v>0</v>
      </c>
      <c r="BG53" s="172">
        <v>0</v>
      </c>
      <c r="BH53" s="172">
        <v>0</v>
      </c>
      <c r="BI53" s="172">
        <v>0</v>
      </c>
      <c r="BJ53" s="172">
        <v>0</v>
      </c>
      <c r="BK53" s="172">
        <v>0</v>
      </c>
      <c r="BL53" s="172">
        <v>0</v>
      </c>
      <c r="BM53" s="172" t="s">
        <v>353</v>
      </c>
      <c r="BN53" s="172">
        <v>0</v>
      </c>
      <c r="BO53" s="172" t="b">
        <v>0</v>
      </c>
      <c r="BP53" s="172">
        <v>0</v>
      </c>
      <c r="BQ53" s="174">
        <v>1.1200000000000001</v>
      </c>
      <c r="BR53" s="173">
        <v>0</v>
      </c>
      <c r="BS53" s="179">
        <v>64</v>
      </c>
      <c r="BT53" s="173">
        <v>0</v>
      </c>
      <c r="BU53" s="237">
        <v>0</v>
      </c>
      <c r="BV53" s="173">
        <v>10</v>
      </c>
      <c r="BW53" s="180">
        <v>1.75</v>
      </c>
      <c r="BX53" s="180">
        <v>0</v>
      </c>
      <c r="BY53" s="172">
        <v>0</v>
      </c>
      <c r="BZ53" s="172">
        <v>0</v>
      </c>
      <c r="CA53" s="172">
        <v>0</v>
      </c>
      <c r="CB53" s="172">
        <v>0</v>
      </c>
      <c r="CC53" s="172">
        <v>0</v>
      </c>
      <c r="CD53" s="172">
        <v>0</v>
      </c>
      <c r="CE53" s="172">
        <v>0</v>
      </c>
      <c r="CF53" s="172">
        <v>0</v>
      </c>
      <c r="CG53" s="172">
        <v>0</v>
      </c>
      <c r="CH53" s="172">
        <v>0</v>
      </c>
      <c r="CI53" s="172">
        <v>0</v>
      </c>
      <c r="CJ53" s="172">
        <v>0</v>
      </c>
      <c r="CK53" s="173">
        <v>0</v>
      </c>
      <c r="CL53" s="173">
        <v>0</v>
      </c>
    </row>
    <row r="54" spans="1:90" outlineLevel="3" x14ac:dyDescent="0.25">
      <c r="A54" s="143" t="s">
        <v>370</v>
      </c>
      <c r="B54" s="143" t="s">
        <v>425</v>
      </c>
      <c r="C54" s="143" t="s">
        <v>419</v>
      </c>
      <c r="D54" s="143" t="s">
        <v>420</v>
      </c>
      <c r="E54" s="143" t="s">
        <v>559</v>
      </c>
      <c r="F54" s="143" t="s">
        <v>558</v>
      </c>
      <c r="G54" s="143" t="s">
        <v>426</v>
      </c>
      <c r="H54" s="143" t="s">
        <v>351</v>
      </c>
      <c r="I54" s="169" t="s">
        <v>343</v>
      </c>
      <c r="J54" s="171">
        <v>137634.6</v>
      </c>
      <c r="K54" s="171">
        <v>137634.6</v>
      </c>
      <c r="L54" s="173">
        <v>0</v>
      </c>
      <c r="M54" s="173">
        <v>0</v>
      </c>
      <c r="N54" s="173">
        <v>1</v>
      </c>
      <c r="O54" s="172">
        <v>7.0625</v>
      </c>
      <c r="P54" s="174">
        <v>7.0625</v>
      </c>
      <c r="Q54" s="174">
        <v>0</v>
      </c>
      <c r="R54" s="175" t="s">
        <v>434</v>
      </c>
      <c r="S54" s="175">
        <v>0</v>
      </c>
      <c r="T54" s="175">
        <v>0</v>
      </c>
      <c r="U54" s="251">
        <v>972044.36250000005</v>
      </c>
      <c r="V54" s="172" t="s">
        <v>345</v>
      </c>
      <c r="W54" s="172">
        <v>0</v>
      </c>
      <c r="X54" s="172">
        <v>0</v>
      </c>
      <c r="Y54" s="172">
        <v>0</v>
      </c>
      <c r="Z54" s="172">
        <v>0</v>
      </c>
      <c r="AA54" s="172">
        <v>0</v>
      </c>
      <c r="AB54" s="172">
        <v>0</v>
      </c>
      <c r="AC54" s="251">
        <v>972044.36250000005</v>
      </c>
      <c r="AD54" s="172">
        <v>0</v>
      </c>
      <c r="AE54" s="172">
        <v>0</v>
      </c>
      <c r="AF54" s="172">
        <v>0</v>
      </c>
      <c r="AG54" s="172">
        <v>0</v>
      </c>
      <c r="AH54" s="252">
        <v>568290.94650000101</v>
      </c>
      <c r="AI54" s="172">
        <v>0</v>
      </c>
      <c r="AJ54" s="172">
        <v>-311356.52250000014</v>
      </c>
      <c r="AK54" s="253">
        <v>256934.42400000087</v>
      </c>
      <c r="AL54" s="176">
        <v>0</v>
      </c>
      <c r="AM54" s="172">
        <v>403753.41600000003</v>
      </c>
      <c r="AN54" s="173">
        <v>0</v>
      </c>
      <c r="AO54" s="176">
        <v>0</v>
      </c>
      <c r="AP54" s="172">
        <v>403753.41600000003</v>
      </c>
      <c r="AQ54" s="177">
        <v>1</v>
      </c>
      <c r="AR54" s="172">
        <v>972044.36250000005</v>
      </c>
      <c r="AS54" s="172">
        <v>7.0625</v>
      </c>
      <c r="AT54" s="172">
        <v>8602.1625000005588</v>
      </c>
      <c r="AU54" s="172">
        <v>0</v>
      </c>
      <c r="AV54" s="172">
        <v>-311356.52250000014</v>
      </c>
      <c r="AW54" s="172">
        <v>-302754.36</v>
      </c>
      <c r="AX54" s="172">
        <v>311356.52250000008</v>
      </c>
      <c r="AY54" s="172">
        <v>0</v>
      </c>
      <c r="AZ54" s="172">
        <v>-311356.52250000014</v>
      </c>
      <c r="BA54" s="172">
        <v>0</v>
      </c>
      <c r="BB54" s="172">
        <v>7.0625</v>
      </c>
      <c r="BC54" s="172">
        <v>7.0625</v>
      </c>
      <c r="BD54" s="172">
        <v>8602.1625000005588</v>
      </c>
      <c r="BE54" s="172">
        <v>0</v>
      </c>
      <c r="BF54" s="172">
        <v>-311356.52250000014</v>
      </c>
      <c r="BG54" s="172">
        <v>-302754.36</v>
      </c>
      <c r="BH54" s="172">
        <v>311356.52250000008</v>
      </c>
      <c r="BI54" s="172">
        <v>0</v>
      </c>
      <c r="BJ54" s="172">
        <v>-311356.52250000014</v>
      </c>
      <c r="BK54" s="172">
        <v>0</v>
      </c>
      <c r="BL54" s="172">
        <v>403753.41600000003</v>
      </c>
      <c r="BM54" s="172" t="s">
        <v>353</v>
      </c>
      <c r="BN54" s="172">
        <v>0</v>
      </c>
      <c r="BO54" s="172" t="b">
        <v>0</v>
      </c>
      <c r="BP54" s="172">
        <v>-311356.52250000014</v>
      </c>
      <c r="BQ54" s="174">
        <v>1.1200000000000001</v>
      </c>
      <c r="BR54" s="173">
        <v>154150.75200000001</v>
      </c>
      <c r="BS54" s="179">
        <v>64</v>
      </c>
      <c r="BT54" s="173">
        <v>0</v>
      </c>
      <c r="BU54" s="237">
        <v>137634.6</v>
      </c>
      <c r="BV54" s="173">
        <v>14</v>
      </c>
      <c r="BW54" s="180">
        <v>7.0625</v>
      </c>
      <c r="BX54" s="180">
        <v>0</v>
      </c>
      <c r="BY54" s="172">
        <v>0</v>
      </c>
      <c r="BZ54" s="172">
        <v>0</v>
      </c>
      <c r="CA54" s="172">
        <v>0</v>
      </c>
      <c r="CB54" s="172">
        <v>660687.84</v>
      </c>
      <c r="CC54" s="172">
        <v>0</v>
      </c>
      <c r="CD54" s="172">
        <v>0</v>
      </c>
      <c r="CE54" s="172">
        <v>0</v>
      </c>
      <c r="CF54" s="172">
        <v>0</v>
      </c>
      <c r="CG54" s="172">
        <v>568290.94650000101</v>
      </c>
      <c r="CH54" s="172">
        <v>0</v>
      </c>
      <c r="CI54" s="172">
        <v>-311356.52250000014</v>
      </c>
      <c r="CJ54" s="172">
        <v>256934.42400000087</v>
      </c>
      <c r="CK54" s="173">
        <v>0</v>
      </c>
      <c r="CL54" s="173">
        <v>0</v>
      </c>
    </row>
    <row r="55" spans="1:90" s="195" customFormat="1" ht="20.100000000000001" customHeight="1" outlineLevel="2" x14ac:dyDescent="0.25">
      <c r="A55" s="182" t="s">
        <v>371</v>
      </c>
      <c r="B55" s="182"/>
      <c r="C55" s="182"/>
      <c r="D55" s="182"/>
      <c r="E55" s="182"/>
      <c r="F55" s="182"/>
      <c r="G55" s="182"/>
      <c r="H55" s="182"/>
      <c r="I55" s="183"/>
      <c r="J55" s="185"/>
      <c r="K55" s="185"/>
      <c r="L55" s="187"/>
      <c r="M55" s="187"/>
      <c r="N55" s="187"/>
      <c r="O55" s="186"/>
      <c r="P55" s="188"/>
      <c r="Q55" s="188"/>
      <c r="R55" s="189">
        <v>0</v>
      </c>
      <c r="S55" s="189">
        <v>0</v>
      </c>
      <c r="T55" s="189">
        <v>0</v>
      </c>
      <c r="U55" s="254">
        <v>972044.36250000005</v>
      </c>
      <c r="V55" s="186"/>
      <c r="W55" s="186">
        <v>0</v>
      </c>
      <c r="X55" s="186">
        <v>0</v>
      </c>
      <c r="Y55" s="186">
        <v>0</v>
      </c>
      <c r="Z55" s="186">
        <v>0</v>
      </c>
      <c r="AA55" s="186">
        <v>0</v>
      </c>
      <c r="AB55" s="186">
        <v>0</v>
      </c>
      <c r="AC55" s="254">
        <v>972044.36250000005</v>
      </c>
      <c r="AD55" s="186">
        <v>0</v>
      </c>
      <c r="AE55" s="186">
        <v>0</v>
      </c>
      <c r="AF55" s="186">
        <v>0</v>
      </c>
      <c r="AG55" s="186">
        <v>0</v>
      </c>
      <c r="AH55" s="255">
        <v>568290.94650000101</v>
      </c>
      <c r="AI55" s="186">
        <v>0</v>
      </c>
      <c r="AJ55" s="186">
        <v>-311356.52250000014</v>
      </c>
      <c r="AK55" s="256">
        <v>256934.42400000087</v>
      </c>
      <c r="AL55" s="190"/>
      <c r="AM55" s="186">
        <v>403753.41600000003</v>
      </c>
      <c r="AN55" s="187"/>
      <c r="AO55" s="190"/>
      <c r="AP55" s="186">
        <v>403753.41600000003</v>
      </c>
      <c r="AQ55" s="191"/>
      <c r="AR55" s="186"/>
      <c r="AS55" s="186"/>
      <c r="AT55" s="186">
        <v>8602.1625000005588</v>
      </c>
      <c r="AU55" s="186">
        <v>0</v>
      </c>
      <c r="AV55" s="186">
        <v>-311356.52250000014</v>
      </c>
      <c r="AW55" s="186">
        <v>-302754.36</v>
      </c>
      <c r="AX55" s="186">
        <v>311356.52250000008</v>
      </c>
      <c r="AY55" s="186">
        <v>0</v>
      </c>
      <c r="AZ55" s="186">
        <v>-311356.52250000014</v>
      </c>
      <c r="BA55" s="186">
        <v>0</v>
      </c>
      <c r="BB55" s="186"/>
      <c r="BC55" s="186"/>
      <c r="BD55" s="186"/>
      <c r="BE55" s="186"/>
      <c r="BF55" s="186"/>
      <c r="BG55" s="186"/>
      <c r="BH55" s="186"/>
      <c r="BI55" s="186"/>
      <c r="BJ55" s="186"/>
      <c r="BK55" s="186"/>
      <c r="BL55" s="186"/>
      <c r="BM55" s="186"/>
      <c r="BN55" s="186"/>
      <c r="BO55" s="186"/>
      <c r="BP55" s="186"/>
      <c r="BQ55" s="188"/>
      <c r="BR55" s="187"/>
      <c r="BS55" s="193"/>
      <c r="BT55" s="187"/>
      <c r="BU55" s="230"/>
      <c r="BV55" s="187"/>
      <c r="BW55" s="194"/>
      <c r="BX55" s="194"/>
      <c r="BY55" s="186"/>
      <c r="BZ55" s="186"/>
      <c r="CA55" s="186">
        <v>0</v>
      </c>
      <c r="CB55" s="186"/>
      <c r="CC55" s="186"/>
      <c r="CD55" s="186"/>
      <c r="CE55" s="186"/>
      <c r="CF55" s="186"/>
      <c r="CG55" s="186"/>
      <c r="CH55" s="186"/>
      <c r="CI55" s="186"/>
      <c r="CJ55" s="186"/>
      <c r="CK55" s="187"/>
      <c r="CL55" s="187"/>
    </row>
    <row r="56" spans="1:90" outlineLevel="3" x14ac:dyDescent="0.25">
      <c r="A56" s="143" t="s">
        <v>435</v>
      </c>
      <c r="B56" s="143" t="s">
        <v>425</v>
      </c>
      <c r="C56" s="143" t="s">
        <v>419</v>
      </c>
      <c r="D56" s="143" t="s">
        <v>420</v>
      </c>
      <c r="E56" s="143" t="s">
        <v>215</v>
      </c>
      <c r="F56" s="143" t="s">
        <v>203</v>
      </c>
      <c r="G56" s="143" t="s">
        <v>426</v>
      </c>
      <c r="H56" s="143" t="s">
        <v>342</v>
      </c>
      <c r="I56" s="169" t="s">
        <v>392</v>
      </c>
      <c r="J56" s="171">
        <v>1</v>
      </c>
      <c r="K56" s="171">
        <v>1</v>
      </c>
      <c r="L56" s="173">
        <v>0</v>
      </c>
      <c r="M56" s="173">
        <v>0</v>
      </c>
      <c r="N56" s="173">
        <v>0</v>
      </c>
      <c r="O56" s="172">
        <v>0</v>
      </c>
      <c r="P56" s="173">
        <v>0</v>
      </c>
      <c r="Q56" s="173">
        <v>0</v>
      </c>
      <c r="R56" s="175" t="s">
        <v>436</v>
      </c>
      <c r="S56" s="175">
        <v>0</v>
      </c>
      <c r="T56" s="175">
        <v>0</v>
      </c>
      <c r="U56" s="251">
        <v>0</v>
      </c>
      <c r="V56" s="172" t="s">
        <v>345</v>
      </c>
      <c r="W56" s="172">
        <v>0</v>
      </c>
      <c r="X56" s="172">
        <v>0</v>
      </c>
      <c r="Y56" s="172">
        <v>0</v>
      </c>
      <c r="Z56" s="172">
        <v>0</v>
      </c>
      <c r="AA56" s="172">
        <v>0</v>
      </c>
      <c r="AB56" s="172">
        <v>0</v>
      </c>
      <c r="AC56" s="251">
        <v>0</v>
      </c>
      <c r="AD56" s="172">
        <v>0</v>
      </c>
      <c r="AE56" s="172">
        <v>0</v>
      </c>
      <c r="AF56" s="172">
        <v>0</v>
      </c>
      <c r="AG56" s="172">
        <v>0</v>
      </c>
      <c r="AH56" s="252">
        <v>65507.429999999702</v>
      </c>
      <c r="AI56" s="172">
        <v>0</v>
      </c>
      <c r="AJ56" s="172">
        <v>-65507.429999999702</v>
      </c>
      <c r="AK56" s="253">
        <v>0</v>
      </c>
      <c r="AL56" s="176">
        <v>1.5285574947483838E-2</v>
      </c>
      <c r="AM56" s="172">
        <v>12536934.66</v>
      </c>
      <c r="AN56" s="173">
        <v>0</v>
      </c>
      <c r="AO56" s="176">
        <v>0</v>
      </c>
      <c r="AP56" s="172">
        <v>0</v>
      </c>
      <c r="AQ56" s="177">
        <v>1</v>
      </c>
      <c r="AR56" s="172">
        <v>0</v>
      </c>
      <c r="AS56" s="172">
        <v>0</v>
      </c>
      <c r="AT56" s="172">
        <v>65507.429999999702</v>
      </c>
      <c r="AU56" s="172">
        <v>0</v>
      </c>
      <c r="AV56" s="172">
        <v>-65507.429999999702</v>
      </c>
      <c r="AW56" s="172">
        <v>0</v>
      </c>
      <c r="AX56" s="172">
        <v>65507.429999999702</v>
      </c>
      <c r="AY56" s="172">
        <v>0</v>
      </c>
      <c r="AZ56" s="172">
        <v>-65507.429999999702</v>
      </c>
      <c r="BA56" s="172">
        <v>0</v>
      </c>
      <c r="BB56" s="172">
        <v>0</v>
      </c>
      <c r="BC56" s="172">
        <v>0</v>
      </c>
      <c r="BD56" s="172">
        <v>65507.429999999702</v>
      </c>
      <c r="BE56" s="172">
        <v>0</v>
      </c>
      <c r="BF56" s="172">
        <v>-65507.429999999702</v>
      </c>
      <c r="BG56" s="172">
        <v>0</v>
      </c>
      <c r="BH56" s="172">
        <v>65507.429999999702</v>
      </c>
      <c r="BI56" s="172">
        <v>0</v>
      </c>
      <c r="BJ56" s="172">
        <v>-65507.429999999702</v>
      </c>
      <c r="BK56" s="172">
        <v>0</v>
      </c>
      <c r="BL56" s="172">
        <v>0</v>
      </c>
      <c r="BM56" s="172" t="s">
        <v>346</v>
      </c>
      <c r="BN56" s="172">
        <v>0</v>
      </c>
      <c r="BO56" s="172" t="b">
        <v>0</v>
      </c>
      <c r="BP56" s="172">
        <v>-65507.429999999702</v>
      </c>
      <c r="BQ56" s="174">
        <v>0</v>
      </c>
      <c r="BR56" s="173">
        <v>0</v>
      </c>
      <c r="BS56" s="179">
        <v>74</v>
      </c>
      <c r="BT56" s="173">
        <v>0</v>
      </c>
      <c r="BU56" s="237">
        <v>0</v>
      </c>
      <c r="BV56" s="173">
        <v>283</v>
      </c>
      <c r="BW56" s="180">
        <v>0</v>
      </c>
      <c r="BX56" s="180">
        <v>0</v>
      </c>
      <c r="BY56" s="172">
        <v>0</v>
      </c>
      <c r="BZ56" s="172">
        <v>-12500000</v>
      </c>
      <c r="CA56" s="172">
        <v>-12602442.09</v>
      </c>
      <c r="CB56" s="172">
        <v>-65507.429999999702</v>
      </c>
      <c r="CC56" s="172">
        <v>0</v>
      </c>
      <c r="CD56" s="172">
        <v>0</v>
      </c>
      <c r="CE56" s="172">
        <v>0</v>
      </c>
      <c r="CF56" s="172">
        <v>0</v>
      </c>
      <c r="CG56" s="172">
        <v>65507.429999999702</v>
      </c>
      <c r="CH56" s="172">
        <v>0</v>
      </c>
      <c r="CI56" s="172">
        <v>-65507.429999999702</v>
      </c>
      <c r="CJ56" s="172">
        <v>0</v>
      </c>
      <c r="CK56" s="173">
        <v>0</v>
      </c>
      <c r="CL56" s="173">
        <v>0</v>
      </c>
    </row>
    <row r="57" spans="1:90" outlineLevel="3" x14ac:dyDescent="0.25">
      <c r="A57" s="143" t="s">
        <v>435</v>
      </c>
      <c r="B57" s="143" t="s">
        <v>425</v>
      </c>
      <c r="C57" s="143" t="s">
        <v>419</v>
      </c>
      <c r="D57" s="143" t="s">
        <v>420</v>
      </c>
      <c r="E57" s="143" t="s">
        <v>216</v>
      </c>
      <c r="F57" s="143" t="s">
        <v>203</v>
      </c>
      <c r="G57" s="143" t="s">
        <v>426</v>
      </c>
      <c r="H57" s="143" t="s">
        <v>342</v>
      </c>
      <c r="I57" s="169" t="s">
        <v>392</v>
      </c>
      <c r="J57" s="171">
        <v>1</v>
      </c>
      <c r="K57" s="171">
        <v>1</v>
      </c>
      <c r="L57" s="173">
        <v>0</v>
      </c>
      <c r="M57" s="173">
        <v>0</v>
      </c>
      <c r="N57" s="173">
        <v>0</v>
      </c>
      <c r="O57" s="172">
        <v>1302980</v>
      </c>
      <c r="P57" s="173">
        <v>1302980</v>
      </c>
      <c r="Q57" s="173">
        <v>0</v>
      </c>
      <c r="R57" s="175" t="s">
        <v>437</v>
      </c>
      <c r="S57" s="175">
        <v>0</v>
      </c>
      <c r="T57" s="175">
        <v>0</v>
      </c>
      <c r="U57" s="251">
        <v>1302980</v>
      </c>
      <c r="V57" s="172" t="s">
        <v>345</v>
      </c>
      <c r="W57" s="172">
        <v>0</v>
      </c>
      <c r="X57" s="172">
        <v>0</v>
      </c>
      <c r="Y57" s="172">
        <v>0</v>
      </c>
      <c r="Z57" s="172">
        <v>0</v>
      </c>
      <c r="AA57" s="172">
        <v>0</v>
      </c>
      <c r="AB57" s="172">
        <v>0</v>
      </c>
      <c r="AC57" s="251">
        <v>1302980</v>
      </c>
      <c r="AD57" s="172">
        <v>0</v>
      </c>
      <c r="AE57" s="172">
        <v>0</v>
      </c>
      <c r="AF57" s="172">
        <v>0</v>
      </c>
      <c r="AG57" s="172">
        <v>0</v>
      </c>
      <c r="AH57" s="252">
        <v>0</v>
      </c>
      <c r="AI57" s="172">
        <v>0</v>
      </c>
      <c r="AJ57" s="172">
        <v>0</v>
      </c>
      <c r="AK57" s="253">
        <v>0</v>
      </c>
      <c r="AL57" s="176">
        <v>0</v>
      </c>
      <c r="AM57" s="172">
        <v>1302980</v>
      </c>
      <c r="AN57" s="173">
        <v>0</v>
      </c>
      <c r="AO57" s="176">
        <v>0</v>
      </c>
      <c r="AP57" s="172">
        <v>1302980</v>
      </c>
      <c r="AQ57" s="177">
        <v>1</v>
      </c>
      <c r="AR57" s="172">
        <v>0</v>
      </c>
      <c r="AS57" s="172">
        <v>1302980</v>
      </c>
      <c r="AT57" s="172">
        <v>0</v>
      </c>
      <c r="AU57" s="172">
        <v>0</v>
      </c>
      <c r="AV57" s="172">
        <v>0</v>
      </c>
      <c r="AW57" s="172">
        <v>0</v>
      </c>
      <c r="AX57" s="172">
        <v>0</v>
      </c>
      <c r="AY57" s="172">
        <v>0</v>
      </c>
      <c r="AZ57" s="172">
        <v>0</v>
      </c>
      <c r="BA57" s="172">
        <v>0</v>
      </c>
      <c r="BB57" s="172" t="s">
        <v>203</v>
      </c>
      <c r="BC57" s="172" t="s">
        <v>203</v>
      </c>
      <c r="BD57" s="172">
        <v>0</v>
      </c>
      <c r="BE57" s="172">
        <v>0</v>
      </c>
      <c r="BF57" s="172">
        <v>0</v>
      </c>
      <c r="BG57" s="172">
        <v>0</v>
      </c>
      <c r="BH57" s="172">
        <v>0</v>
      </c>
      <c r="BI57" s="172">
        <v>0</v>
      </c>
      <c r="BJ57" s="172">
        <v>0</v>
      </c>
      <c r="BK57" s="172">
        <v>0</v>
      </c>
      <c r="BL57" s="172">
        <v>1302980</v>
      </c>
      <c r="BM57" s="172" t="s">
        <v>346</v>
      </c>
      <c r="BN57" s="172">
        <v>0</v>
      </c>
      <c r="BO57" s="172" t="b">
        <v>0</v>
      </c>
      <c r="BP57" s="172">
        <v>0</v>
      </c>
      <c r="BQ57" s="174">
        <v>0</v>
      </c>
      <c r="BR57" s="173">
        <v>0</v>
      </c>
      <c r="BS57" s="179">
        <v>74</v>
      </c>
      <c r="BT57" s="173">
        <v>0</v>
      </c>
      <c r="BU57" s="237">
        <v>0</v>
      </c>
      <c r="BV57" s="173">
        <v>285</v>
      </c>
      <c r="BW57" s="180">
        <v>0</v>
      </c>
      <c r="BX57" s="180">
        <v>0</v>
      </c>
      <c r="BY57" s="172">
        <v>0</v>
      </c>
      <c r="BZ57" s="172">
        <v>0</v>
      </c>
      <c r="CA57" s="172">
        <v>0</v>
      </c>
      <c r="CB57" s="172">
        <v>1302980</v>
      </c>
      <c r="CC57" s="172">
        <v>0</v>
      </c>
      <c r="CD57" s="172">
        <v>0</v>
      </c>
      <c r="CE57" s="172">
        <v>0</v>
      </c>
      <c r="CF57" s="172">
        <v>0</v>
      </c>
      <c r="CG57" s="172">
        <v>0</v>
      </c>
      <c r="CH57" s="172">
        <v>0</v>
      </c>
      <c r="CI57" s="172">
        <v>0</v>
      </c>
      <c r="CJ57" s="172">
        <v>0</v>
      </c>
      <c r="CK57" s="173">
        <v>0</v>
      </c>
      <c r="CL57" s="173">
        <v>0</v>
      </c>
    </row>
    <row r="58" spans="1:90" outlineLevel="3" x14ac:dyDescent="0.25">
      <c r="A58" s="143" t="s">
        <v>435</v>
      </c>
      <c r="B58" s="143" t="s">
        <v>425</v>
      </c>
      <c r="C58" s="143" t="s">
        <v>419</v>
      </c>
      <c r="D58" s="143" t="s">
        <v>420</v>
      </c>
      <c r="E58" s="143" t="s">
        <v>217</v>
      </c>
      <c r="F58" s="143" t="s">
        <v>203</v>
      </c>
      <c r="G58" s="143" t="s">
        <v>426</v>
      </c>
      <c r="H58" s="143" t="s">
        <v>342</v>
      </c>
      <c r="I58" s="169" t="s">
        <v>392</v>
      </c>
      <c r="J58" s="171">
        <v>1</v>
      </c>
      <c r="K58" s="171">
        <v>1</v>
      </c>
      <c r="L58" s="173">
        <v>0</v>
      </c>
      <c r="M58" s="173">
        <v>0</v>
      </c>
      <c r="N58" s="173">
        <v>0</v>
      </c>
      <c r="O58" s="172">
        <v>429210</v>
      </c>
      <c r="P58" s="173">
        <v>429210</v>
      </c>
      <c r="Q58" s="173">
        <v>0</v>
      </c>
      <c r="R58" s="175" t="s">
        <v>438</v>
      </c>
      <c r="S58" s="175">
        <v>0</v>
      </c>
      <c r="T58" s="175">
        <v>0</v>
      </c>
      <c r="U58" s="251">
        <v>429210</v>
      </c>
      <c r="V58" s="172" t="s">
        <v>345</v>
      </c>
      <c r="W58" s="172">
        <v>0</v>
      </c>
      <c r="X58" s="172">
        <v>0</v>
      </c>
      <c r="Y58" s="172">
        <v>0</v>
      </c>
      <c r="Z58" s="172">
        <v>0</v>
      </c>
      <c r="AA58" s="172">
        <v>0</v>
      </c>
      <c r="AB58" s="172">
        <v>0</v>
      </c>
      <c r="AC58" s="251">
        <v>429210</v>
      </c>
      <c r="AD58" s="172">
        <v>0</v>
      </c>
      <c r="AE58" s="172">
        <v>0</v>
      </c>
      <c r="AF58" s="172">
        <v>0</v>
      </c>
      <c r="AG58" s="172">
        <v>0</v>
      </c>
      <c r="AH58" s="252">
        <v>0</v>
      </c>
      <c r="AI58" s="172">
        <v>0</v>
      </c>
      <c r="AJ58" s="172">
        <v>0</v>
      </c>
      <c r="AK58" s="253">
        <v>0</v>
      </c>
      <c r="AL58" s="176">
        <v>0</v>
      </c>
      <c r="AM58" s="172">
        <v>429210</v>
      </c>
      <c r="AN58" s="173">
        <v>0</v>
      </c>
      <c r="AO58" s="176">
        <v>0</v>
      </c>
      <c r="AP58" s="172">
        <v>429210</v>
      </c>
      <c r="AQ58" s="177">
        <v>1</v>
      </c>
      <c r="AR58" s="172">
        <v>0</v>
      </c>
      <c r="AS58" s="172">
        <v>429210</v>
      </c>
      <c r="AT58" s="172">
        <v>0</v>
      </c>
      <c r="AU58" s="172">
        <v>0</v>
      </c>
      <c r="AV58" s="172">
        <v>0</v>
      </c>
      <c r="AW58" s="172">
        <v>0</v>
      </c>
      <c r="AX58" s="172">
        <v>0</v>
      </c>
      <c r="AY58" s="172">
        <v>0</v>
      </c>
      <c r="AZ58" s="172">
        <v>0</v>
      </c>
      <c r="BA58" s="172">
        <v>0</v>
      </c>
      <c r="BB58" s="172" t="s">
        <v>203</v>
      </c>
      <c r="BC58" s="172" t="s">
        <v>203</v>
      </c>
      <c r="BD58" s="172">
        <v>0</v>
      </c>
      <c r="BE58" s="172">
        <v>0</v>
      </c>
      <c r="BF58" s="172">
        <v>0</v>
      </c>
      <c r="BG58" s="172">
        <v>0</v>
      </c>
      <c r="BH58" s="172">
        <v>0</v>
      </c>
      <c r="BI58" s="172">
        <v>0</v>
      </c>
      <c r="BJ58" s="172">
        <v>0</v>
      </c>
      <c r="BK58" s="172">
        <v>0</v>
      </c>
      <c r="BL58" s="172">
        <v>429210</v>
      </c>
      <c r="BM58" s="172" t="s">
        <v>346</v>
      </c>
      <c r="BN58" s="172">
        <v>0</v>
      </c>
      <c r="BO58" s="172" t="b">
        <v>0</v>
      </c>
      <c r="BP58" s="172">
        <v>0</v>
      </c>
      <c r="BQ58" s="174">
        <v>0</v>
      </c>
      <c r="BR58" s="173">
        <v>0</v>
      </c>
      <c r="BS58" s="179">
        <v>74</v>
      </c>
      <c r="BT58" s="173">
        <v>0</v>
      </c>
      <c r="BU58" s="237">
        <v>0</v>
      </c>
      <c r="BV58" s="173">
        <v>301</v>
      </c>
      <c r="BW58" s="180">
        <v>0</v>
      </c>
      <c r="BX58" s="180">
        <v>0</v>
      </c>
      <c r="BY58" s="172">
        <v>0</v>
      </c>
      <c r="BZ58" s="172">
        <v>0</v>
      </c>
      <c r="CA58" s="172">
        <v>0</v>
      </c>
      <c r="CB58" s="172">
        <v>429210</v>
      </c>
      <c r="CC58" s="172">
        <v>0</v>
      </c>
      <c r="CD58" s="172">
        <v>0</v>
      </c>
      <c r="CE58" s="172">
        <v>0</v>
      </c>
      <c r="CF58" s="172">
        <v>0</v>
      </c>
      <c r="CG58" s="172">
        <v>0</v>
      </c>
      <c r="CH58" s="172">
        <v>0</v>
      </c>
      <c r="CI58" s="172">
        <v>0</v>
      </c>
      <c r="CJ58" s="172">
        <v>0</v>
      </c>
      <c r="CK58" s="173">
        <v>0</v>
      </c>
      <c r="CL58" s="173">
        <v>0</v>
      </c>
    </row>
    <row r="59" spans="1:90" outlineLevel="3" x14ac:dyDescent="0.25">
      <c r="A59" s="143" t="s">
        <v>435</v>
      </c>
      <c r="B59" s="143" t="s">
        <v>425</v>
      </c>
      <c r="C59" s="143" t="s">
        <v>419</v>
      </c>
      <c r="D59" s="143" t="s">
        <v>420</v>
      </c>
      <c r="E59" s="143" t="s">
        <v>218</v>
      </c>
      <c r="F59" s="143" t="s">
        <v>203</v>
      </c>
      <c r="G59" s="143" t="s">
        <v>426</v>
      </c>
      <c r="H59" s="143" t="s">
        <v>342</v>
      </c>
      <c r="I59" s="169" t="s">
        <v>392</v>
      </c>
      <c r="J59" s="171">
        <v>1</v>
      </c>
      <c r="K59" s="171">
        <v>1</v>
      </c>
      <c r="L59" s="173">
        <v>0</v>
      </c>
      <c r="M59" s="173">
        <v>0</v>
      </c>
      <c r="N59" s="173">
        <v>0</v>
      </c>
      <c r="O59" s="172">
        <v>470790</v>
      </c>
      <c r="P59" s="173">
        <v>470790</v>
      </c>
      <c r="Q59" s="173">
        <v>0</v>
      </c>
      <c r="R59" s="175" t="s">
        <v>439</v>
      </c>
      <c r="S59" s="175">
        <v>0</v>
      </c>
      <c r="T59" s="175">
        <v>0</v>
      </c>
      <c r="U59" s="251">
        <v>470790</v>
      </c>
      <c r="V59" s="172" t="s">
        <v>345</v>
      </c>
      <c r="W59" s="172">
        <v>0</v>
      </c>
      <c r="X59" s="172">
        <v>0</v>
      </c>
      <c r="Y59" s="172">
        <v>0</v>
      </c>
      <c r="Z59" s="172">
        <v>0</v>
      </c>
      <c r="AA59" s="172">
        <v>0</v>
      </c>
      <c r="AB59" s="172">
        <v>0</v>
      </c>
      <c r="AC59" s="251">
        <v>470790</v>
      </c>
      <c r="AD59" s="172">
        <v>0</v>
      </c>
      <c r="AE59" s="172">
        <v>0</v>
      </c>
      <c r="AF59" s="172">
        <v>0</v>
      </c>
      <c r="AG59" s="172">
        <v>0</v>
      </c>
      <c r="AH59" s="252">
        <v>0</v>
      </c>
      <c r="AI59" s="172">
        <v>0</v>
      </c>
      <c r="AJ59" s="172">
        <v>0</v>
      </c>
      <c r="AK59" s="253">
        <v>0</v>
      </c>
      <c r="AL59" s="176">
        <v>0</v>
      </c>
      <c r="AM59" s="172">
        <v>470790</v>
      </c>
      <c r="AN59" s="173">
        <v>0</v>
      </c>
      <c r="AO59" s="176">
        <v>0</v>
      </c>
      <c r="AP59" s="172">
        <v>470790</v>
      </c>
      <c r="AQ59" s="177">
        <v>1</v>
      </c>
      <c r="AR59" s="172">
        <v>0</v>
      </c>
      <c r="AS59" s="172">
        <v>470790</v>
      </c>
      <c r="AT59" s="172">
        <v>0</v>
      </c>
      <c r="AU59" s="172">
        <v>0</v>
      </c>
      <c r="AV59" s="172">
        <v>0</v>
      </c>
      <c r="AW59" s="172">
        <v>0</v>
      </c>
      <c r="AX59" s="172">
        <v>0</v>
      </c>
      <c r="AY59" s="172">
        <v>0</v>
      </c>
      <c r="AZ59" s="172">
        <v>0</v>
      </c>
      <c r="BA59" s="172">
        <v>0</v>
      </c>
      <c r="BB59" s="172" t="s">
        <v>203</v>
      </c>
      <c r="BC59" s="172" t="s">
        <v>203</v>
      </c>
      <c r="BD59" s="172">
        <v>0</v>
      </c>
      <c r="BE59" s="172">
        <v>0</v>
      </c>
      <c r="BF59" s="172">
        <v>0</v>
      </c>
      <c r="BG59" s="172">
        <v>0</v>
      </c>
      <c r="BH59" s="172">
        <v>0</v>
      </c>
      <c r="BI59" s="172">
        <v>0</v>
      </c>
      <c r="BJ59" s="172">
        <v>0</v>
      </c>
      <c r="BK59" s="172">
        <v>0</v>
      </c>
      <c r="BL59" s="172">
        <v>470790</v>
      </c>
      <c r="BM59" s="172" t="s">
        <v>346</v>
      </c>
      <c r="BN59" s="172">
        <v>0</v>
      </c>
      <c r="BO59" s="172" t="b">
        <v>0</v>
      </c>
      <c r="BP59" s="172">
        <v>0</v>
      </c>
      <c r="BQ59" s="174">
        <v>0</v>
      </c>
      <c r="BR59" s="173">
        <v>0</v>
      </c>
      <c r="BS59" s="179">
        <v>74</v>
      </c>
      <c r="BT59" s="173">
        <v>0</v>
      </c>
      <c r="BU59" s="237">
        <v>0</v>
      </c>
      <c r="BV59" s="173">
        <v>303</v>
      </c>
      <c r="BW59" s="180">
        <v>0</v>
      </c>
      <c r="BX59" s="180">
        <v>0</v>
      </c>
      <c r="BY59" s="172">
        <v>0</v>
      </c>
      <c r="BZ59" s="172">
        <v>0</v>
      </c>
      <c r="CA59" s="172">
        <v>0</v>
      </c>
      <c r="CB59" s="172">
        <v>470790</v>
      </c>
      <c r="CC59" s="172">
        <v>0</v>
      </c>
      <c r="CD59" s="172">
        <v>0</v>
      </c>
      <c r="CE59" s="172">
        <v>0</v>
      </c>
      <c r="CF59" s="172">
        <v>0</v>
      </c>
      <c r="CG59" s="172">
        <v>0</v>
      </c>
      <c r="CH59" s="172">
        <v>0</v>
      </c>
      <c r="CI59" s="172">
        <v>0</v>
      </c>
      <c r="CJ59" s="172">
        <v>0</v>
      </c>
      <c r="CK59" s="173">
        <v>0</v>
      </c>
      <c r="CL59" s="173">
        <v>0</v>
      </c>
    </row>
    <row r="60" spans="1:90" outlineLevel="3" x14ac:dyDescent="0.25">
      <c r="A60" s="143" t="s">
        <v>435</v>
      </c>
      <c r="B60" s="143" t="s">
        <v>425</v>
      </c>
      <c r="C60" s="143" t="s">
        <v>419</v>
      </c>
      <c r="D60" s="143" t="s">
        <v>420</v>
      </c>
      <c r="E60" s="143" t="s">
        <v>219</v>
      </c>
      <c r="F60" s="143" t="s">
        <v>203</v>
      </c>
      <c r="G60" s="143" t="s">
        <v>426</v>
      </c>
      <c r="H60" s="143" t="s">
        <v>342</v>
      </c>
      <c r="I60" s="169" t="s">
        <v>392</v>
      </c>
      <c r="J60" s="171">
        <v>1</v>
      </c>
      <c r="K60" s="171">
        <v>1</v>
      </c>
      <c r="L60" s="173">
        <v>0</v>
      </c>
      <c r="M60" s="173">
        <v>0</v>
      </c>
      <c r="N60" s="173">
        <v>0</v>
      </c>
      <c r="O60" s="172">
        <v>7121810</v>
      </c>
      <c r="P60" s="173">
        <v>7121810</v>
      </c>
      <c r="Q60" s="173">
        <v>0</v>
      </c>
      <c r="R60" s="175" t="s">
        <v>440</v>
      </c>
      <c r="S60" s="175">
        <v>0</v>
      </c>
      <c r="T60" s="175">
        <v>0</v>
      </c>
      <c r="U60" s="251">
        <v>7121810</v>
      </c>
      <c r="V60" s="172" t="s">
        <v>345</v>
      </c>
      <c r="W60" s="172">
        <v>0</v>
      </c>
      <c r="X60" s="172">
        <v>0</v>
      </c>
      <c r="Y60" s="172">
        <v>0</v>
      </c>
      <c r="Z60" s="172">
        <v>0</v>
      </c>
      <c r="AA60" s="172">
        <v>0</v>
      </c>
      <c r="AB60" s="172">
        <v>0</v>
      </c>
      <c r="AC60" s="251">
        <v>7121810</v>
      </c>
      <c r="AD60" s="172">
        <v>0</v>
      </c>
      <c r="AE60" s="172">
        <v>0</v>
      </c>
      <c r="AF60" s="172">
        <v>0</v>
      </c>
      <c r="AG60" s="172">
        <v>0</v>
      </c>
      <c r="AH60" s="252">
        <v>0</v>
      </c>
      <c r="AI60" s="172">
        <v>0</v>
      </c>
      <c r="AJ60" s="172">
        <v>0</v>
      </c>
      <c r="AK60" s="253">
        <v>0</v>
      </c>
      <c r="AL60" s="176">
        <v>0</v>
      </c>
      <c r="AM60" s="172">
        <v>7121810</v>
      </c>
      <c r="AN60" s="173">
        <v>0</v>
      </c>
      <c r="AO60" s="176">
        <v>0</v>
      </c>
      <c r="AP60" s="172">
        <v>7121810</v>
      </c>
      <c r="AQ60" s="177">
        <v>1</v>
      </c>
      <c r="AR60" s="172">
        <v>0</v>
      </c>
      <c r="AS60" s="172">
        <v>7121810</v>
      </c>
      <c r="AT60" s="172">
        <v>0</v>
      </c>
      <c r="AU60" s="172">
        <v>0</v>
      </c>
      <c r="AV60" s="172">
        <v>0</v>
      </c>
      <c r="AW60" s="172">
        <v>0</v>
      </c>
      <c r="AX60" s="172">
        <v>0</v>
      </c>
      <c r="AY60" s="172">
        <v>0</v>
      </c>
      <c r="AZ60" s="172">
        <v>0</v>
      </c>
      <c r="BA60" s="172">
        <v>0</v>
      </c>
      <c r="BB60" s="172" t="s">
        <v>203</v>
      </c>
      <c r="BC60" s="172" t="s">
        <v>203</v>
      </c>
      <c r="BD60" s="172">
        <v>0</v>
      </c>
      <c r="BE60" s="172">
        <v>0</v>
      </c>
      <c r="BF60" s="172">
        <v>0</v>
      </c>
      <c r="BG60" s="172">
        <v>0</v>
      </c>
      <c r="BH60" s="172">
        <v>0</v>
      </c>
      <c r="BI60" s="172">
        <v>0</v>
      </c>
      <c r="BJ60" s="172">
        <v>0</v>
      </c>
      <c r="BK60" s="172">
        <v>0</v>
      </c>
      <c r="BL60" s="172">
        <v>7121810</v>
      </c>
      <c r="BM60" s="172" t="s">
        <v>346</v>
      </c>
      <c r="BN60" s="172">
        <v>0</v>
      </c>
      <c r="BO60" s="172" t="b">
        <v>0</v>
      </c>
      <c r="BP60" s="172">
        <v>0</v>
      </c>
      <c r="BQ60" s="174">
        <v>0</v>
      </c>
      <c r="BR60" s="173">
        <v>0</v>
      </c>
      <c r="BS60" s="179">
        <v>74</v>
      </c>
      <c r="BT60" s="173">
        <v>0</v>
      </c>
      <c r="BU60" s="237">
        <v>0</v>
      </c>
      <c r="BV60" s="173">
        <v>305</v>
      </c>
      <c r="BW60" s="180">
        <v>0</v>
      </c>
      <c r="BX60" s="180">
        <v>0</v>
      </c>
      <c r="BY60" s="172">
        <v>0</v>
      </c>
      <c r="BZ60" s="172">
        <v>0</v>
      </c>
      <c r="CA60" s="172">
        <v>0</v>
      </c>
      <c r="CB60" s="172">
        <v>7121810</v>
      </c>
      <c r="CC60" s="172">
        <v>0</v>
      </c>
      <c r="CD60" s="172">
        <v>0</v>
      </c>
      <c r="CE60" s="172">
        <v>0</v>
      </c>
      <c r="CF60" s="172">
        <v>0</v>
      </c>
      <c r="CG60" s="172">
        <v>0</v>
      </c>
      <c r="CH60" s="172">
        <v>0</v>
      </c>
      <c r="CI60" s="172">
        <v>0</v>
      </c>
      <c r="CJ60" s="172">
        <v>0</v>
      </c>
      <c r="CK60" s="173">
        <v>0</v>
      </c>
      <c r="CL60" s="173">
        <v>0</v>
      </c>
    </row>
    <row r="61" spans="1:90" s="195" customFormat="1" ht="20.100000000000001" customHeight="1" outlineLevel="2" x14ac:dyDescent="0.25">
      <c r="A61" s="182" t="s">
        <v>441</v>
      </c>
      <c r="B61" s="182"/>
      <c r="C61" s="182"/>
      <c r="D61" s="182"/>
      <c r="E61" s="182"/>
      <c r="F61" s="182"/>
      <c r="G61" s="182"/>
      <c r="H61" s="182"/>
      <c r="I61" s="183"/>
      <c r="J61" s="185"/>
      <c r="K61" s="185"/>
      <c r="L61" s="187"/>
      <c r="M61" s="187"/>
      <c r="N61" s="187"/>
      <c r="O61" s="186"/>
      <c r="P61" s="187"/>
      <c r="Q61" s="187"/>
      <c r="R61" s="189">
        <v>0</v>
      </c>
      <c r="S61" s="189">
        <v>0</v>
      </c>
      <c r="T61" s="189">
        <v>0</v>
      </c>
      <c r="U61" s="254">
        <v>9324790</v>
      </c>
      <c r="V61" s="186"/>
      <c r="W61" s="186">
        <v>0</v>
      </c>
      <c r="X61" s="186">
        <v>0</v>
      </c>
      <c r="Y61" s="186">
        <v>0</v>
      </c>
      <c r="Z61" s="186">
        <v>0</v>
      </c>
      <c r="AA61" s="186">
        <v>0</v>
      </c>
      <c r="AB61" s="186">
        <v>0</v>
      </c>
      <c r="AC61" s="254">
        <v>9324790</v>
      </c>
      <c r="AD61" s="186">
        <v>0</v>
      </c>
      <c r="AE61" s="186">
        <v>0</v>
      </c>
      <c r="AF61" s="186">
        <v>0</v>
      </c>
      <c r="AG61" s="186">
        <v>0</v>
      </c>
      <c r="AH61" s="255">
        <v>65507.429999999702</v>
      </c>
      <c r="AI61" s="186">
        <v>0</v>
      </c>
      <c r="AJ61" s="186">
        <v>-65507.429999999702</v>
      </c>
      <c r="AK61" s="256">
        <v>0</v>
      </c>
      <c r="AL61" s="190"/>
      <c r="AM61" s="186">
        <v>21861724.66</v>
      </c>
      <c r="AN61" s="187"/>
      <c r="AO61" s="190"/>
      <c r="AP61" s="186">
        <v>9324790</v>
      </c>
      <c r="AQ61" s="191"/>
      <c r="AR61" s="186"/>
      <c r="AS61" s="186"/>
      <c r="AT61" s="186">
        <v>65507.429999999702</v>
      </c>
      <c r="AU61" s="186">
        <v>0</v>
      </c>
      <c r="AV61" s="186">
        <v>-65507.429999999702</v>
      </c>
      <c r="AW61" s="186">
        <v>0</v>
      </c>
      <c r="AX61" s="186">
        <v>65507.429999999702</v>
      </c>
      <c r="AY61" s="186">
        <v>0</v>
      </c>
      <c r="AZ61" s="186">
        <v>-65507.429999999702</v>
      </c>
      <c r="BA61" s="186">
        <v>0</v>
      </c>
      <c r="BB61" s="186"/>
      <c r="BC61" s="186"/>
      <c r="BD61" s="186"/>
      <c r="BE61" s="186"/>
      <c r="BF61" s="186"/>
      <c r="BG61" s="186"/>
      <c r="BH61" s="186"/>
      <c r="BI61" s="186"/>
      <c r="BJ61" s="186"/>
      <c r="BK61" s="186"/>
      <c r="BL61" s="186"/>
      <c r="BM61" s="186"/>
      <c r="BN61" s="186"/>
      <c r="BO61" s="186"/>
      <c r="BP61" s="186"/>
      <c r="BQ61" s="188"/>
      <c r="BR61" s="187"/>
      <c r="BS61" s="193"/>
      <c r="BT61" s="187"/>
      <c r="BU61" s="230"/>
      <c r="BV61" s="187"/>
      <c r="BW61" s="194"/>
      <c r="BX61" s="194"/>
      <c r="BY61" s="186"/>
      <c r="BZ61" s="186"/>
      <c r="CA61" s="186">
        <v>-12602442.09</v>
      </c>
      <c r="CB61" s="186"/>
      <c r="CC61" s="186"/>
      <c r="CD61" s="186"/>
      <c r="CE61" s="186"/>
      <c r="CF61" s="186"/>
      <c r="CG61" s="186"/>
      <c r="CH61" s="186"/>
      <c r="CI61" s="186"/>
      <c r="CJ61" s="186"/>
      <c r="CK61" s="187"/>
      <c r="CL61" s="187"/>
    </row>
    <row r="62" spans="1:90" outlineLevel="3" x14ac:dyDescent="0.25">
      <c r="A62" s="143" t="s">
        <v>442</v>
      </c>
      <c r="B62" s="143" t="s">
        <v>425</v>
      </c>
      <c r="C62" s="143" t="s">
        <v>419</v>
      </c>
      <c r="D62" s="143" t="s">
        <v>420</v>
      </c>
      <c r="E62" s="143" t="s">
        <v>220</v>
      </c>
      <c r="F62" s="143" t="s">
        <v>443</v>
      </c>
      <c r="G62" s="143" t="s">
        <v>426</v>
      </c>
      <c r="H62" s="143" t="s">
        <v>380</v>
      </c>
      <c r="I62" s="169" t="s">
        <v>380</v>
      </c>
      <c r="J62" s="170">
        <v>1</v>
      </c>
      <c r="K62" s="171">
        <v>1</v>
      </c>
      <c r="L62" s="173">
        <v>0</v>
      </c>
      <c r="M62" s="173">
        <v>0</v>
      </c>
      <c r="N62" s="173">
        <v>1</v>
      </c>
      <c r="O62" s="172">
        <v>3486752</v>
      </c>
      <c r="P62" s="173">
        <v>3486752</v>
      </c>
      <c r="Q62" s="173">
        <v>0</v>
      </c>
      <c r="R62" s="175" t="s">
        <v>444</v>
      </c>
      <c r="S62" s="175">
        <v>0</v>
      </c>
      <c r="T62" s="175">
        <v>0</v>
      </c>
      <c r="U62" s="251">
        <v>3486752</v>
      </c>
      <c r="V62" s="172" t="s">
        <v>345</v>
      </c>
      <c r="W62" s="172">
        <v>0</v>
      </c>
      <c r="X62" s="172">
        <v>0</v>
      </c>
      <c r="Y62" s="172">
        <v>0</v>
      </c>
      <c r="Z62" s="172">
        <v>0</v>
      </c>
      <c r="AA62" s="172">
        <v>0</v>
      </c>
      <c r="AB62" s="172">
        <v>0</v>
      </c>
      <c r="AC62" s="251">
        <v>3486752</v>
      </c>
      <c r="AD62" s="172">
        <v>0</v>
      </c>
      <c r="AE62" s="172">
        <v>0</v>
      </c>
      <c r="AF62" s="172">
        <v>0</v>
      </c>
      <c r="AG62" s="172">
        <v>0</v>
      </c>
      <c r="AH62" s="252">
        <v>0</v>
      </c>
      <c r="AI62" s="172">
        <v>0</v>
      </c>
      <c r="AJ62" s="172">
        <v>0</v>
      </c>
      <c r="AK62" s="253">
        <v>0</v>
      </c>
      <c r="AL62" s="176">
        <v>0</v>
      </c>
      <c r="AM62" s="172">
        <v>3486752</v>
      </c>
      <c r="AN62" s="176">
        <v>0</v>
      </c>
      <c r="AO62" s="176">
        <v>0</v>
      </c>
      <c r="AP62" s="172">
        <v>3486752</v>
      </c>
      <c r="AQ62" s="177">
        <v>1</v>
      </c>
      <c r="AR62" s="172">
        <v>3486752</v>
      </c>
      <c r="AS62" s="172">
        <v>3486752</v>
      </c>
      <c r="AT62" s="172">
        <v>0</v>
      </c>
      <c r="AU62" s="172">
        <v>0</v>
      </c>
      <c r="AV62" s="172">
        <v>0</v>
      </c>
      <c r="AW62" s="172">
        <v>0</v>
      </c>
      <c r="AX62" s="172">
        <v>0</v>
      </c>
      <c r="AY62" s="172">
        <v>0</v>
      </c>
      <c r="AZ62" s="172">
        <v>0</v>
      </c>
      <c r="BA62" s="172">
        <v>0</v>
      </c>
      <c r="BB62" s="172" t="s">
        <v>203</v>
      </c>
      <c r="BC62" s="172" t="s">
        <v>203</v>
      </c>
      <c r="BD62" s="172">
        <v>0</v>
      </c>
      <c r="BE62" s="172">
        <v>0</v>
      </c>
      <c r="BF62" s="172">
        <v>0</v>
      </c>
      <c r="BG62" s="172">
        <v>0</v>
      </c>
      <c r="BH62" s="172">
        <v>0</v>
      </c>
      <c r="BI62" s="172">
        <v>0</v>
      </c>
      <c r="BJ62" s="172">
        <v>0</v>
      </c>
      <c r="BK62" s="172">
        <v>0</v>
      </c>
      <c r="BL62" s="172">
        <v>3486752</v>
      </c>
      <c r="BM62" s="172" t="s">
        <v>346</v>
      </c>
      <c r="BN62" s="172">
        <v>0</v>
      </c>
      <c r="BO62" s="172" t="b">
        <v>0</v>
      </c>
      <c r="BP62" s="172">
        <v>0</v>
      </c>
      <c r="BQ62" s="173">
        <v>0</v>
      </c>
      <c r="BR62" s="173">
        <v>0</v>
      </c>
      <c r="BS62" s="179">
        <v>67</v>
      </c>
      <c r="BT62" s="173">
        <v>0</v>
      </c>
      <c r="BU62" s="237">
        <v>0</v>
      </c>
      <c r="BV62" s="173">
        <v>127</v>
      </c>
      <c r="BW62" s="180">
        <v>0</v>
      </c>
      <c r="BX62" s="180">
        <v>0</v>
      </c>
      <c r="BY62" s="172">
        <v>0</v>
      </c>
      <c r="BZ62" s="172">
        <v>0</v>
      </c>
      <c r="CA62" s="172">
        <v>0</v>
      </c>
      <c r="CB62" s="172">
        <v>3486752</v>
      </c>
      <c r="CC62" s="172">
        <v>0</v>
      </c>
      <c r="CD62" s="172">
        <v>0</v>
      </c>
      <c r="CE62" s="172">
        <v>0</v>
      </c>
      <c r="CF62" s="172">
        <v>0</v>
      </c>
      <c r="CG62" s="172">
        <v>0</v>
      </c>
      <c r="CH62" s="172">
        <v>0</v>
      </c>
      <c r="CI62" s="172">
        <v>0</v>
      </c>
      <c r="CJ62" s="172">
        <v>0</v>
      </c>
      <c r="CK62" s="173">
        <v>0</v>
      </c>
      <c r="CL62" s="173">
        <v>0</v>
      </c>
    </row>
    <row r="63" spans="1:90" s="195" customFormat="1" ht="20.100000000000001" customHeight="1" outlineLevel="2" x14ac:dyDescent="0.25">
      <c r="A63" s="182" t="s">
        <v>445</v>
      </c>
      <c r="B63" s="182"/>
      <c r="C63" s="182"/>
      <c r="D63" s="182"/>
      <c r="E63" s="182"/>
      <c r="F63" s="182"/>
      <c r="G63" s="182"/>
      <c r="H63" s="182"/>
      <c r="I63" s="183"/>
      <c r="J63" s="184"/>
      <c r="K63" s="185"/>
      <c r="L63" s="187"/>
      <c r="M63" s="187"/>
      <c r="N63" s="187"/>
      <c r="O63" s="186"/>
      <c r="P63" s="187"/>
      <c r="Q63" s="187"/>
      <c r="R63" s="189">
        <v>0</v>
      </c>
      <c r="S63" s="189">
        <v>0</v>
      </c>
      <c r="T63" s="189">
        <v>0</v>
      </c>
      <c r="U63" s="254">
        <v>3486752</v>
      </c>
      <c r="V63" s="186"/>
      <c r="W63" s="186">
        <v>0</v>
      </c>
      <c r="X63" s="186">
        <v>0</v>
      </c>
      <c r="Y63" s="186">
        <v>0</v>
      </c>
      <c r="Z63" s="186">
        <v>0</v>
      </c>
      <c r="AA63" s="186">
        <v>0</v>
      </c>
      <c r="AB63" s="186">
        <v>0</v>
      </c>
      <c r="AC63" s="254">
        <v>3486752</v>
      </c>
      <c r="AD63" s="186">
        <v>0</v>
      </c>
      <c r="AE63" s="186">
        <v>0</v>
      </c>
      <c r="AF63" s="186">
        <v>0</v>
      </c>
      <c r="AG63" s="186">
        <v>0</v>
      </c>
      <c r="AH63" s="255">
        <v>0</v>
      </c>
      <c r="AI63" s="186">
        <v>0</v>
      </c>
      <c r="AJ63" s="186">
        <v>0</v>
      </c>
      <c r="AK63" s="256">
        <v>0</v>
      </c>
      <c r="AL63" s="190"/>
      <c r="AM63" s="186">
        <v>3486752</v>
      </c>
      <c r="AN63" s="190"/>
      <c r="AO63" s="190"/>
      <c r="AP63" s="186">
        <v>3486752</v>
      </c>
      <c r="AQ63" s="191"/>
      <c r="AR63" s="186"/>
      <c r="AS63" s="186"/>
      <c r="AT63" s="186">
        <v>0</v>
      </c>
      <c r="AU63" s="186">
        <v>0</v>
      </c>
      <c r="AV63" s="186">
        <v>0</v>
      </c>
      <c r="AW63" s="186">
        <v>0</v>
      </c>
      <c r="AX63" s="186">
        <v>0</v>
      </c>
      <c r="AY63" s="186">
        <v>0</v>
      </c>
      <c r="AZ63" s="186">
        <v>0</v>
      </c>
      <c r="BA63" s="186">
        <v>0</v>
      </c>
      <c r="BB63" s="186"/>
      <c r="BC63" s="186"/>
      <c r="BD63" s="186"/>
      <c r="BE63" s="186"/>
      <c r="BF63" s="186"/>
      <c r="BG63" s="186"/>
      <c r="BH63" s="186"/>
      <c r="BI63" s="186"/>
      <c r="BJ63" s="186"/>
      <c r="BK63" s="186"/>
      <c r="BL63" s="186"/>
      <c r="BM63" s="186"/>
      <c r="BN63" s="186"/>
      <c r="BO63" s="186"/>
      <c r="BP63" s="186"/>
      <c r="BQ63" s="187"/>
      <c r="BR63" s="187"/>
      <c r="BS63" s="193"/>
      <c r="BT63" s="187"/>
      <c r="BU63" s="230"/>
      <c r="BV63" s="187"/>
      <c r="BW63" s="194"/>
      <c r="BX63" s="194"/>
      <c r="BY63" s="186"/>
      <c r="BZ63" s="186"/>
      <c r="CA63" s="186">
        <v>0</v>
      </c>
      <c r="CB63" s="186"/>
      <c r="CC63" s="186"/>
      <c r="CD63" s="186"/>
      <c r="CE63" s="186"/>
      <c r="CF63" s="186"/>
      <c r="CG63" s="186"/>
      <c r="CH63" s="186"/>
      <c r="CI63" s="186"/>
      <c r="CJ63" s="186"/>
      <c r="CK63" s="187"/>
      <c r="CL63" s="187"/>
    </row>
    <row r="64" spans="1:90" outlineLevel="3" x14ac:dyDescent="0.25">
      <c r="A64" s="143" t="s">
        <v>446</v>
      </c>
      <c r="B64" s="143" t="s">
        <v>425</v>
      </c>
      <c r="C64" s="143" t="s">
        <v>419</v>
      </c>
      <c r="D64" s="143" t="s">
        <v>420</v>
      </c>
      <c r="E64" s="143" t="s">
        <v>221</v>
      </c>
      <c r="F64" s="143" t="s">
        <v>447</v>
      </c>
      <c r="G64" s="143" t="s">
        <v>426</v>
      </c>
      <c r="H64" s="143" t="s">
        <v>380</v>
      </c>
      <c r="I64" s="169" t="s">
        <v>380</v>
      </c>
      <c r="J64" s="171">
        <v>156250</v>
      </c>
      <c r="K64" s="171">
        <v>156250</v>
      </c>
      <c r="L64" s="173">
        <v>1.6236235873997331E-2</v>
      </c>
      <c r="M64" s="173">
        <v>0</v>
      </c>
      <c r="N64" s="173">
        <v>0.94591984729664402</v>
      </c>
      <c r="O64" s="172">
        <v>5.4251303331928877</v>
      </c>
      <c r="P64" s="173">
        <v>6.3820367416989185</v>
      </c>
      <c r="Q64" s="173">
        <v>-0.95690640850603081</v>
      </c>
      <c r="R64" s="175" t="s">
        <v>448</v>
      </c>
      <c r="S64" s="175">
        <v>0</v>
      </c>
      <c r="T64" s="175">
        <v>0</v>
      </c>
      <c r="U64" s="251">
        <v>847676.61456138873</v>
      </c>
      <c r="V64" s="172" t="s">
        <v>345</v>
      </c>
      <c r="W64" s="172">
        <v>0</v>
      </c>
      <c r="X64" s="172">
        <v>0</v>
      </c>
      <c r="Y64" s="172">
        <v>0</v>
      </c>
      <c r="Z64" s="172">
        <v>0</v>
      </c>
      <c r="AA64" s="172">
        <v>0</v>
      </c>
      <c r="AB64" s="172">
        <v>0</v>
      </c>
      <c r="AC64" s="251">
        <v>997193.24089045601</v>
      </c>
      <c r="AD64" s="172">
        <v>-149516.62632906728</v>
      </c>
      <c r="AE64" s="172">
        <v>0</v>
      </c>
      <c r="AF64" s="172">
        <v>149516.62632906728</v>
      </c>
      <c r="AG64" s="172">
        <v>0</v>
      </c>
      <c r="AH64" s="252">
        <v>-864191.77362275892</v>
      </c>
      <c r="AI64" s="172">
        <v>0</v>
      </c>
      <c r="AJ64" s="172">
        <v>-192145.04801590892</v>
      </c>
      <c r="AK64" s="253">
        <v>-1056336.821638668</v>
      </c>
      <c r="AL64" s="176">
        <v>0</v>
      </c>
      <c r="AM64" s="172">
        <v>1711868.3881841477</v>
      </c>
      <c r="AN64" s="176">
        <v>0</v>
      </c>
      <c r="AO64" s="176">
        <v>21246.636788238695</v>
      </c>
      <c r="AP64" s="172">
        <v>1711868.3881841477</v>
      </c>
      <c r="AQ64" s="177">
        <v>1</v>
      </c>
      <c r="AR64" s="172">
        <v>1237824.8001733427</v>
      </c>
      <c r="AS64" s="172">
        <v>8.375</v>
      </c>
      <c r="AT64" s="172">
        <v>-171457.25318433449</v>
      </c>
      <c r="AU64" s="172">
        <v>0</v>
      </c>
      <c r="AV64" s="172">
        <v>-192145.04801590892</v>
      </c>
      <c r="AW64" s="172">
        <v>-363602.30120024341</v>
      </c>
      <c r="AX64" s="172">
        <v>192145.04801590857</v>
      </c>
      <c r="AY64" s="172">
        <v>0</v>
      </c>
      <c r="AZ64" s="172">
        <v>-192145.04801590892</v>
      </c>
      <c r="BA64" s="172">
        <v>0</v>
      </c>
      <c r="BB64" s="172">
        <v>8.375</v>
      </c>
      <c r="BC64" s="172">
        <v>9.375</v>
      </c>
      <c r="BD64" s="172">
        <v>-21940.626855267212</v>
      </c>
      <c r="BE64" s="172">
        <v>0</v>
      </c>
      <c r="BF64" s="172">
        <v>-341661.6743449762</v>
      </c>
      <c r="BG64" s="172">
        <v>-363602.30120024341</v>
      </c>
      <c r="BH64" s="172">
        <v>341661.67434497585</v>
      </c>
      <c r="BI64" s="172">
        <v>0</v>
      </c>
      <c r="BJ64" s="172">
        <v>-341661.6743449762</v>
      </c>
      <c r="BK64" s="172">
        <v>0</v>
      </c>
      <c r="BL64" s="172">
        <v>1711868.3881841477</v>
      </c>
      <c r="BM64" s="172" t="s">
        <v>353</v>
      </c>
      <c r="BN64" s="172">
        <v>0</v>
      </c>
      <c r="BO64" s="172" t="b">
        <v>0</v>
      </c>
      <c r="BP64" s="172">
        <v>-341661.6743449762</v>
      </c>
      <c r="BQ64" s="173">
        <v>0</v>
      </c>
      <c r="BR64" s="173">
        <v>0</v>
      </c>
      <c r="BS64" s="179">
        <v>68</v>
      </c>
      <c r="BT64" s="173">
        <v>0</v>
      </c>
      <c r="BU64" s="237">
        <v>147799.97614010063</v>
      </c>
      <c r="BV64" s="173">
        <v>135</v>
      </c>
      <c r="BW64" s="180">
        <v>8.375</v>
      </c>
      <c r="BX64" s="180">
        <v>8.375</v>
      </c>
      <c r="BY64" s="172">
        <v>0</v>
      </c>
      <c r="BZ64" s="172">
        <v>0</v>
      </c>
      <c r="CA64" s="172">
        <v>0</v>
      </c>
      <c r="CB64" s="172">
        <v>655531.56654548016</v>
      </c>
      <c r="CC64" s="172">
        <v>0</v>
      </c>
      <c r="CD64" s="172">
        <v>0</v>
      </c>
      <c r="CE64" s="172">
        <v>0</v>
      </c>
      <c r="CF64" s="172">
        <v>0</v>
      </c>
      <c r="CG64" s="172">
        <v>-714675.14729369164</v>
      </c>
      <c r="CH64" s="172">
        <v>0</v>
      </c>
      <c r="CI64" s="172">
        <v>-341661.6743449762</v>
      </c>
      <c r="CJ64" s="172">
        <v>-1056336.821638668</v>
      </c>
      <c r="CK64" s="173">
        <v>0</v>
      </c>
      <c r="CL64" s="173">
        <v>0</v>
      </c>
    </row>
    <row r="65" spans="1:90" outlineLevel="3" x14ac:dyDescent="0.25">
      <c r="A65" s="143" t="s">
        <v>446</v>
      </c>
      <c r="B65" s="143" t="s">
        <v>425</v>
      </c>
      <c r="C65" s="143" t="s">
        <v>419</v>
      </c>
      <c r="D65" s="143" t="s">
        <v>420</v>
      </c>
      <c r="E65" s="143" t="s">
        <v>222</v>
      </c>
      <c r="F65" s="143" t="s">
        <v>378</v>
      </c>
      <c r="G65" s="143" t="s">
        <v>426</v>
      </c>
      <c r="H65" s="143" t="s">
        <v>380</v>
      </c>
      <c r="I65" s="169" t="s">
        <v>380</v>
      </c>
      <c r="J65" s="171">
        <v>78000</v>
      </c>
      <c r="K65" s="171">
        <v>78000</v>
      </c>
      <c r="L65" s="173">
        <v>3.5613869376217452E-2</v>
      </c>
      <c r="M65" s="173">
        <v>0.5</v>
      </c>
      <c r="N65" s="173">
        <v>0.33142583503270495</v>
      </c>
      <c r="O65" s="172">
        <v>1.5840936981110871</v>
      </c>
      <c r="P65" s="173">
        <v>1.6749590795986473</v>
      </c>
      <c r="Q65" s="173">
        <v>-9.0865381487560182E-2</v>
      </c>
      <c r="R65" s="175" t="s">
        <v>449</v>
      </c>
      <c r="S65" s="175">
        <v>0</v>
      </c>
      <c r="T65" s="175">
        <v>0</v>
      </c>
      <c r="U65" s="251">
        <v>123559.3084526648</v>
      </c>
      <c r="V65" s="172" t="s">
        <v>345</v>
      </c>
      <c r="W65" s="172">
        <v>368379.81563885155</v>
      </c>
      <c r="X65" s="172">
        <v>0</v>
      </c>
      <c r="Y65" s="172">
        <v>368379.81563885155</v>
      </c>
      <c r="Z65" s="172">
        <v>184189.90781942577</v>
      </c>
      <c r="AA65" s="172">
        <v>0</v>
      </c>
      <c r="AB65" s="172">
        <v>184189.90781942577</v>
      </c>
      <c r="AC65" s="251">
        <v>130646.80820869449</v>
      </c>
      <c r="AD65" s="172">
        <v>-7087.4997560296906</v>
      </c>
      <c r="AE65" s="172">
        <v>0</v>
      </c>
      <c r="AF65" s="172">
        <v>7087.4997560296906</v>
      </c>
      <c r="AG65" s="172">
        <v>0</v>
      </c>
      <c r="AH65" s="252">
        <v>-17421.399233448596</v>
      </c>
      <c r="AI65" s="172">
        <v>0</v>
      </c>
      <c r="AJ65" s="172">
        <v>-31622.250251832731</v>
      </c>
      <c r="AK65" s="253">
        <v>-49043.649485281327</v>
      </c>
      <c r="AL65" s="176">
        <v>0</v>
      </c>
      <c r="AM65" s="172">
        <v>140980.7076861134</v>
      </c>
      <c r="AN65" s="176">
        <v>0</v>
      </c>
      <c r="AO65" s="176">
        <v>39584.8158116657</v>
      </c>
      <c r="AP65" s="172">
        <v>140980.7076861134</v>
      </c>
      <c r="AQ65" s="177">
        <v>1</v>
      </c>
      <c r="AR65" s="172">
        <v>368379.81563885155</v>
      </c>
      <c r="AS65" s="172">
        <v>14.25</v>
      </c>
      <c r="AT65" s="172">
        <v>-17394.612056129772</v>
      </c>
      <c r="AU65" s="172">
        <v>0</v>
      </c>
      <c r="AV65" s="172">
        <v>-31622.250251832731</v>
      </c>
      <c r="AW65" s="172">
        <v>-49016.862307962503</v>
      </c>
      <c r="AX65" s="172">
        <v>31622.250251832695</v>
      </c>
      <c r="AY65" s="172">
        <v>0</v>
      </c>
      <c r="AZ65" s="172">
        <v>-31622.250251832731</v>
      </c>
      <c r="BA65" s="172">
        <v>0</v>
      </c>
      <c r="BB65" s="172">
        <v>14.25</v>
      </c>
      <c r="BC65" s="172">
        <v>14.5</v>
      </c>
      <c r="BD65" s="172">
        <v>-10307.112300100081</v>
      </c>
      <c r="BE65" s="172">
        <v>0</v>
      </c>
      <c r="BF65" s="172">
        <v>-38709.750007862422</v>
      </c>
      <c r="BG65" s="172">
        <v>-49016.862307962503</v>
      </c>
      <c r="BH65" s="172">
        <v>38709.750007862385</v>
      </c>
      <c r="BI65" s="172">
        <v>0</v>
      </c>
      <c r="BJ65" s="172">
        <v>-38709.750007862422</v>
      </c>
      <c r="BK65" s="172">
        <v>0</v>
      </c>
      <c r="BL65" s="172">
        <v>140980.7076861134</v>
      </c>
      <c r="BM65" s="172" t="s">
        <v>353</v>
      </c>
      <c r="BN65" s="172">
        <v>0</v>
      </c>
      <c r="BO65" s="172" t="b">
        <v>0</v>
      </c>
      <c r="BP65" s="172">
        <v>-38709.750007862422</v>
      </c>
      <c r="BQ65" s="173">
        <v>0</v>
      </c>
      <c r="BR65" s="173">
        <v>0</v>
      </c>
      <c r="BS65" s="179">
        <v>68</v>
      </c>
      <c r="BT65" s="173">
        <v>0</v>
      </c>
      <c r="BU65" s="237">
        <v>25851.215132550988</v>
      </c>
      <c r="BV65" s="173">
        <v>139</v>
      </c>
      <c r="BW65" s="180">
        <v>14.25</v>
      </c>
      <c r="BX65" s="180">
        <v>14.25</v>
      </c>
      <c r="BY65" s="172">
        <v>0</v>
      </c>
      <c r="BZ65" s="172">
        <v>0</v>
      </c>
      <c r="CA65" s="172">
        <v>0</v>
      </c>
      <c r="CB65" s="172">
        <v>91937.058200832107</v>
      </c>
      <c r="CC65" s="172">
        <v>0</v>
      </c>
      <c r="CD65" s="172">
        <v>0</v>
      </c>
      <c r="CE65" s="172">
        <v>0</v>
      </c>
      <c r="CF65" s="172">
        <v>0</v>
      </c>
      <c r="CG65" s="172">
        <v>-10333.899477418905</v>
      </c>
      <c r="CH65" s="172">
        <v>0</v>
      </c>
      <c r="CI65" s="172">
        <v>-38709.750007862422</v>
      </c>
      <c r="CJ65" s="172">
        <v>-49043.649485281327</v>
      </c>
      <c r="CK65" s="173">
        <v>1</v>
      </c>
      <c r="CL65" s="173">
        <v>0</v>
      </c>
    </row>
    <row r="66" spans="1:90" outlineLevel="3" x14ac:dyDescent="0.25">
      <c r="A66" s="143" t="s">
        <v>446</v>
      </c>
      <c r="B66" s="143" t="s">
        <v>425</v>
      </c>
      <c r="C66" s="143" t="s">
        <v>419</v>
      </c>
      <c r="D66" s="143" t="s">
        <v>420</v>
      </c>
      <c r="E66" s="143" t="s">
        <v>223</v>
      </c>
      <c r="F66" s="143" t="s">
        <v>430</v>
      </c>
      <c r="G66" s="143" t="s">
        <v>426</v>
      </c>
      <c r="H66" s="143" t="s">
        <v>380</v>
      </c>
      <c r="I66" s="169" t="s">
        <v>380</v>
      </c>
      <c r="J66" s="171">
        <v>625000</v>
      </c>
      <c r="K66" s="171">
        <v>625000</v>
      </c>
      <c r="L66" s="173">
        <v>0.13928562747405149</v>
      </c>
      <c r="M66" s="173">
        <v>0.5</v>
      </c>
      <c r="N66" s="173">
        <v>0.71584022578764661</v>
      </c>
      <c r="O66" s="172">
        <v>0</v>
      </c>
      <c r="P66" s="173">
        <v>0</v>
      </c>
      <c r="Q66" s="173">
        <v>0</v>
      </c>
      <c r="R66" s="175" t="s">
        <v>450</v>
      </c>
      <c r="S66" s="175">
        <v>0</v>
      </c>
      <c r="T66" s="175">
        <v>0</v>
      </c>
      <c r="U66" s="251">
        <v>0</v>
      </c>
      <c r="V66" s="172" t="s">
        <v>345</v>
      </c>
      <c r="W66" s="172">
        <v>978687.80869404809</v>
      </c>
      <c r="X66" s="172">
        <v>0</v>
      </c>
      <c r="Y66" s="172">
        <v>978687.80869404809</v>
      </c>
      <c r="Z66" s="172">
        <v>489343.90434702404</v>
      </c>
      <c r="AA66" s="172">
        <v>0</v>
      </c>
      <c r="AB66" s="172">
        <v>489343.90434702404</v>
      </c>
      <c r="AC66" s="251">
        <v>0</v>
      </c>
      <c r="AD66" s="172">
        <v>0</v>
      </c>
      <c r="AE66" s="172">
        <v>0</v>
      </c>
      <c r="AF66" s="172">
        <v>0</v>
      </c>
      <c r="AG66" s="172">
        <v>0</v>
      </c>
      <c r="AH66" s="252">
        <v>0</v>
      </c>
      <c r="AI66" s="172">
        <v>0</v>
      </c>
      <c r="AJ66" s="172">
        <v>0</v>
      </c>
      <c r="AK66" s="253">
        <v>0</v>
      </c>
      <c r="AL66" s="176">
        <v>0</v>
      </c>
      <c r="AM66" s="172">
        <v>0</v>
      </c>
      <c r="AN66" s="176">
        <v>0</v>
      </c>
      <c r="AO66" s="176">
        <v>190429.56881217976</v>
      </c>
      <c r="AP66" s="172">
        <v>0</v>
      </c>
      <c r="AQ66" s="177">
        <v>1</v>
      </c>
      <c r="AR66" s="172">
        <v>978687.80869404809</v>
      </c>
      <c r="AS66" s="172">
        <v>2.1875</v>
      </c>
      <c r="AT66" s="172">
        <v>0</v>
      </c>
      <c r="AU66" s="172">
        <v>0</v>
      </c>
      <c r="AV66" s="172">
        <v>0</v>
      </c>
      <c r="AW66" s="172">
        <v>0</v>
      </c>
      <c r="AX66" s="172">
        <v>0</v>
      </c>
      <c r="AY66" s="172">
        <v>0</v>
      </c>
      <c r="AZ66" s="172">
        <v>0</v>
      </c>
      <c r="BA66" s="172">
        <v>0</v>
      </c>
      <c r="BB66" s="172">
        <v>3.25</v>
      </c>
      <c r="BC66" s="172">
        <v>3.53125</v>
      </c>
      <c r="BD66" s="172">
        <v>0</v>
      </c>
      <c r="BE66" s="172">
        <v>0</v>
      </c>
      <c r="BF66" s="172">
        <v>0</v>
      </c>
      <c r="BG66" s="172">
        <v>0</v>
      </c>
      <c r="BH66" s="172">
        <v>0</v>
      </c>
      <c r="BI66" s="172">
        <v>0</v>
      </c>
      <c r="BJ66" s="172">
        <v>0</v>
      </c>
      <c r="BK66" s="172">
        <v>0</v>
      </c>
      <c r="BL66" s="172">
        <v>0</v>
      </c>
      <c r="BM66" s="172" t="s">
        <v>353</v>
      </c>
      <c r="BN66" s="172">
        <v>0</v>
      </c>
      <c r="BO66" s="172" t="b">
        <v>0</v>
      </c>
      <c r="BP66" s="172">
        <v>0</v>
      </c>
      <c r="BQ66" s="173">
        <v>0</v>
      </c>
      <c r="BR66" s="173">
        <v>0</v>
      </c>
      <c r="BS66" s="179">
        <v>68</v>
      </c>
      <c r="BT66" s="173">
        <v>0</v>
      </c>
      <c r="BU66" s="237">
        <v>447400.14111727913</v>
      </c>
      <c r="BV66" s="173">
        <v>141</v>
      </c>
      <c r="BW66" s="180">
        <v>3.25</v>
      </c>
      <c r="BX66" s="180">
        <v>3.25</v>
      </c>
      <c r="BY66" s="172">
        <v>0</v>
      </c>
      <c r="BZ66" s="172">
        <v>0</v>
      </c>
      <c r="CA66" s="172">
        <v>0</v>
      </c>
      <c r="CB66" s="172">
        <v>0</v>
      </c>
      <c r="CC66" s="172">
        <v>0</v>
      </c>
      <c r="CD66" s="172">
        <v>0</v>
      </c>
      <c r="CE66" s="172">
        <v>0</v>
      </c>
      <c r="CF66" s="172">
        <v>0</v>
      </c>
      <c r="CG66" s="172">
        <v>0</v>
      </c>
      <c r="CH66" s="172">
        <v>0</v>
      </c>
      <c r="CI66" s="172">
        <v>0</v>
      </c>
      <c r="CJ66" s="172">
        <v>0</v>
      </c>
      <c r="CK66" s="173">
        <v>1</v>
      </c>
      <c r="CL66" s="173">
        <v>0</v>
      </c>
    </row>
    <row r="67" spans="1:90" s="195" customFormat="1" ht="20.100000000000001" customHeight="1" outlineLevel="2" x14ac:dyDescent="0.25">
      <c r="A67" s="182" t="s">
        <v>451</v>
      </c>
      <c r="B67" s="182"/>
      <c r="C67" s="182"/>
      <c r="D67" s="182"/>
      <c r="E67" s="182"/>
      <c r="F67" s="182"/>
      <c r="G67" s="182"/>
      <c r="H67" s="182"/>
      <c r="I67" s="183"/>
      <c r="J67" s="185"/>
      <c r="K67" s="185"/>
      <c r="L67" s="187"/>
      <c r="M67" s="187"/>
      <c r="N67" s="187"/>
      <c r="O67" s="186"/>
      <c r="P67" s="187"/>
      <c r="Q67" s="187"/>
      <c r="R67" s="189">
        <v>0</v>
      </c>
      <c r="S67" s="189">
        <v>0</v>
      </c>
      <c r="T67" s="189">
        <v>0</v>
      </c>
      <c r="U67" s="254">
        <v>971235.92301405349</v>
      </c>
      <c r="V67" s="186"/>
      <c r="W67" s="186">
        <v>1347067.6243328997</v>
      </c>
      <c r="X67" s="186">
        <v>0</v>
      </c>
      <c r="Y67" s="186">
        <v>1347067.6243328997</v>
      </c>
      <c r="Z67" s="186">
        <v>673533.81216644985</v>
      </c>
      <c r="AA67" s="186">
        <v>0</v>
      </c>
      <c r="AB67" s="186">
        <v>673533.81216644985</v>
      </c>
      <c r="AC67" s="254">
        <v>1127840.0490991506</v>
      </c>
      <c r="AD67" s="186">
        <v>-156604.12608509697</v>
      </c>
      <c r="AE67" s="186">
        <v>0</v>
      </c>
      <c r="AF67" s="186">
        <v>156604.12608509697</v>
      </c>
      <c r="AG67" s="186">
        <v>0</v>
      </c>
      <c r="AH67" s="255">
        <v>-881613.17285620747</v>
      </c>
      <c r="AI67" s="186">
        <v>0</v>
      </c>
      <c r="AJ67" s="186">
        <v>-223767.29826774166</v>
      </c>
      <c r="AK67" s="256">
        <v>-1105380.4711239494</v>
      </c>
      <c r="AL67" s="190"/>
      <c r="AM67" s="186">
        <v>1852849.0958702611</v>
      </c>
      <c r="AN67" s="190"/>
      <c r="AO67" s="190"/>
      <c r="AP67" s="186">
        <v>1852849.0958702611</v>
      </c>
      <c r="AQ67" s="191"/>
      <c r="AR67" s="186"/>
      <c r="AS67" s="186"/>
      <c r="AT67" s="186">
        <v>-188851.86524046428</v>
      </c>
      <c r="AU67" s="186">
        <v>0</v>
      </c>
      <c r="AV67" s="186">
        <v>-223767.29826774166</v>
      </c>
      <c r="AW67" s="186">
        <v>-412619.16350820591</v>
      </c>
      <c r="AX67" s="186">
        <v>223767.29826774128</v>
      </c>
      <c r="AY67" s="186">
        <v>0</v>
      </c>
      <c r="AZ67" s="186">
        <v>-223767.29826774166</v>
      </c>
      <c r="BA67" s="186">
        <v>0</v>
      </c>
      <c r="BB67" s="186"/>
      <c r="BC67" s="186"/>
      <c r="BD67" s="186"/>
      <c r="BE67" s="186"/>
      <c r="BF67" s="186"/>
      <c r="BG67" s="186"/>
      <c r="BH67" s="186"/>
      <c r="BI67" s="186"/>
      <c r="BJ67" s="186"/>
      <c r="BK67" s="186"/>
      <c r="BL67" s="186"/>
      <c r="BM67" s="186"/>
      <c r="BN67" s="186"/>
      <c r="BO67" s="186"/>
      <c r="BP67" s="186"/>
      <c r="BQ67" s="187"/>
      <c r="BR67" s="187"/>
      <c r="BS67" s="193"/>
      <c r="BT67" s="187"/>
      <c r="BU67" s="230"/>
      <c r="BV67" s="187"/>
      <c r="BW67" s="194"/>
      <c r="BX67" s="194"/>
      <c r="BY67" s="186"/>
      <c r="BZ67" s="186"/>
      <c r="CA67" s="186">
        <v>0</v>
      </c>
      <c r="CB67" s="186"/>
      <c r="CC67" s="186"/>
      <c r="CD67" s="186"/>
      <c r="CE67" s="186"/>
      <c r="CF67" s="186"/>
      <c r="CG67" s="186"/>
      <c r="CH67" s="186"/>
      <c r="CI67" s="186"/>
      <c r="CJ67" s="186"/>
      <c r="CK67" s="187"/>
      <c r="CL67" s="187"/>
    </row>
    <row r="68" spans="1:90" s="206" customFormat="1" ht="30" customHeight="1" outlineLevel="1" x14ac:dyDescent="0.25">
      <c r="A68" s="182"/>
      <c r="B68" s="182" t="s">
        <v>452</v>
      </c>
      <c r="C68" s="182"/>
      <c r="D68" s="182"/>
      <c r="E68" s="182"/>
      <c r="F68" s="182"/>
      <c r="G68" s="182"/>
      <c r="H68" s="182"/>
      <c r="I68" s="183"/>
      <c r="J68" s="196"/>
      <c r="K68" s="196"/>
      <c r="L68" s="198"/>
      <c r="M68" s="198"/>
      <c r="N68" s="198"/>
      <c r="O68" s="197"/>
      <c r="P68" s="198"/>
      <c r="Q68" s="198"/>
      <c r="R68" s="200">
        <v>0</v>
      </c>
      <c r="S68" s="200">
        <v>0</v>
      </c>
      <c r="T68" s="200">
        <v>0</v>
      </c>
      <c r="U68" s="257">
        <v>50855696.445514046</v>
      </c>
      <c r="V68" s="197"/>
      <c r="W68" s="197">
        <v>13101025.124332897</v>
      </c>
      <c r="X68" s="197">
        <v>0</v>
      </c>
      <c r="Y68" s="197">
        <v>13101025.124332897</v>
      </c>
      <c r="Z68" s="197">
        <v>673533.81216644985</v>
      </c>
      <c r="AA68" s="197">
        <v>0</v>
      </c>
      <c r="AB68" s="197">
        <v>673533.81216644985</v>
      </c>
      <c r="AC68" s="257">
        <v>51012300.571599148</v>
      </c>
      <c r="AD68" s="197">
        <v>-156604.12608509697</v>
      </c>
      <c r="AE68" s="197">
        <v>0</v>
      </c>
      <c r="AF68" s="197">
        <v>156604.12608509697</v>
      </c>
      <c r="AG68" s="197">
        <v>0</v>
      </c>
      <c r="AH68" s="258">
        <v>-247814.79635620682</v>
      </c>
      <c r="AI68" s="197">
        <v>0</v>
      </c>
      <c r="AJ68" s="197">
        <v>-600631.25076774147</v>
      </c>
      <c r="AK68" s="259">
        <v>-848446.04712394846</v>
      </c>
      <c r="AL68" s="201"/>
      <c r="AM68" s="197">
        <v>68002861.171870261</v>
      </c>
      <c r="AN68" s="201"/>
      <c r="AO68" s="201"/>
      <c r="AP68" s="197">
        <v>55465926.511870258</v>
      </c>
      <c r="AQ68" s="202"/>
      <c r="AR68" s="197"/>
      <c r="AS68" s="197"/>
      <c r="AT68" s="197">
        <v>-114742.272740464</v>
      </c>
      <c r="AU68" s="197">
        <v>0</v>
      </c>
      <c r="AV68" s="197">
        <v>-600631.25076774147</v>
      </c>
      <c r="AW68" s="197">
        <v>-715373.52350820589</v>
      </c>
      <c r="AX68" s="197">
        <v>600631.250767741</v>
      </c>
      <c r="AY68" s="197">
        <v>0</v>
      </c>
      <c r="AZ68" s="197">
        <v>-600631.25076774147</v>
      </c>
      <c r="BA68" s="197">
        <v>0</v>
      </c>
      <c r="BB68" s="197"/>
      <c r="BC68" s="197"/>
      <c r="BD68" s="197"/>
      <c r="BE68" s="197"/>
      <c r="BF68" s="197"/>
      <c r="BG68" s="197"/>
      <c r="BH68" s="197"/>
      <c r="BI68" s="197"/>
      <c r="BJ68" s="197"/>
      <c r="BK68" s="197"/>
      <c r="BL68" s="197"/>
      <c r="BM68" s="197"/>
      <c r="BN68" s="197"/>
      <c r="BO68" s="197"/>
      <c r="BP68" s="197"/>
      <c r="BQ68" s="198"/>
      <c r="BR68" s="198"/>
      <c r="BS68" s="204"/>
      <c r="BT68" s="198"/>
      <c r="BU68" s="231"/>
      <c r="BV68" s="198"/>
      <c r="BW68" s="205"/>
      <c r="BX68" s="205"/>
      <c r="BY68" s="197"/>
      <c r="BZ68" s="197"/>
      <c r="CA68" s="197">
        <v>-16899349.93</v>
      </c>
      <c r="CB68" s="197"/>
      <c r="CC68" s="197"/>
      <c r="CD68" s="197"/>
      <c r="CE68" s="197"/>
      <c r="CF68" s="197"/>
      <c r="CG68" s="197"/>
      <c r="CH68" s="197"/>
      <c r="CI68" s="197"/>
      <c r="CJ68" s="197"/>
      <c r="CK68" s="198"/>
      <c r="CL68" s="198"/>
    </row>
    <row r="69" spans="1:90" outlineLevel="3" x14ac:dyDescent="0.25">
      <c r="A69" s="143" t="s">
        <v>424</v>
      </c>
      <c r="B69" s="143" t="s">
        <v>453</v>
      </c>
      <c r="C69" s="143" t="s">
        <v>419</v>
      </c>
      <c r="D69" s="143" t="s">
        <v>420</v>
      </c>
      <c r="E69" s="143" t="s">
        <v>224</v>
      </c>
      <c r="F69" s="143" t="s">
        <v>443</v>
      </c>
      <c r="G69" s="143" t="s">
        <v>454</v>
      </c>
      <c r="H69" s="143" t="s">
        <v>455</v>
      </c>
      <c r="I69" s="169" t="s">
        <v>456</v>
      </c>
      <c r="J69" s="170">
        <v>375000</v>
      </c>
      <c r="K69" s="171">
        <v>375000</v>
      </c>
      <c r="L69" s="173">
        <v>0</v>
      </c>
      <c r="M69" s="173">
        <v>0</v>
      </c>
      <c r="N69" s="173">
        <v>0</v>
      </c>
      <c r="O69" s="172">
        <v>219.96836938666667</v>
      </c>
      <c r="P69" s="174">
        <v>219.96836938666667</v>
      </c>
      <c r="Q69" s="174">
        <v>0</v>
      </c>
      <c r="R69" s="175" t="s">
        <v>457</v>
      </c>
      <c r="S69" s="175">
        <v>0</v>
      </c>
      <c r="T69" s="175">
        <v>0</v>
      </c>
      <c r="U69" s="251">
        <v>82488138.519999996</v>
      </c>
      <c r="V69" s="172" t="s">
        <v>345</v>
      </c>
      <c r="W69" s="172">
        <v>0</v>
      </c>
      <c r="X69" s="172">
        <v>0</v>
      </c>
      <c r="Y69" s="172">
        <v>0</v>
      </c>
      <c r="Z69" s="172">
        <v>0</v>
      </c>
      <c r="AA69" s="172">
        <v>0</v>
      </c>
      <c r="AB69" s="172">
        <v>0</v>
      </c>
      <c r="AC69" s="251">
        <v>82488138.519999996</v>
      </c>
      <c r="AD69" s="172">
        <v>0</v>
      </c>
      <c r="AE69" s="172">
        <v>0</v>
      </c>
      <c r="AF69" s="172">
        <v>0</v>
      </c>
      <c r="AG69" s="172">
        <v>0</v>
      </c>
      <c r="AH69" s="252">
        <v>0</v>
      </c>
      <c r="AI69" s="172">
        <v>0</v>
      </c>
      <c r="AJ69" s="172">
        <v>0</v>
      </c>
      <c r="AK69" s="253">
        <v>0</v>
      </c>
      <c r="AL69" s="176">
        <v>0</v>
      </c>
      <c r="AM69" s="172">
        <v>81480000</v>
      </c>
      <c r="AN69" s="176">
        <v>0</v>
      </c>
      <c r="AO69" s="173">
        <v>0</v>
      </c>
      <c r="AP69" s="172">
        <v>81480000</v>
      </c>
      <c r="AQ69" s="177">
        <v>1</v>
      </c>
      <c r="AR69" s="172">
        <v>0</v>
      </c>
      <c r="AS69" s="172">
        <v>219.96836938666667</v>
      </c>
      <c r="AT69" s="172">
        <v>0</v>
      </c>
      <c r="AU69" s="172">
        <v>0</v>
      </c>
      <c r="AV69" s="172">
        <v>0</v>
      </c>
      <c r="AW69" s="172">
        <v>0</v>
      </c>
      <c r="AX69" s="172">
        <v>0</v>
      </c>
      <c r="AY69" s="172">
        <v>0</v>
      </c>
      <c r="AZ69" s="172">
        <v>0</v>
      </c>
      <c r="BA69" s="172">
        <v>0</v>
      </c>
      <c r="BB69" s="172" t="s">
        <v>203</v>
      </c>
      <c r="BC69" s="172" t="s">
        <v>203</v>
      </c>
      <c r="BD69" s="172">
        <v>0</v>
      </c>
      <c r="BE69" s="172">
        <v>0</v>
      </c>
      <c r="BF69" s="172">
        <v>0</v>
      </c>
      <c r="BG69" s="172">
        <v>0</v>
      </c>
      <c r="BH69" s="172">
        <v>0</v>
      </c>
      <c r="BI69" s="172">
        <v>0</v>
      </c>
      <c r="BJ69" s="172">
        <v>0</v>
      </c>
      <c r="BK69" s="172">
        <v>0</v>
      </c>
      <c r="BL69" s="172">
        <v>81480000</v>
      </c>
      <c r="BM69" s="172" t="s">
        <v>346</v>
      </c>
      <c r="BN69" s="172">
        <v>0</v>
      </c>
      <c r="BO69" s="172" t="b">
        <v>0</v>
      </c>
      <c r="BP69" s="172">
        <v>0</v>
      </c>
      <c r="BQ69" s="173">
        <v>100</v>
      </c>
      <c r="BR69" s="173">
        <v>37500000</v>
      </c>
      <c r="BS69" s="179">
        <v>66</v>
      </c>
      <c r="BT69" s="173">
        <v>0</v>
      </c>
      <c r="BU69" s="237">
        <v>0</v>
      </c>
      <c r="BV69" s="173">
        <v>117</v>
      </c>
      <c r="BW69" s="180">
        <v>0</v>
      </c>
      <c r="BX69" s="180">
        <v>0</v>
      </c>
      <c r="BY69" s="172">
        <v>0</v>
      </c>
      <c r="BZ69" s="172">
        <v>1008138.52</v>
      </c>
      <c r="CA69" s="172">
        <v>1008138.52</v>
      </c>
      <c r="CB69" s="172">
        <v>82488138.519999996</v>
      </c>
      <c r="CC69" s="172">
        <v>0</v>
      </c>
      <c r="CD69" s="172">
        <v>0</v>
      </c>
      <c r="CE69" s="172">
        <v>0</v>
      </c>
      <c r="CF69" s="172">
        <v>0</v>
      </c>
      <c r="CG69" s="172">
        <v>0</v>
      </c>
      <c r="CH69" s="172">
        <v>0</v>
      </c>
      <c r="CI69" s="172">
        <v>0</v>
      </c>
      <c r="CJ69" s="172">
        <v>0</v>
      </c>
      <c r="CK69" s="173">
        <v>0</v>
      </c>
      <c r="CL69" s="173">
        <v>0</v>
      </c>
    </row>
    <row r="70" spans="1:90" s="195" customFormat="1" ht="20.100000000000001" customHeight="1" outlineLevel="2" x14ac:dyDescent="0.25">
      <c r="A70" s="182" t="s">
        <v>428</v>
      </c>
      <c r="B70" s="182"/>
      <c r="C70" s="182"/>
      <c r="D70" s="182"/>
      <c r="E70" s="182"/>
      <c r="F70" s="182"/>
      <c r="G70" s="182"/>
      <c r="H70" s="182"/>
      <c r="I70" s="183"/>
      <c r="J70" s="184"/>
      <c r="K70" s="185"/>
      <c r="L70" s="187"/>
      <c r="M70" s="187"/>
      <c r="N70" s="187"/>
      <c r="O70" s="186"/>
      <c r="P70" s="188"/>
      <c r="Q70" s="188"/>
      <c r="R70" s="189">
        <v>0</v>
      </c>
      <c r="S70" s="189">
        <v>0</v>
      </c>
      <c r="T70" s="189">
        <v>0</v>
      </c>
      <c r="U70" s="254">
        <v>82488138.519999996</v>
      </c>
      <c r="V70" s="186"/>
      <c r="W70" s="186">
        <v>0</v>
      </c>
      <c r="X70" s="186">
        <v>0</v>
      </c>
      <c r="Y70" s="186">
        <v>0</v>
      </c>
      <c r="Z70" s="186">
        <v>0</v>
      </c>
      <c r="AA70" s="186">
        <v>0</v>
      </c>
      <c r="AB70" s="186">
        <v>0</v>
      </c>
      <c r="AC70" s="254">
        <v>82488138.519999996</v>
      </c>
      <c r="AD70" s="186">
        <v>0</v>
      </c>
      <c r="AE70" s="186">
        <v>0</v>
      </c>
      <c r="AF70" s="186">
        <v>0</v>
      </c>
      <c r="AG70" s="186">
        <v>0</v>
      </c>
      <c r="AH70" s="255">
        <v>0</v>
      </c>
      <c r="AI70" s="186">
        <v>0</v>
      </c>
      <c r="AJ70" s="186">
        <v>0</v>
      </c>
      <c r="AK70" s="256">
        <v>0</v>
      </c>
      <c r="AL70" s="190"/>
      <c r="AM70" s="186">
        <v>81480000</v>
      </c>
      <c r="AN70" s="190"/>
      <c r="AO70" s="187"/>
      <c r="AP70" s="186">
        <v>81480000</v>
      </c>
      <c r="AQ70" s="191"/>
      <c r="AR70" s="186"/>
      <c r="AS70" s="186"/>
      <c r="AT70" s="186">
        <v>0</v>
      </c>
      <c r="AU70" s="186">
        <v>0</v>
      </c>
      <c r="AV70" s="186">
        <v>0</v>
      </c>
      <c r="AW70" s="186">
        <v>0</v>
      </c>
      <c r="AX70" s="186">
        <v>0</v>
      </c>
      <c r="AY70" s="186">
        <v>0</v>
      </c>
      <c r="AZ70" s="186">
        <v>0</v>
      </c>
      <c r="BA70" s="186">
        <v>0</v>
      </c>
      <c r="BB70" s="186"/>
      <c r="BC70" s="186"/>
      <c r="BD70" s="186"/>
      <c r="BE70" s="186"/>
      <c r="BF70" s="186"/>
      <c r="BG70" s="186"/>
      <c r="BH70" s="186"/>
      <c r="BI70" s="186"/>
      <c r="BJ70" s="186"/>
      <c r="BK70" s="186"/>
      <c r="BL70" s="186"/>
      <c r="BM70" s="186"/>
      <c r="BN70" s="186"/>
      <c r="BO70" s="186"/>
      <c r="BP70" s="186"/>
      <c r="BQ70" s="187"/>
      <c r="BR70" s="187"/>
      <c r="BS70" s="193"/>
      <c r="BT70" s="187"/>
      <c r="BU70" s="230"/>
      <c r="BV70" s="187"/>
      <c r="BW70" s="194"/>
      <c r="BX70" s="194"/>
      <c r="BY70" s="186"/>
      <c r="BZ70" s="186"/>
      <c r="CA70" s="186">
        <v>1008138.52</v>
      </c>
      <c r="CB70" s="186"/>
      <c r="CC70" s="186"/>
      <c r="CD70" s="186"/>
      <c r="CE70" s="186"/>
      <c r="CF70" s="186"/>
      <c r="CG70" s="186"/>
      <c r="CH70" s="186"/>
      <c r="CI70" s="186"/>
      <c r="CJ70" s="186"/>
      <c r="CK70" s="187"/>
      <c r="CL70" s="187"/>
    </row>
    <row r="71" spans="1:90" outlineLevel="3" x14ac:dyDescent="0.25">
      <c r="A71" s="143" t="s">
        <v>356</v>
      </c>
      <c r="B71" s="143" t="s">
        <v>453</v>
      </c>
      <c r="C71" s="143" t="s">
        <v>419</v>
      </c>
      <c r="D71" s="143" t="s">
        <v>420</v>
      </c>
      <c r="E71" s="143" t="s">
        <v>562</v>
      </c>
      <c r="F71" s="143" t="s">
        <v>203</v>
      </c>
      <c r="G71" s="143" t="s">
        <v>454</v>
      </c>
      <c r="H71" s="143" t="s">
        <v>342</v>
      </c>
      <c r="I71" s="169" t="s">
        <v>362</v>
      </c>
      <c r="J71" s="171">
        <v>1</v>
      </c>
      <c r="K71" s="171">
        <v>1</v>
      </c>
      <c r="L71" s="173">
        <v>0</v>
      </c>
      <c r="M71" s="173">
        <v>0</v>
      </c>
      <c r="N71" s="173">
        <v>0</v>
      </c>
      <c r="O71" s="172">
        <v>1250000</v>
      </c>
      <c r="P71" s="173">
        <v>1250000</v>
      </c>
      <c r="Q71" s="173">
        <v>0</v>
      </c>
      <c r="R71" s="175" t="s">
        <v>458</v>
      </c>
      <c r="S71" s="175">
        <v>0</v>
      </c>
      <c r="T71" s="175">
        <v>0</v>
      </c>
      <c r="U71" s="251">
        <v>1250000</v>
      </c>
      <c r="V71" s="172" t="s">
        <v>345</v>
      </c>
      <c r="W71" s="172">
        <v>0</v>
      </c>
      <c r="X71" s="172">
        <v>0</v>
      </c>
      <c r="Y71" s="172">
        <v>0</v>
      </c>
      <c r="Z71" s="172">
        <v>0</v>
      </c>
      <c r="AA71" s="172">
        <v>0</v>
      </c>
      <c r="AB71" s="172">
        <v>0</v>
      </c>
      <c r="AC71" s="251">
        <v>1250000</v>
      </c>
      <c r="AD71" s="172">
        <v>0</v>
      </c>
      <c r="AE71" s="172">
        <v>0</v>
      </c>
      <c r="AF71" s="172">
        <v>0</v>
      </c>
      <c r="AG71" s="172">
        <v>0</v>
      </c>
      <c r="AH71" s="252">
        <v>0</v>
      </c>
      <c r="AI71" s="172">
        <v>0</v>
      </c>
      <c r="AJ71" s="172">
        <v>0</v>
      </c>
      <c r="AK71" s="253">
        <v>0</v>
      </c>
      <c r="AL71" s="176">
        <v>0</v>
      </c>
      <c r="AM71" s="172">
        <v>1250000</v>
      </c>
      <c r="AN71" s="173">
        <v>0</v>
      </c>
      <c r="AO71" s="176">
        <v>0</v>
      </c>
      <c r="AP71" s="172">
        <v>1250000</v>
      </c>
      <c r="AQ71" s="177">
        <v>1</v>
      </c>
      <c r="AR71" s="172">
        <v>0</v>
      </c>
      <c r="AS71" s="172">
        <v>1250000</v>
      </c>
      <c r="AT71" s="172">
        <v>0</v>
      </c>
      <c r="AU71" s="172">
        <v>0</v>
      </c>
      <c r="AV71" s="172">
        <v>0</v>
      </c>
      <c r="AW71" s="172">
        <v>0</v>
      </c>
      <c r="AX71" s="172">
        <v>0</v>
      </c>
      <c r="AY71" s="172">
        <v>0</v>
      </c>
      <c r="AZ71" s="172">
        <v>0</v>
      </c>
      <c r="BA71" s="172">
        <v>0</v>
      </c>
      <c r="BB71" s="172" t="s">
        <v>203</v>
      </c>
      <c r="BC71" s="172" t="s">
        <v>203</v>
      </c>
      <c r="BD71" s="172">
        <v>0</v>
      </c>
      <c r="BE71" s="172">
        <v>0</v>
      </c>
      <c r="BF71" s="172">
        <v>0</v>
      </c>
      <c r="BG71" s="172">
        <v>0</v>
      </c>
      <c r="BH71" s="172">
        <v>0</v>
      </c>
      <c r="BI71" s="172">
        <v>0</v>
      </c>
      <c r="BJ71" s="172">
        <v>0</v>
      </c>
      <c r="BK71" s="172">
        <v>0</v>
      </c>
      <c r="BL71" s="172">
        <v>1250000</v>
      </c>
      <c r="BM71" s="172" t="s">
        <v>346</v>
      </c>
      <c r="BN71" s="172">
        <v>0</v>
      </c>
      <c r="BO71" s="172" t="b">
        <v>0</v>
      </c>
      <c r="BP71" s="172">
        <v>0</v>
      </c>
      <c r="BQ71" s="174">
        <v>0</v>
      </c>
      <c r="BR71" s="173">
        <v>0</v>
      </c>
      <c r="BS71" s="179">
        <v>71</v>
      </c>
      <c r="BT71" s="173">
        <v>0</v>
      </c>
      <c r="BU71" s="237">
        <v>0</v>
      </c>
      <c r="BV71" s="173">
        <v>187</v>
      </c>
      <c r="BW71" s="180">
        <v>0</v>
      </c>
      <c r="BX71" s="180">
        <v>0</v>
      </c>
      <c r="BY71" s="172">
        <v>0</v>
      </c>
      <c r="BZ71" s="172">
        <v>0</v>
      </c>
      <c r="CA71" s="172">
        <v>0</v>
      </c>
      <c r="CB71" s="172">
        <v>1250000</v>
      </c>
      <c r="CC71" s="172">
        <v>0</v>
      </c>
      <c r="CD71" s="172">
        <v>0</v>
      </c>
      <c r="CE71" s="172">
        <v>0</v>
      </c>
      <c r="CF71" s="172">
        <v>0</v>
      </c>
      <c r="CG71" s="172">
        <v>0</v>
      </c>
      <c r="CH71" s="172">
        <v>0</v>
      </c>
      <c r="CI71" s="172">
        <v>0</v>
      </c>
      <c r="CJ71" s="172">
        <v>0</v>
      </c>
      <c r="CK71" s="173">
        <v>0</v>
      </c>
      <c r="CL71" s="173">
        <v>0</v>
      </c>
    </row>
    <row r="72" spans="1:90" outlineLevel="3" x14ac:dyDescent="0.25">
      <c r="A72" s="143" t="s">
        <v>356</v>
      </c>
      <c r="B72" s="143" t="s">
        <v>453</v>
      </c>
      <c r="C72" s="143" t="s">
        <v>419</v>
      </c>
      <c r="D72" s="143" t="s">
        <v>420</v>
      </c>
      <c r="E72" s="143" t="s">
        <v>225</v>
      </c>
      <c r="F72" s="143" t="s">
        <v>203</v>
      </c>
      <c r="G72" s="143" t="s">
        <v>454</v>
      </c>
      <c r="H72" s="207" t="s">
        <v>361</v>
      </c>
      <c r="I72" s="169" t="s">
        <v>459</v>
      </c>
      <c r="J72" s="171">
        <v>1</v>
      </c>
      <c r="K72" s="171">
        <v>1</v>
      </c>
      <c r="L72" s="173">
        <v>0</v>
      </c>
      <c r="M72" s="173">
        <v>0</v>
      </c>
      <c r="N72" s="173">
        <v>0</v>
      </c>
      <c r="O72" s="172">
        <v>242754.37</v>
      </c>
      <c r="P72" s="173">
        <v>242754.37</v>
      </c>
      <c r="Q72" s="173">
        <v>0</v>
      </c>
      <c r="R72" s="175" t="s">
        <v>460</v>
      </c>
      <c r="S72" s="175">
        <v>0</v>
      </c>
      <c r="T72" s="175">
        <v>0</v>
      </c>
      <c r="U72" s="251">
        <v>242754.37</v>
      </c>
      <c r="V72" s="172" t="s">
        <v>345</v>
      </c>
      <c r="W72" s="172">
        <v>0</v>
      </c>
      <c r="X72" s="172">
        <v>0</v>
      </c>
      <c r="Y72" s="172">
        <v>0</v>
      </c>
      <c r="Z72" s="172">
        <v>0</v>
      </c>
      <c r="AA72" s="172">
        <v>0</v>
      </c>
      <c r="AB72" s="172">
        <v>0</v>
      </c>
      <c r="AC72" s="251">
        <v>242754.37</v>
      </c>
      <c r="AD72" s="172">
        <v>0</v>
      </c>
      <c r="AE72" s="172">
        <v>0</v>
      </c>
      <c r="AF72" s="172">
        <v>0</v>
      </c>
      <c r="AG72" s="172">
        <v>0</v>
      </c>
      <c r="AH72" s="252">
        <v>0</v>
      </c>
      <c r="AI72" s="172">
        <v>0</v>
      </c>
      <c r="AJ72" s="172">
        <v>0</v>
      </c>
      <c r="AK72" s="253">
        <v>0</v>
      </c>
      <c r="AL72" s="176">
        <v>0</v>
      </c>
      <c r="AM72" s="172">
        <v>247725</v>
      </c>
      <c r="AN72" s="173">
        <v>0</v>
      </c>
      <c r="AO72" s="176">
        <v>0</v>
      </c>
      <c r="AP72" s="172">
        <v>247725</v>
      </c>
      <c r="AQ72" s="177">
        <v>1</v>
      </c>
      <c r="AR72" s="172">
        <v>0</v>
      </c>
      <c r="AS72" s="172">
        <v>242754.37</v>
      </c>
      <c r="AT72" s="172">
        <v>0</v>
      </c>
      <c r="AU72" s="172">
        <v>0</v>
      </c>
      <c r="AV72" s="172">
        <v>0</v>
      </c>
      <c r="AW72" s="172">
        <v>0</v>
      </c>
      <c r="AX72" s="172">
        <v>0</v>
      </c>
      <c r="AY72" s="172">
        <v>0</v>
      </c>
      <c r="AZ72" s="172">
        <v>0</v>
      </c>
      <c r="BA72" s="172">
        <v>0</v>
      </c>
      <c r="BB72" s="172" t="s">
        <v>203</v>
      </c>
      <c r="BC72" s="172" t="s">
        <v>203</v>
      </c>
      <c r="BD72" s="172">
        <v>0</v>
      </c>
      <c r="BE72" s="172">
        <v>0</v>
      </c>
      <c r="BF72" s="172">
        <v>0</v>
      </c>
      <c r="BG72" s="172">
        <v>0</v>
      </c>
      <c r="BH72" s="172">
        <v>0</v>
      </c>
      <c r="BI72" s="172">
        <v>0</v>
      </c>
      <c r="BJ72" s="172">
        <v>0</v>
      </c>
      <c r="BK72" s="172">
        <v>0</v>
      </c>
      <c r="BL72" s="172">
        <v>247725</v>
      </c>
      <c r="BM72" s="172" t="s">
        <v>346</v>
      </c>
      <c r="BN72" s="172">
        <v>0</v>
      </c>
      <c r="BO72" s="172" t="b">
        <v>0</v>
      </c>
      <c r="BP72" s="172">
        <v>0</v>
      </c>
      <c r="BQ72" s="173">
        <v>0</v>
      </c>
      <c r="BR72" s="173">
        <v>0</v>
      </c>
      <c r="BS72" s="179">
        <v>71</v>
      </c>
      <c r="BT72" s="173">
        <v>0</v>
      </c>
      <c r="BU72" s="237">
        <v>0</v>
      </c>
      <c r="BV72" s="173">
        <v>192</v>
      </c>
      <c r="BW72" s="180">
        <v>0</v>
      </c>
      <c r="BX72" s="180">
        <v>0</v>
      </c>
      <c r="BY72" s="172">
        <v>0</v>
      </c>
      <c r="BZ72" s="172">
        <v>-4970.63</v>
      </c>
      <c r="CA72" s="172">
        <v>-4970.63</v>
      </c>
      <c r="CB72" s="172">
        <v>242754.37</v>
      </c>
      <c r="CC72" s="172">
        <v>0</v>
      </c>
      <c r="CD72" s="172">
        <v>0</v>
      </c>
      <c r="CE72" s="172">
        <v>0</v>
      </c>
      <c r="CF72" s="172">
        <v>0</v>
      </c>
      <c r="CG72" s="172">
        <v>0</v>
      </c>
      <c r="CH72" s="172">
        <v>0</v>
      </c>
      <c r="CI72" s="172">
        <v>0</v>
      </c>
      <c r="CJ72" s="172">
        <v>0</v>
      </c>
      <c r="CK72" s="173">
        <v>0</v>
      </c>
      <c r="CL72" s="173">
        <v>0</v>
      </c>
    </row>
    <row r="73" spans="1:90" outlineLevel="3" x14ac:dyDescent="0.25">
      <c r="A73" s="143" t="s">
        <v>356</v>
      </c>
      <c r="B73" s="143" t="s">
        <v>453</v>
      </c>
      <c r="C73" s="143" t="s">
        <v>419</v>
      </c>
      <c r="D73" s="143" t="s">
        <v>420</v>
      </c>
      <c r="E73" s="143" t="s">
        <v>226</v>
      </c>
      <c r="F73" s="143" t="s">
        <v>203</v>
      </c>
      <c r="G73" s="143" t="s">
        <v>454</v>
      </c>
      <c r="H73" s="207" t="s">
        <v>361</v>
      </c>
      <c r="I73" s="169" t="s">
        <v>459</v>
      </c>
      <c r="J73" s="171">
        <v>1</v>
      </c>
      <c r="K73" s="171">
        <v>1</v>
      </c>
      <c r="L73" s="173">
        <v>0</v>
      </c>
      <c r="M73" s="173">
        <v>0</v>
      </c>
      <c r="N73" s="173">
        <v>0</v>
      </c>
      <c r="O73" s="172">
        <v>1663000</v>
      </c>
      <c r="P73" s="173">
        <v>1663000</v>
      </c>
      <c r="Q73" s="173">
        <v>0</v>
      </c>
      <c r="R73" s="175" t="s">
        <v>461</v>
      </c>
      <c r="S73" s="175">
        <v>0</v>
      </c>
      <c r="T73" s="175">
        <v>0</v>
      </c>
      <c r="U73" s="251">
        <v>1663000</v>
      </c>
      <c r="V73" s="172" t="s">
        <v>345</v>
      </c>
      <c r="W73" s="172">
        <v>0</v>
      </c>
      <c r="X73" s="172">
        <v>0</v>
      </c>
      <c r="Y73" s="172">
        <v>0</v>
      </c>
      <c r="Z73" s="172">
        <v>0</v>
      </c>
      <c r="AA73" s="172">
        <v>0</v>
      </c>
      <c r="AB73" s="172">
        <v>0</v>
      </c>
      <c r="AC73" s="251">
        <v>1663000</v>
      </c>
      <c r="AD73" s="172">
        <v>0</v>
      </c>
      <c r="AE73" s="172">
        <v>0</v>
      </c>
      <c r="AF73" s="172">
        <v>0</v>
      </c>
      <c r="AG73" s="172">
        <v>0</v>
      </c>
      <c r="AH73" s="252">
        <v>0</v>
      </c>
      <c r="AI73" s="172">
        <v>0</v>
      </c>
      <c r="AJ73" s="172">
        <v>0</v>
      </c>
      <c r="AK73" s="253">
        <v>0</v>
      </c>
      <c r="AL73" s="176">
        <v>0</v>
      </c>
      <c r="AM73" s="172">
        <v>1663000</v>
      </c>
      <c r="AN73" s="173">
        <v>0</v>
      </c>
      <c r="AO73" s="176">
        <v>0</v>
      </c>
      <c r="AP73" s="172">
        <v>1663000</v>
      </c>
      <c r="AQ73" s="177">
        <v>1</v>
      </c>
      <c r="AR73" s="172">
        <v>0</v>
      </c>
      <c r="AS73" s="172">
        <v>1663000</v>
      </c>
      <c r="AT73" s="172">
        <v>0</v>
      </c>
      <c r="AU73" s="172">
        <v>0</v>
      </c>
      <c r="AV73" s="172">
        <v>0</v>
      </c>
      <c r="AW73" s="172">
        <v>0</v>
      </c>
      <c r="AX73" s="172">
        <v>0</v>
      </c>
      <c r="AY73" s="172">
        <v>0</v>
      </c>
      <c r="AZ73" s="172">
        <v>0</v>
      </c>
      <c r="BA73" s="172">
        <v>0</v>
      </c>
      <c r="BB73" s="172" t="s">
        <v>203</v>
      </c>
      <c r="BC73" s="172" t="s">
        <v>203</v>
      </c>
      <c r="BD73" s="172">
        <v>0</v>
      </c>
      <c r="BE73" s="172">
        <v>0</v>
      </c>
      <c r="BF73" s="172">
        <v>0</v>
      </c>
      <c r="BG73" s="172">
        <v>0</v>
      </c>
      <c r="BH73" s="172">
        <v>0</v>
      </c>
      <c r="BI73" s="172">
        <v>0</v>
      </c>
      <c r="BJ73" s="172">
        <v>0</v>
      </c>
      <c r="BK73" s="172">
        <v>0</v>
      </c>
      <c r="BL73" s="172">
        <v>1663000</v>
      </c>
      <c r="BM73" s="172" t="s">
        <v>346</v>
      </c>
      <c r="BN73" s="172">
        <v>0</v>
      </c>
      <c r="BO73" s="172" t="b">
        <v>0</v>
      </c>
      <c r="BP73" s="172">
        <v>0</v>
      </c>
      <c r="BQ73" s="173">
        <v>0</v>
      </c>
      <c r="BR73" s="173">
        <v>0</v>
      </c>
      <c r="BS73" s="179">
        <v>71</v>
      </c>
      <c r="BT73" s="173">
        <v>0</v>
      </c>
      <c r="BU73" s="237">
        <v>0</v>
      </c>
      <c r="BV73" s="173">
        <v>197</v>
      </c>
      <c r="BW73" s="180">
        <v>0</v>
      </c>
      <c r="BX73" s="180">
        <v>0</v>
      </c>
      <c r="BY73" s="172">
        <v>0</v>
      </c>
      <c r="BZ73" s="172">
        <v>0</v>
      </c>
      <c r="CA73" s="172">
        <v>0</v>
      </c>
      <c r="CB73" s="172">
        <v>1663000</v>
      </c>
      <c r="CC73" s="172">
        <v>0</v>
      </c>
      <c r="CD73" s="172">
        <v>0</v>
      </c>
      <c r="CE73" s="172">
        <v>0</v>
      </c>
      <c r="CF73" s="172">
        <v>0</v>
      </c>
      <c r="CG73" s="172">
        <v>0</v>
      </c>
      <c r="CH73" s="172">
        <v>0</v>
      </c>
      <c r="CI73" s="172">
        <v>0</v>
      </c>
      <c r="CJ73" s="172">
        <v>0</v>
      </c>
      <c r="CK73" s="173">
        <v>0</v>
      </c>
      <c r="CL73" s="173">
        <v>0</v>
      </c>
    </row>
    <row r="74" spans="1:90" outlineLevel="3" x14ac:dyDescent="0.25">
      <c r="A74" s="143" t="s">
        <v>356</v>
      </c>
      <c r="B74" s="143" t="s">
        <v>453</v>
      </c>
      <c r="C74" s="143" t="s">
        <v>419</v>
      </c>
      <c r="D74" s="143" t="s">
        <v>420</v>
      </c>
      <c r="E74" s="143" t="s">
        <v>227</v>
      </c>
      <c r="F74" s="143" t="s">
        <v>203</v>
      </c>
      <c r="G74" s="143" t="s">
        <v>454</v>
      </c>
      <c r="H74" s="143" t="s">
        <v>342</v>
      </c>
      <c r="I74" s="169" t="s">
        <v>362</v>
      </c>
      <c r="J74" s="171">
        <v>1</v>
      </c>
      <c r="K74" s="171">
        <v>1</v>
      </c>
      <c r="L74" s="173">
        <v>0</v>
      </c>
      <c r="M74" s="173">
        <v>0</v>
      </c>
      <c r="N74" s="173">
        <v>0</v>
      </c>
      <c r="O74" s="172">
        <v>1012500</v>
      </c>
      <c r="P74" s="173">
        <v>1012500</v>
      </c>
      <c r="Q74" s="173">
        <v>0</v>
      </c>
      <c r="R74" s="175" t="s">
        <v>462</v>
      </c>
      <c r="S74" s="175">
        <v>0</v>
      </c>
      <c r="T74" s="175">
        <v>0</v>
      </c>
      <c r="U74" s="251">
        <v>1012500</v>
      </c>
      <c r="V74" s="172" t="s">
        <v>345</v>
      </c>
      <c r="W74" s="172">
        <v>0</v>
      </c>
      <c r="X74" s="172">
        <v>0</v>
      </c>
      <c r="Y74" s="172">
        <v>0</v>
      </c>
      <c r="Z74" s="172">
        <v>0</v>
      </c>
      <c r="AA74" s="172">
        <v>0</v>
      </c>
      <c r="AB74" s="172">
        <v>0</v>
      </c>
      <c r="AC74" s="251">
        <v>1012500</v>
      </c>
      <c r="AD74" s="172">
        <v>0</v>
      </c>
      <c r="AE74" s="172">
        <v>0</v>
      </c>
      <c r="AF74" s="172">
        <v>0</v>
      </c>
      <c r="AG74" s="172">
        <v>0</v>
      </c>
      <c r="AH74" s="252">
        <v>0</v>
      </c>
      <c r="AI74" s="172">
        <v>0</v>
      </c>
      <c r="AJ74" s="172">
        <v>0</v>
      </c>
      <c r="AK74" s="253">
        <v>0</v>
      </c>
      <c r="AL74" s="176">
        <v>0</v>
      </c>
      <c r="AM74" s="172">
        <v>1012500</v>
      </c>
      <c r="AN74" s="173">
        <v>0</v>
      </c>
      <c r="AO74" s="176">
        <v>0</v>
      </c>
      <c r="AP74" s="172">
        <v>1012500</v>
      </c>
      <c r="AQ74" s="177">
        <v>1</v>
      </c>
      <c r="AR74" s="172">
        <v>0</v>
      </c>
      <c r="AS74" s="172">
        <v>1012500</v>
      </c>
      <c r="AT74" s="172">
        <v>0</v>
      </c>
      <c r="AU74" s="172">
        <v>0</v>
      </c>
      <c r="AV74" s="172">
        <v>0</v>
      </c>
      <c r="AW74" s="172">
        <v>0</v>
      </c>
      <c r="AX74" s="172">
        <v>0</v>
      </c>
      <c r="AY74" s="172">
        <v>0</v>
      </c>
      <c r="AZ74" s="172">
        <v>0</v>
      </c>
      <c r="BA74" s="172">
        <v>0</v>
      </c>
      <c r="BB74" s="172" t="s">
        <v>203</v>
      </c>
      <c r="BC74" s="172" t="s">
        <v>203</v>
      </c>
      <c r="BD74" s="172">
        <v>0</v>
      </c>
      <c r="BE74" s="172">
        <v>0</v>
      </c>
      <c r="BF74" s="172">
        <v>0</v>
      </c>
      <c r="BG74" s="172">
        <v>0</v>
      </c>
      <c r="BH74" s="172">
        <v>0</v>
      </c>
      <c r="BI74" s="172">
        <v>0</v>
      </c>
      <c r="BJ74" s="172">
        <v>0</v>
      </c>
      <c r="BK74" s="172">
        <v>0</v>
      </c>
      <c r="BL74" s="172">
        <v>1012500</v>
      </c>
      <c r="BM74" s="172" t="s">
        <v>346</v>
      </c>
      <c r="BN74" s="172">
        <v>0</v>
      </c>
      <c r="BO74" s="172" t="b">
        <v>0</v>
      </c>
      <c r="BP74" s="172">
        <v>0</v>
      </c>
      <c r="BQ74" s="174">
        <v>0</v>
      </c>
      <c r="BR74" s="173">
        <v>0</v>
      </c>
      <c r="BS74" s="179">
        <v>71</v>
      </c>
      <c r="BT74" s="173">
        <v>0</v>
      </c>
      <c r="BU74" s="237">
        <v>0</v>
      </c>
      <c r="BV74" s="173">
        <v>216</v>
      </c>
      <c r="BW74" s="180">
        <v>0</v>
      </c>
      <c r="BX74" s="180">
        <v>0</v>
      </c>
      <c r="BY74" s="172">
        <v>0</v>
      </c>
      <c r="BZ74" s="172">
        <v>0</v>
      </c>
      <c r="CA74" s="172">
        <v>0</v>
      </c>
      <c r="CB74" s="172">
        <v>1012500</v>
      </c>
      <c r="CC74" s="172">
        <v>0</v>
      </c>
      <c r="CD74" s="172">
        <v>0</v>
      </c>
      <c r="CE74" s="172">
        <v>0</v>
      </c>
      <c r="CF74" s="172">
        <v>0</v>
      </c>
      <c r="CG74" s="172">
        <v>0</v>
      </c>
      <c r="CH74" s="172">
        <v>0</v>
      </c>
      <c r="CI74" s="172">
        <v>0</v>
      </c>
      <c r="CJ74" s="172">
        <v>0</v>
      </c>
      <c r="CK74" s="173">
        <v>0</v>
      </c>
      <c r="CL74" s="173">
        <v>0</v>
      </c>
    </row>
    <row r="75" spans="1:90" outlineLevel="3" x14ac:dyDescent="0.25">
      <c r="A75" s="143" t="s">
        <v>356</v>
      </c>
      <c r="B75" s="143" t="s">
        <v>453</v>
      </c>
      <c r="C75" s="143" t="s">
        <v>419</v>
      </c>
      <c r="D75" s="143" t="s">
        <v>420</v>
      </c>
      <c r="E75" s="143" t="s">
        <v>228</v>
      </c>
      <c r="F75" s="143" t="s">
        <v>203</v>
      </c>
      <c r="G75" s="143" t="s">
        <v>454</v>
      </c>
      <c r="H75" s="143" t="s">
        <v>342</v>
      </c>
      <c r="I75" s="169" t="s">
        <v>362</v>
      </c>
      <c r="J75" s="171">
        <v>1</v>
      </c>
      <c r="K75" s="171">
        <v>1</v>
      </c>
      <c r="L75" s="173">
        <v>0</v>
      </c>
      <c r="M75" s="173">
        <v>0</v>
      </c>
      <c r="N75" s="173">
        <v>0</v>
      </c>
      <c r="O75" s="172">
        <v>4451851.12</v>
      </c>
      <c r="P75" s="173">
        <v>4451851.12</v>
      </c>
      <c r="Q75" s="173">
        <v>0</v>
      </c>
      <c r="R75" s="175" t="s">
        <v>463</v>
      </c>
      <c r="S75" s="175">
        <v>0</v>
      </c>
      <c r="T75" s="175">
        <v>0</v>
      </c>
      <c r="U75" s="251">
        <v>4451851.12</v>
      </c>
      <c r="V75" s="172" t="s">
        <v>345</v>
      </c>
      <c r="W75" s="172">
        <v>0</v>
      </c>
      <c r="X75" s="172">
        <v>0</v>
      </c>
      <c r="Y75" s="172">
        <v>0</v>
      </c>
      <c r="Z75" s="172">
        <v>0</v>
      </c>
      <c r="AA75" s="172">
        <v>0</v>
      </c>
      <c r="AB75" s="172">
        <v>0</v>
      </c>
      <c r="AC75" s="251">
        <v>4451851.12</v>
      </c>
      <c r="AD75" s="172">
        <v>0</v>
      </c>
      <c r="AE75" s="172">
        <v>0</v>
      </c>
      <c r="AF75" s="172">
        <v>0</v>
      </c>
      <c r="AG75" s="172">
        <v>0</v>
      </c>
      <c r="AH75" s="252">
        <v>0</v>
      </c>
      <c r="AI75" s="172">
        <v>0</v>
      </c>
      <c r="AJ75" s="172">
        <v>0</v>
      </c>
      <c r="AK75" s="253">
        <v>0</v>
      </c>
      <c r="AL75" s="176">
        <v>0</v>
      </c>
      <c r="AM75" s="172">
        <v>4471200</v>
      </c>
      <c r="AN75" s="173">
        <v>0</v>
      </c>
      <c r="AO75" s="176">
        <v>0</v>
      </c>
      <c r="AP75" s="172">
        <v>4471200</v>
      </c>
      <c r="AQ75" s="177">
        <v>1</v>
      </c>
      <c r="AR75" s="172">
        <v>0</v>
      </c>
      <c r="AS75" s="172">
        <v>4451851.12</v>
      </c>
      <c r="AT75" s="172">
        <v>0</v>
      </c>
      <c r="AU75" s="172">
        <v>0</v>
      </c>
      <c r="AV75" s="172">
        <v>0</v>
      </c>
      <c r="AW75" s="172">
        <v>0</v>
      </c>
      <c r="AX75" s="172">
        <v>0</v>
      </c>
      <c r="AY75" s="172">
        <v>0</v>
      </c>
      <c r="AZ75" s="172">
        <v>0</v>
      </c>
      <c r="BA75" s="172">
        <v>0</v>
      </c>
      <c r="BB75" s="172" t="s">
        <v>203</v>
      </c>
      <c r="BC75" s="172" t="s">
        <v>203</v>
      </c>
      <c r="BD75" s="172">
        <v>0</v>
      </c>
      <c r="BE75" s="172">
        <v>0</v>
      </c>
      <c r="BF75" s="172">
        <v>0</v>
      </c>
      <c r="BG75" s="172">
        <v>0</v>
      </c>
      <c r="BH75" s="172">
        <v>0</v>
      </c>
      <c r="BI75" s="172">
        <v>0</v>
      </c>
      <c r="BJ75" s="172">
        <v>0</v>
      </c>
      <c r="BK75" s="172">
        <v>0</v>
      </c>
      <c r="BL75" s="172">
        <v>4471200</v>
      </c>
      <c r="BM75" s="172" t="s">
        <v>346</v>
      </c>
      <c r="BN75" s="172">
        <v>0</v>
      </c>
      <c r="BO75" s="172" t="b">
        <v>0</v>
      </c>
      <c r="BP75" s="172">
        <v>0</v>
      </c>
      <c r="BQ75" s="174">
        <v>0</v>
      </c>
      <c r="BR75" s="173">
        <v>0</v>
      </c>
      <c r="BS75" s="179">
        <v>71</v>
      </c>
      <c r="BT75" s="173">
        <v>0</v>
      </c>
      <c r="BU75" s="237">
        <v>0</v>
      </c>
      <c r="BV75" s="173">
        <v>229</v>
      </c>
      <c r="BW75" s="180">
        <v>0</v>
      </c>
      <c r="BX75" s="180">
        <v>0</v>
      </c>
      <c r="BY75" s="172">
        <v>0</v>
      </c>
      <c r="BZ75" s="172">
        <v>-19348.88</v>
      </c>
      <c r="CA75" s="172">
        <v>-19348.88</v>
      </c>
      <c r="CB75" s="172">
        <v>4451851.12</v>
      </c>
      <c r="CC75" s="172">
        <v>0</v>
      </c>
      <c r="CD75" s="172">
        <v>0</v>
      </c>
      <c r="CE75" s="172">
        <v>0</v>
      </c>
      <c r="CF75" s="172">
        <v>0</v>
      </c>
      <c r="CG75" s="172">
        <v>0</v>
      </c>
      <c r="CH75" s="172">
        <v>0</v>
      </c>
      <c r="CI75" s="172">
        <v>0</v>
      </c>
      <c r="CJ75" s="172">
        <v>0</v>
      </c>
      <c r="CK75" s="173">
        <v>0</v>
      </c>
      <c r="CL75" s="173">
        <v>0</v>
      </c>
    </row>
    <row r="76" spans="1:90" s="195" customFormat="1" ht="20.100000000000001" customHeight="1" outlineLevel="2" x14ac:dyDescent="0.25">
      <c r="A76" s="182" t="s">
        <v>369</v>
      </c>
      <c r="B76" s="182"/>
      <c r="C76" s="182"/>
      <c r="D76" s="182"/>
      <c r="E76" s="182"/>
      <c r="F76" s="182"/>
      <c r="G76" s="182"/>
      <c r="H76" s="182"/>
      <c r="I76" s="183"/>
      <c r="J76" s="185"/>
      <c r="K76" s="185"/>
      <c r="L76" s="187"/>
      <c r="M76" s="187"/>
      <c r="N76" s="187"/>
      <c r="O76" s="186"/>
      <c r="P76" s="187"/>
      <c r="Q76" s="187"/>
      <c r="R76" s="189">
        <v>0</v>
      </c>
      <c r="S76" s="189">
        <v>0</v>
      </c>
      <c r="T76" s="189">
        <v>0</v>
      </c>
      <c r="U76" s="254">
        <v>8620105.4900000002</v>
      </c>
      <c r="V76" s="186"/>
      <c r="W76" s="186">
        <v>0</v>
      </c>
      <c r="X76" s="186">
        <v>0</v>
      </c>
      <c r="Y76" s="186">
        <v>0</v>
      </c>
      <c r="Z76" s="186">
        <v>0</v>
      </c>
      <c r="AA76" s="186">
        <v>0</v>
      </c>
      <c r="AB76" s="186">
        <v>0</v>
      </c>
      <c r="AC76" s="254">
        <v>8620105.4900000002</v>
      </c>
      <c r="AD76" s="186">
        <v>0</v>
      </c>
      <c r="AE76" s="186">
        <v>0</v>
      </c>
      <c r="AF76" s="186">
        <v>0</v>
      </c>
      <c r="AG76" s="186">
        <v>0</v>
      </c>
      <c r="AH76" s="255">
        <v>0</v>
      </c>
      <c r="AI76" s="186">
        <v>0</v>
      </c>
      <c r="AJ76" s="186">
        <v>0</v>
      </c>
      <c r="AK76" s="256">
        <v>0</v>
      </c>
      <c r="AL76" s="190"/>
      <c r="AM76" s="186">
        <v>8644425</v>
      </c>
      <c r="AN76" s="187"/>
      <c r="AO76" s="190"/>
      <c r="AP76" s="186">
        <v>8644425</v>
      </c>
      <c r="AQ76" s="191"/>
      <c r="AR76" s="186"/>
      <c r="AS76" s="186"/>
      <c r="AT76" s="186">
        <v>0</v>
      </c>
      <c r="AU76" s="186">
        <v>0</v>
      </c>
      <c r="AV76" s="186">
        <v>0</v>
      </c>
      <c r="AW76" s="186">
        <v>0</v>
      </c>
      <c r="AX76" s="186">
        <v>0</v>
      </c>
      <c r="AY76" s="186">
        <v>0</v>
      </c>
      <c r="AZ76" s="186">
        <v>0</v>
      </c>
      <c r="BA76" s="186">
        <v>0</v>
      </c>
      <c r="BB76" s="186"/>
      <c r="BC76" s="186"/>
      <c r="BD76" s="186"/>
      <c r="BE76" s="186"/>
      <c r="BF76" s="186"/>
      <c r="BG76" s="186"/>
      <c r="BH76" s="186"/>
      <c r="BI76" s="186"/>
      <c r="BJ76" s="186"/>
      <c r="BK76" s="186"/>
      <c r="BL76" s="186"/>
      <c r="BM76" s="186"/>
      <c r="BN76" s="186"/>
      <c r="BO76" s="186"/>
      <c r="BP76" s="186"/>
      <c r="BQ76" s="188"/>
      <c r="BR76" s="187"/>
      <c r="BS76" s="193"/>
      <c r="BT76" s="187"/>
      <c r="BU76" s="230"/>
      <c r="BV76" s="187"/>
      <c r="BW76" s="194"/>
      <c r="BX76" s="194"/>
      <c r="BY76" s="186"/>
      <c r="BZ76" s="186"/>
      <c r="CA76" s="186">
        <v>-24319.51</v>
      </c>
      <c r="CB76" s="186"/>
      <c r="CC76" s="186"/>
      <c r="CD76" s="186"/>
      <c r="CE76" s="186"/>
      <c r="CF76" s="186"/>
      <c r="CG76" s="186"/>
      <c r="CH76" s="186"/>
      <c r="CI76" s="186"/>
      <c r="CJ76" s="186"/>
      <c r="CK76" s="187"/>
      <c r="CL76" s="187"/>
    </row>
    <row r="77" spans="1:90" outlineLevel="3" x14ac:dyDescent="0.25">
      <c r="A77" s="143" t="s">
        <v>398</v>
      </c>
      <c r="B77" s="143" t="s">
        <v>453</v>
      </c>
      <c r="C77" s="143" t="s">
        <v>419</v>
      </c>
      <c r="D77" s="143" t="s">
        <v>420</v>
      </c>
      <c r="E77" s="143" t="s">
        <v>229</v>
      </c>
      <c r="F77" s="143" t="s">
        <v>203</v>
      </c>
      <c r="G77" s="143" t="s">
        <v>454</v>
      </c>
      <c r="H77" s="207" t="s">
        <v>361</v>
      </c>
      <c r="I77" s="169" t="s">
        <v>343</v>
      </c>
      <c r="J77" s="170">
        <v>1000</v>
      </c>
      <c r="K77" s="171">
        <v>1000</v>
      </c>
      <c r="L77" s="173">
        <v>0</v>
      </c>
      <c r="M77" s="173">
        <v>0</v>
      </c>
      <c r="N77" s="173">
        <v>1</v>
      </c>
      <c r="O77" s="172">
        <v>1360</v>
      </c>
      <c r="P77" s="174">
        <v>1360</v>
      </c>
      <c r="Q77" s="174">
        <v>0</v>
      </c>
      <c r="R77" s="175" t="s">
        <v>464</v>
      </c>
      <c r="S77" s="175">
        <v>0</v>
      </c>
      <c r="T77" s="175">
        <v>0</v>
      </c>
      <c r="U77" s="251">
        <v>1360000</v>
      </c>
      <c r="V77" s="172" t="s">
        <v>345</v>
      </c>
      <c r="W77" s="172">
        <v>0</v>
      </c>
      <c r="X77" s="172">
        <v>0</v>
      </c>
      <c r="Y77" s="172">
        <v>0</v>
      </c>
      <c r="Z77" s="172">
        <v>0</v>
      </c>
      <c r="AA77" s="172">
        <v>0</v>
      </c>
      <c r="AB77" s="172">
        <v>0</v>
      </c>
      <c r="AC77" s="251">
        <v>1360000</v>
      </c>
      <c r="AD77" s="172">
        <v>0</v>
      </c>
      <c r="AE77" s="172">
        <v>0</v>
      </c>
      <c r="AF77" s="172">
        <v>0</v>
      </c>
      <c r="AG77" s="172">
        <v>0</v>
      </c>
      <c r="AH77" s="252">
        <v>0</v>
      </c>
      <c r="AI77" s="172">
        <v>0</v>
      </c>
      <c r="AJ77" s="172">
        <v>0</v>
      </c>
      <c r="AK77" s="253">
        <v>0</v>
      </c>
      <c r="AL77" s="176">
        <v>0</v>
      </c>
      <c r="AM77" s="172">
        <v>1360000</v>
      </c>
      <c r="AN77" s="176">
        <v>0</v>
      </c>
      <c r="AO77" s="173">
        <v>0</v>
      </c>
      <c r="AP77" s="172">
        <v>1360000</v>
      </c>
      <c r="AQ77" s="177">
        <v>1</v>
      </c>
      <c r="AR77" s="172">
        <v>1360000</v>
      </c>
      <c r="AS77" s="172">
        <v>1360</v>
      </c>
      <c r="AT77" s="172">
        <v>0</v>
      </c>
      <c r="AU77" s="172">
        <v>0</v>
      </c>
      <c r="AV77" s="172">
        <v>0</v>
      </c>
      <c r="AW77" s="172">
        <v>0</v>
      </c>
      <c r="AX77" s="172">
        <v>0</v>
      </c>
      <c r="AY77" s="172">
        <v>0</v>
      </c>
      <c r="AZ77" s="172">
        <v>0</v>
      </c>
      <c r="BA77" s="172">
        <v>0</v>
      </c>
      <c r="BB77" s="172" t="s">
        <v>203</v>
      </c>
      <c r="BC77" s="172" t="s">
        <v>203</v>
      </c>
      <c r="BD77" s="172">
        <v>0</v>
      </c>
      <c r="BE77" s="172">
        <v>0</v>
      </c>
      <c r="BF77" s="172">
        <v>0</v>
      </c>
      <c r="BG77" s="172">
        <v>0</v>
      </c>
      <c r="BH77" s="172">
        <v>0</v>
      </c>
      <c r="BI77" s="172">
        <v>0</v>
      </c>
      <c r="BJ77" s="172">
        <v>0</v>
      </c>
      <c r="BK77" s="172">
        <v>0</v>
      </c>
      <c r="BL77" s="180">
        <v>1360000</v>
      </c>
      <c r="BM77" s="172" t="s">
        <v>346</v>
      </c>
      <c r="BN77" s="172">
        <v>0</v>
      </c>
      <c r="BO77" s="172" t="b">
        <v>0</v>
      </c>
      <c r="BP77" s="172">
        <v>0</v>
      </c>
      <c r="BQ77" s="173">
        <v>2360</v>
      </c>
      <c r="BR77" s="173">
        <v>2360000</v>
      </c>
      <c r="BS77" s="179">
        <v>65</v>
      </c>
      <c r="BT77" s="173">
        <v>0</v>
      </c>
      <c r="BU77" s="237">
        <v>0</v>
      </c>
      <c r="BV77" s="173">
        <v>54</v>
      </c>
      <c r="BW77" s="180">
        <v>0</v>
      </c>
      <c r="BX77" s="180">
        <v>0</v>
      </c>
      <c r="BY77" s="172">
        <v>0</v>
      </c>
      <c r="BZ77" s="172">
        <v>0</v>
      </c>
      <c r="CA77" s="172">
        <v>0</v>
      </c>
      <c r="CB77" s="172">
        <v>1360000</v>
      </c>
      <c r="CC77" s="172">
        <v>0</v>
      </c>
      <c r="CD77" s="172">
        <v>0</v>
      </c>
      <c r="CE77" s="172">
        <v>0</v>
      </c>
      <c r="CF77" s="172">
        <v>0</v>
      </c>
      <c r="CG77" s="172">
        <v>0</v>
      </c>
      <c r="CH77" s="172">
        <v>0</v>
      </c>
      <c r="CI77" s="172">
        <v>0</v>
      </c>
      <c r="CJ77" s="172">
        <v>0</v>
      </c>
      <c r="CK77" s="173">
        <v>0</v>
      </c>
      <c r="CL77" s="173">
        <v>0</v>
      </c>
    </row>
    <row r="78" spans="1:90" outlineLevel="3" x14ac:dyDescent="0.25">
      <c r="A78" s="143" t="s">
        <v>398</v>
      </c>
      <c r="B78" s="143" t="s">
        <v>453</v>
      </c>
      <c r="C78" s="143" t="s">
        <v>419</v>
      </c>
      <c r="D78" s="143" t="s">
        <v>420</v>
      </c>
      <c r="E78" s="143" t="s">
        <v>230</v>
      </c>
      <c r="F78" s="143" t="s">
        <v>203</v>
      </c>
      <c r="G78" s="143" t="s">
        <v>454</v>
      </c>
      <c r="H78" s="207" t="s">
        <v>361</v>
      </c>
      <c r="I78" s="169" t="s">
        <v>465</v>
      </c>
      <c r="J78" s="170">
        <v>30000</v>
      </c>
      <c r="K78" s="171">
        <v>30000</v>
      </c>
      <c r="L78" s="173">
        <v>0</v>
      </c>
      <c r="M78" s="173">
        <v>0</v>
      </c>
      <c r="N78" s="173">
        <v>1</v>
      </c>
      <c r="O78" s="172">
        <v>3870.5</v>
      </c>
      <c r="P78" s="174">
        <v>3870.5</v>
      </c>
      <c r="Q78" s="174">
        <v>0</v>
      </c>
      <c r="R78" s="175" t="s">
        <v>466</v>
      </c>
      <c r="S78" s="175">
        <v>0</v>
      </c>
      <c r="T78" s="175">
        <v>0</v>
      </c>
      <c r="U78" s="251">
        <v>116115000</v>
      </c>
      <c r="V78" s="172" t="s">
        <v>345</v>
      </c>
      <c r="W78" s="172">
        <v>0</v>
      </c>
      <c r="X78" s="172">
        <v>0</v>
      </c>
      <c r="Y78" s="172">
        <v>0</v>
      </c>
      <c r="Z78" s="172">
        <v>0</v>
      </c>
      <c r="AA78" s="172">
        <v>0</v>
      </c>
      <c r="AB78" s="172">
        <v>0</v>
      </c>
      <c r="AC78" s="251">
        <v>116115000</v>
      </c>
      <c r="AD78" s="172">
        <v>0</v>
      </c>
      <c r="AE78" s="172">
        <v>0</v>
      </c>
      <c r="AF78" s="172">
        <v>0</v>
      </c>
      <c r="AG78" s="172">
        <v>0</v>
      </c>
      <c r="AH78" s="252">
        <v>0</v>
      </c>
      <c r="AI78" s="172">
        <v>0</v>
      </c>
      <c r="AJ78" s="172">
        <v>0</v>
      </c>
      <c r="AK78" s="253">
        <v>0</v>
      </c>
      <c r="AL78" s="176">
        <v>0</v>
      </c>
      <c r="AM78" s="172">
        <v>116115000</v>
      </c>
      <c r="AN78" s="176">
        <v>0</v>
      </c>
      <c r="AO78" s="173">
        <v>0</v>
      </c>
      <c r="AP78" s="172">
        <v>116115000</v>
      </c>
      <c r="AQ78" s="177">
        <v>1</v>
      </c>
      <c r="AR78" s="172">
        <v>116115000</v>
      </c>
      <c r="AS78" s="172">
        <v>3870.5</v>
      </c>
      <c r="AT78" s="172">
        <v>0</v>
      </c>
      <c r="AU78" s="172">
        <v>0</v>
      </c>
      <c r="AV78" s="172">
        <v>0</v>
      </c>
      <c r="AW78" s="172">
        <v>0</v>
      </c>
      <c r="AX78" s="172">
        <v>0</v>
      </c>
      <c r="AY78" s="172">
        <v>0</v>
      </c>
      <c r="AZ78" s="172">
        <v>0</v>
      </c>
      <c r="BA78" s="172">
        <v>0</v>
      </c>
      <c r="BB78" s="172" t="s">
        <v>203</v>
      </c>
      <c r="BC78" s="172" t="s">
        <v>203</v>
      </c>
      <c r="BD78" s="172">
        <v>0</v>
      </c>
      <c r="BE78" s="172">
        <v>0</v>
      </c>
      <c r="BF78" s="172">
        <v>0</v>
      </c>
      <c r="BG78" s="172">
        <v>0</v>
      </c>
      <c r="BH78" s="172">
        <v>0</v>
      </c>
      <c r="BI78" s="172">
        <v>0</v>
      </c>
      <c r="BJ78" s="172">
        <v>0</v>
      </c>
      <c r="BK78" s="172">
        <v>0</v>
      </c>
      <c r="BL78" s="180">
        <v>116115000</v>
      </c>
      <c r="BM78" s="172" t="s">
        <v>346</v>
      </c>
      <c r="BN78" s="172">
        <v>0</v>
      </c>
      <c r="BO78" s="172" t="b">
        <v>0</v>
      </c>
      <c r="BP78" s="172">
        <v>0</v>
      </c>
      <c r="BQ78" s="173">
        <v>1000</v>
      </c>
      <c r="BR78" s="173">
        <v>30000000</v>
      </c>
      <c r="BS78" s="179">
        <v>65</v>
      </c>
      <c r="BT78" s="173">
        <v>0</v>
      </c>
      <c r="BU78" s="237">
        <v>0</v>
      </c>
      <c r="BV78" s="173">
        <v>67</v>
      </c>
      <c r="BW78" s="180">
        <v>0</v>
      </c>
      <c r="BX78" s="180">
        <v>0</v>
      </c>
      <c r="BY78" s="172">
        <v>0</v>
      </c>
      <c r="BZ78" s="172">
        <v>0</v>
      </c>
      <c r="CA78" s="172">
        <v>0</v>
      </c>
      <c r="CB78" s="172">
        <v>116115000</v>
      </c>
      <c r="CC78" s="172">
        <v>0</v>
      </c>
      <c r="CD78" s="172">
        <v>0</v>
      </c>
      <c r="CE78" s="172">
        <v>0</v>
      </c>
      <c r="CF78" s="172">
        <v>0</v>
      </c>
      <c r="CG78" s="172">
        <v>0</v>
      </c>
      <c r="CH78" s="172">
        <v>0</v>
      </c>
      <c r="CI78" s="172">
        <v>0</v>
      </c>
      <c r="CJ78" s="172">
        <v>0</v>
      </c>
      <c r="CK78" s="173">
        <v>0</v>
      </c>
      <c r="CL78" s="173">
        <v>0</v>
      </c>
    </row>
    <row r="79" spans="1:90" s="195" customFormat="1" ht="20.100000000000001" customHeight="1" outlineLevel="2" x14ac:dyDescent="0.25">
      <c r="A79" s="182" t="s">
        <v>399</v>
      </c>
      <c r="B79" s="182"/>
      <c r="C79" s="182"/>
      <c r="D79" s="182"/>
      <c r="E79" s="182"/>
      <c r="F79" s="182"/>
      <c r="G79" s="182"/>
      <c r="H79" s="208"/>
      <c r="I79" s="183"/>
      <c r="J79" s="184"/>
      <c r="K79" s="185"/>
      <c r="L79" s="187"/>
      <c r="M79" s="187"/>
      <c r="N79" s="187"/>
      <c r="O79" s="186"/>
      <c r="P79" s="188"/>
      <c r="Q79" s="188"/>
      <c r="R79" s="189">
        <v>0</v>
      </c>
      <c r="S79" s="189">
        <v>0</v>
      </c>
      <c r="T79" s="189">
        <v>0</v>
      </c>
      <c r="U79" s="254">
        <v>117475000</v>
      </c>
      <c r="V79" s="186"/>
      <c r="W79" s="186">
        <v>0</v>
      </c>
      <c r="X79" s="186">
        <v>0</v>
      </c>
      <c r="Y79" s="186">
        <v>0</v>
      </c>
      <c r="Z79" s="186">
        <v>0</v>
      </c>
      <c r="AA79" s="186">
        <v>0</v>
      </c>
      <c r="AB79" s="186">
        <v>0</v>
      </c>
      <c r="AC79" s="254">
        <v>117475000</v>
      </c>
      <c r="AD79" s="186">
        <v>0</v>
      </c>
      <c r="AE79" s="186">
        <v>0</v>
      </c>
      <c r="AF79" s="186">
        <v>0</v>
      </c>
      <c r="AG79" s="186">
        <v>0</v>
      </c>
      <c r="AH79" s="255">
        <v>0</v>
      </c>
      <c r="AI79" s="186">
        <v>0</v>
      </c>
      <c r="AJ79" s="186">
        <v>0</v>
      </c>
      <c r="AK79" s="256">
        <v>0</v>
      </c>
      <c r="AL79" s="190"/>
      <c r="AM79" s="186">
        <v>117475000</v>
      </c>
      <c r="AN79" s="190"/>
      <c r="AO79" s="187"/>
      <c r="AP79" s="186">
        <v>117475000</v>
      </c>
      <c r="AQ79" s="191"/>
      <c r="AR79" s="186"/>
      <c r="AS79" s="186"/>
      <c r="AT79" s="186">
        <v>0</v>
      </c>
      <c r="AU79" s="186">
        <v>0</v>
      </c>
      <c r="AV79" s="186">
        <v>0</v>
      </c>
      <c r="AW79" s="186">
        <v>0</v>
      </c>
      <c r="AX79" s="186">
        <v>0</v>
      </c>
      <c r="AY79" s="186">
        <v>0</v>
      </c>
      <c r="AZ79" s="186">
        <v>0</v>
      </c>
      <c r="BA79" s="186">
        <v>0</v>
      </c>
      <c r="BB79" s="186"/>
      <c r="BC79" s="186"/>
      <c r="BD79" s="186"/>
      <c r="BE79" s="186"/>
      <c r="BF79" s="186"/>
      <c r="BG79" s="186"/>
      <c r="BH79" s="186"/>
      <c r="BI79" s="186"/>
      <c r="BJ79" s="186"/>
      <c r="BK79" s="186"/>
      <c r="BL79" s="194"/>
      <c r="BM79" s="186"/>
      <c r="BN79" s="186"/>
      <c r="BO79" s="186"/>
      <c r="BP79" s="186"/>
      <c r="BQ79" s="187"/>
      <c r="BR79" s="187"/>
      <c r="BS79" s="193"/>
      <c r="BT79" s="187"/>
      <c r="BU79" s="230"/>
      <c r="BV79" s="187"/>
      <c r="BW79" s="194"/>
      <c r="BX79" s="194"/>
      <c r="BY79" s="186"/>
      <c r="BZ79" s="186"/>
      <c r="CA79" s="186">
        <v>0</v>
      </c>
      <c r="CB79" s="186"/>
      <c r="CC79" s="186"/>
      <c r="CD79" s="186"/>
      <c r="CE79" s="186"/>
      <c r="CF79" s="186"/>
      <c r="CG79" s="186"/>
      <c r="CH79" s="186"/>
      <c r="CI79" s="186"/>
      <c r="CJ79" s="186"/>
      <c r="CK79" s="187"/>
      <c r="CL79" s="187"/>
    </row>
    <row r="80" spans="1:90" outlineLevel="3" x14ac:dyDescent="0.25">
      <c r="A80" s="143" t="s">
        <v>370</v>
      </c>
      <c r="B80" s="143" t="s">
        <v>453</v>
      </c>
      <c r="C80" s="143" t="s">
        <v>419</v>
      </c>
      <c r="D80" s="143" t="s">
        <v>420</v>
      </c>
      <c r="E80" s="143" t="s">
        <v>231</v>
      </c>
      <c r="F80" s="143" t="s">
        <v>467</v>
      </c>
      <c r="G80" s="143" t="s">
        <v>426</v>
      </c>
      <c r="H80" s="143" t="s">
        <v>351</v>
      </c>
      <c r="I80" s="169" t="s">
        <v>343</v>
      </c>
      <c r="J80" s="171">
        <v>0</v>
      </c>
      <c r="K80" s="171">
        <v>0</v>
      </c>
      <c r="L80" s="173">
        <v>0</v>
      </c>
      <c r="M80" s="173">
        <v>0</v>
      </c>
      <c r="N80" s="173">
        <v>1</v>
      </c>
      <c r="O80" s="172">
        <v>1.9261637239165328</v>
      </c>
      <c r="P80" s="174">
        <v>1.8607635547000321</v>
      </c>
      <c r="Q80" s="174">
        <v>6.5400169216500714E-2</v>
      </c>
      <c r="R80" s="175" t="s">
        <v>468</v>
      </c>
      <c r="S80" s="175">
        <v>0</v>
      </c>
      <c r="T80" s="175">
        <v>0</v>
      </c>
      <c r="U80" s="251">
        <v>0</v>
      </c>
      <c r="V80" s="172" t="s">
        <v>345</v>
      </c>
      <c r="W80" s="172">
        <v>0</v>
      </c>
      <c r="X80" s="172">
        <v>0</v>
      </c>
      <c r="Y80" s="172">
        <v>0</v>
      </c>
      <c r="Z80" s="172">
        <v>0</v>
      </c>
      <c r="AA80" s="172">
        <v>0</v>
      </c>
      <c r="AB80" s="172">
        <v>0</v>
      </c>
      <c r="AC80" s="251">
        <v>0</v>
      </c>
      <c r="AD80" s="172">
        <v>0</v>
      </c>
      <c r="AE80" s="172">
        <v>0</v>
      </c>
      <c r="AF80" s="172">
        <v>0</v>
      </c>
      <c r="AG80" s="172">
        <v>0</v>
      </c>
      <c r="AH80" s="252">
        <v>0</v>
      </c>
      <c r="AI80" s="172">
        <v>0</v>
      </c>
      <c r="AJ80" s="172">
        <v>0</v>
      </c>
      <c r="AK80" s="253">
        <v>0</v>
      </c>
      <c r="AL80" s="176">
        <v>0</v>
      </c>
      <c r="AM80" s="172">
        <v>0</v>
      </c>
      <c r="AN80" s="173">
        <v>0</v>
      </c>
      <c r="AO80" s="176">
        <v>0</v>
      </c>
      <c r="AP80" s="172">
        <v>0</v>
      </c>
      <c r="AQ80" s="177">
        <v>1</v>
      </c>
      <c r="AR80" s="172">
        <v>0</v>
      </c>
      <c r="AS80" s="172">
        <v>1.9261637239165328</v>
      </c>
      <c r="AT80" s="172">
        <v>0</v>
      </c>
      <c r="AU80" s="172">
        <v>0</v>
      </c>
      <c r="AV80" s="172">
        <v>0</v>
      </c>
      <c r="AW80" s="172">
        <v>0</v>
      </c>
      <c r="AX80" s="172">
        <v>0</v>
      </c>
      <c r="AY80" s="172">
        <v>0</v>
      </c>
      <c r="AZ80" s="172">
        <v>0</v>
      </c>
      <c r="BA80" s="172">
        <v>0</v>
      </c>
      <c r="BB80" s="172">
        <v>1.9261637239165328</v>
      </c>
      <c r="BC80" s="172">
        <v>1.8607635547000321</v>
      </c>
      <c r="BD80" s="172">
        <v>0</v>
      </c>
      <c r="BE80" s="172">
        <v>0</v>
      </c>
      <c r="BF80" s="172">
        <v>0</v>
      </c>
      <c r="BG80" s="172">
        <v>0</v>
      </c>
      <c r="BH80" s="172">
        <v>0</v>
      </c>
      <c r="BI80" s="172">
        <v>0</v>
      </c>
      <c r="BJ80" s="172">
        <v>0</v>
      </c>
      <c r="BK80" s="172">
        <v>0</v>
      </c>
      <c r="BL80" s="172">
        <v>0</v>
      </c>
      <c r="BM80" s="172" t="s">
        <v>353</v>
      </c>
      <c r="BN80" s="172">
        <v>0</v>
      </c>
      <c r="BO80" s="172" t="b">
        <v>0</v>
      </c>
      <c r="BP80" s="172">
        <v>0</v>
      </c>
      <c r="BQ80" s="174">
        <v>9.4999962000015206</v>
      </c>
      <c r="BR80" s="173">
        <v>0</v>
      </c>
      <c r="BS80" s="179">
        <v>64</v>
      </c>
      <c r="BT80" s="173">
        <v>0</v>
      </c>
      <c r="BU80" s="237">
        <v>0</v>
      </c>
      <c r="BV80" s="173">
        <v>4</v>
      </c>
      <c r="BW80" s="180">
        <v>1.9261637239165328</v>
      </c>
      <c r="BX80" s="180">
        <v>0</v>
      </c>
      <c r="BY80" s="172">
        <v>0</v>
      </c>
      <c r="BZ80" s="172">
        <v>0</v>
      </c>
      <c r="CA80" s="172">
        <v>0</v>
      </c>
      <c r="CB80" s="172">
        <v>0</v>
      </c>
      <c r="CC80" s="172">
        <v>0</v>
      </c>
      <c r="CD80" s="172">
        <v>0</v>
      </c>
      <c r="CE80" s="172">
        <v>0</v>
      </c>
      <c r="CF80" s="172">
        <v>0</v>
      </c>
      <c r="CG80" s="172">
        <v>0</v>
      </c>
      <c r="CH80" s="172">
        <v>0</v>
      </c>
      <c r="CI80" s="172">
        <v>0</v>
      </c>
      <c r="CJ80" s="172">
        <v>0</v>
      </c>
      <c r="CK80" s="173">
        <v>0</v>
      </c>
      <c r="CL80" s="173">
        <v>0</v>
      </c>
    </row>
    <row r="81" spans="1:90" outlineLevel="3" x14ac:dyDescent="0.25">
      <c r="A81" s="143" t="s">
        <v>370</v>
      </c>
      <c r="B81" s="143" t="s">
        <v>453</v>
      </c>
      <c r="C81" s="143" t="s">
        <v>419</v>
      </c>
      <c r="D81" s="143" t="s">
        <v>420</v>
      </c>
      <c r="E81" s="143" t="s">
        <v>232</v>
      </c>
      <c r="F81" s="143" t="s">
        <v>469</v>
      </c>
      <c r="G81" s="143" t="s">
        <v>454</v>
      </c>
      <c r="H81" s="143" t="s">
        <v>351</v>
      </c>
      <c r="I81" s="169" t="s">
        <v>343</v>
      </c>
      <c r="J81" s="171">
        <v>59891</v>
      </c>
      <c r="K81" s="171">
        <v>59891</v>
      </c>
      <c r="L81" s="173">
        <v>0</v>
      </c>
      <c r="M81" s="173">
        <v>0</v>
      </c>
      <c r="N81" s="173">
        <v>1</v>
      </c>
      <c r="O81" s="172">
        <v>5.6875</v>
      </c>
      <c r="P81" s="174">
        <v>5.6875</v>
      </c>
      <c r="Q81" s="174">
        <v>0</v>
      </c>
      <c r="R81" s="175" t="s">
        <v>470</v>
      </c>
      <c r="S81" s="175">
        <v>0</v>
      </c>
      <c r="T81" s="175">
        <v>0</v>
      </c>
      <c r="U81" s="251">
        <v>340630.0625</v>
      </c>
      <c r="V81" s="172" t="s">
        <v>345</v>
      </c>
      <c r="W81" s="172">
        <v>0</v>
      </c>
      <c r="X81" s="172">
        <v>0</v>
      </c>
      <c r="Y81" s="172">
        <v>0</v>
      </c>
      <c r="Z81" s="172">
        <v>0</v>
      </c>
      <c r="AA81" s="172">
        <v>0</v>
      </c>
      <c r="AB81" s="172">
        <v>0</v>
      </c>
      <c r="AC81" s="251">
        <v>340630.0625</v>
      </c>
      <c r="AD81" s="172">
        <v>0</v>
      </c>
      <c r="AE81" s="172">
        <v>0</v>
      </c>
      <c r="AF81" s="172">
        <v>0</v>
      </c>
      <c r="AG81" s="172">
        <v>0</v>
      </c>
      <c r="AH81" s="252">
        <v>-44918.25</v>
      </c>
      <c r="AI81" s="172">
        <v>0</v>
      </c>
      <c r="AJ81" s="172">
        <v>11230.1875</v>
      </c>
      <c r="AK81" s="253">
        <v>-33688.0625</v>
      </c>
      <c r="AL81" s="176">
        <v>0</v>
      </c>
      <c r="AM81" s="172">
        <v>385548.3125</v>
      </c>
      <c r="AN81" s="173">
        <v>0</v>
      </c>
      <c r="AO81" s="176">
        <v>0</v>
      </c>
      <c r="AP81" s="172">
        <v>385548.3125</v>
      </c>
      <c r="AQ81" s="177">
        <v>1</v>
      </c>
      <c r="AR81" s="172">
        <v>340630.0625</v>
      </c>
      <c r="AS81" s="172">
        <v>5.6875</v>
      </c>
      <c r="AT81" s="172">
        <v>18715.9375</v>
      </c>
      <c r="AU81" s="172">
        <v>0</v>
      </c>
      <c r="AV81" s="172">
        <v>11230.1875</v>
      </c>
      <c r="AW81" s="172">
        <v>29946.125</v>
      </c>
      <c r="AX81" s="172">
        <v>-11230.1875</v>
      </c>
      <c r="AY81" s="172">
        <v>0</v>
      </c>
      <c r="AZ81" s="172">
        <v>11230.1875</v>
      </c>
      <c r="BA81" s="172">
        <v>0</v>
      </c>
      <c r="BB81" s="172">
        <v>5.6875</v>
      </c>
      <c r="BC81" s="172">
        <v>5.6875</v>
      </c>
      <c r="BD81" s="172">
        <v>18715.9375</v>
      </c>
      <c r="BE81" s="172">
        <v>0</v>
      </c>
      <c r="BF81" s="172">
        <v>11230.1875</v>
      </c>
      <c r="BG81" s="172">
        <v>29946.125</v>
      </c>
      <c r="BH81" s="172">
        <v>-11230.1875</v>
      </c>
      <c r="BI81" s="172">
        <v>0</v>
      </c>
      <c r="BJ81" s="172">
        <v>11230.1875</v>
      </c>
      <c r="BK81" s="172">
        <v>0</v>
      </c>
      <c r="BL81" s="172">
        <v>385548.3125</v>
      </c>
      <c r="BM81" s="172" t="s">
        <v>353</v>
      </c>
      <c r="BN81" s="172">
        <v>0</v>
      </c>
      <c r="BO81" s="172" t="b">
        <v>0</v>
      </c>
      <c r="BP81" s="172">
        <v>11230.1875</v>
      </c>
      <c r="BQ81" s="174">
        <v>1.1200000000000001</v>
      </c>
      <c r="BR81" s="173">
        <v>67077.919999999998</v>
      </c>
      <c r="BS81" s="179">
        <v>64</v>
      </c>
      <c r="BT81" s="173">
        <v>0</v>
      </c>
      <c r="BU81" s="237">
        <v>59891</v>
      </c>
      <c r="BV81" s="173">
        <v>12</v>
      </c>
      <c r="BW81" s="180">
        <v>5.6875</v>
      </c>
      <c r="BX81" s="180">
        <v>0</v>
      </c>
      <c r="BY81" s="172">
        <v>0</v>
      </c>
      <c r="BZ81" s="172">
        <v>0</v>
      </c>
      <c r="CA81" s="172">
        <v>0</v>
      </c>
      <c r="CB81" s="172">
        <v>351860.25</v>
      </c>
      <c r="CC81" s="172">
        <v>0</v>
      </c>
      <c r="CD81" s="172">
        <v>0</v>
      </c>
      <c r="CE81" s="172">
        <v>0</v>
      </c>
      <c r="CF81" s="172">
        <v>0</v>
      </c>
      <c r="CG81" s="172">
        <v>-44918.25</v>
      </c>
      <c r="CH81" s="172">
        <v>0</v>
      </c>
      <c r="CI81" s="172">
        <v>11230.1875</v>
      </c>
      <c r="CJ81" s="172">
        <v>-33688.0625</v>
      </c>
      <c r="CK81" s="173">
        <v>0</v>
      </c>
      <c r="CL81" s="173">
        <v>0</v>
      </c>
    </row>
    <row r="82" spans="1:90" outlineLevel="3" x14ac:dyDescent="0.25">
      <c r="A82" s="143" t="s">
        <v>370</v>
      </c>
      <c r="B82" s="143" t="s">
        <v>453</v>
      </c>
      <c r="C82" s="143" t="s">
        <v>419</v>
      </c>
      <c r="D82" s="143" t="s">
        <v>420</v>
      </c>
      <c r="E82" s="143" t="s">
        <v>233</v>
      </c>
      <c r="F82" s="143" t="s">
        <v>471</v>
      </c>
      <c r="G82" s="143" t="s">
        <v>454</v>
      </c>
      <c r="H82" s="143" t="s">
        <v>351</v>
      </c>
      <c r="I82" s="169" t="s">
        <v>343</v>
      </c>
      <c r="J82" s="171">
        <v>0</v>
      </c>
      <c r="K82" s="171">
        <v>0</v>
      </c>
      <c r="L82" s="173">
        <v>0</v>
      </c>
      <c r="M82" s="173">
        <v>0</v>
      </c>
      <c r="N82" s="173">
        <v>1</v>
      </c>
      <c r="O82" s="172">
        <v>3.1460674157303372</v>
      </c>
      <c r="P82" s="174">
        <v>3.1440487648379856</v>
      </c>
      <c r="Q82" s="174">
        <v>2.0186508923516477E-3</v>
      </c>
      <c r="R82" s="175" t="s">
        <v>472</v>
      </c>
      <c r="S82" s="175">
        <v>0</v>
      </c>
      <c r="T82" s="175">
        <v>0</v>
      </c>
      <c r="U82" s="251">
        <v>0</v>
      </c>
      <c r="V82" s="172" t="s">
        <v>345</v>
      </c>
      <c r="W82" s="172">
        <v>0</v>
      </c>
      <c r="X82" s="172">
        <v>0</v>
      </c>
      <c r="Y82" s="172">
        <v>0</v>
      </c>
      <c r="Z82" s="172">
        <v>0</v>
      </c>
      <c r="AA82" s="172">
        <v>0</v>
      </c>
      <c r="AB82" s="172">
        <v>0</v>
      </c>
      <c r="AC82" s="251">
        <v>0</v>
      </c>
      <c r="AD82" s="172">
        <v>0</v>
      </c>
      <c r="AE82" s="172">
        <v>0</v>
      </c>
      <c r="AF82" s="172">
        <v>0</v>
      </c>
      <c r="AG82" s="172">
        <v>0</v>
      </c>
      <c r="AH82" s="252">
        <v>0</v>
      </c>
      <c r="AI82" s="172">
        <v>0</v>
      </c>
      <c r="AJ82" s="172">
        <v>0</v>
      </c>
      <c r="AK82" s="253">
        <v>0</v>
      </c>
      <c r="AL82" s="176">
        <v>0</v>
      </c>
      <c r="AM82" s="172">
        <v>0</v>
      </c>
      <c r="AN82" s="173">
        <v>0</v>
      </c>
      <c r="AO82" s="176">
        <v>0</v>
      </c>
      <c r="AP82" s="172">
        <v>0</v>
      </c>
      <c r="AQ82" s="177">
        <v>1</v>
      </c>
      <c r="AR82" s="172">
        <v>0</v>
      </c>
      <c r="AS82" s="172">
        <v>3.1460674157303372</v>
      </c>
      <c r="AT82" s="172">
        <v>0</v>
      </c>
      <c r="AU82" s="172">
        <v>0</v>
      </c>
      <c r="AV82" s="172">
        <v>0</v>
      </c>
      <c r="AW82" s="172">
        <v>0</v>
      </c>
      <c r="AX82" s="172">
        <v>0</v>
      </c>
      <c r="AY82" s="172">
        <v>0</v>
      </c>
      <c r="AZ82" s="172">
        <v>0</v>
      </c>
      <c r="BA82" s="172">
        <v>0</v>
      </c>
      <c r="BB82" s="172">
        <v>3.1460674157303372</v>
      </c>
      <c r="BC82" s="172">
        <v>3.1440487648379856</v>
      </c>
      <c r="BD82" s="172">
        <v>0</v>
      </c>
      <c r="BE82" s="172">
        <v>0</v>
      </c>
      <c r="BF82" s="172">
        <v>0</v>
      </c>
      <c r="BG82" s="172">
        <v>0</v>
      </c>
      <c r="BH82" s="172">
        <v>0</v>
      </c>
      <c r="BI82" s="172">
        <v>0</v>
      </c>
      <c r="BJ82" s="172">
        <v>0</v>
      </c>
      <c r="BK82" s="172">
        <v>0</v>
      </c>
      <c r="BL82" s="172">
        <v>0</v>
      </c>
      <c r="BM82" s="172" t="s">
        <v>353</v>
      </c>
      <c r="BN82" s="172">
        <v>0</v>
      </c>
      <c r="BO82" s="172" t="b">
        <v>0</v>
      </c>
      <c r="BP82" s="172">
        <v>0</v>
      </c>
      <c r="BQ82" s="174">
        <v>2.92</v>
      </c>
      <c r="BR82" s="173">
        <v>0</v>
      </c>
      <c r="BS82" s="179">
        <v>64</v>
      </c>
      <c r="BT82" s="173">
        <v>0</v>
      </c>
      <c r="BU82" s="237">
        <v>0</v>
      </c>
      <c r="BV82" s="173">
        <v>17</v>
      </c>
      <c r="BW82" s="180">
        <v>3.1460674157303372</v>
      </c>
      <c r="BX82" s="180">
        <v>0</v>
      </c>
      <c r="BY82" s="172">
        <v>0</v>
      </c>
      <c r="BZ82" s="172">
        <v>0</v>
      </c>
      <c r="CA82" s="172">
        <v>0</v>
      </c>
      <c r="CB82" s="172">
        <v>0</v>
      </c>
      <c r="CC82" s="172">
        <v>0</v>
      </c>
      <c r="CD82" s="172">
        <v>0</v>
      </c>
      <c r="CE82" s="172">
        <v>0</v>
      </c>
      <c r="CF82" s="172">
        <v>0</v>
      </c>
      <c r="CG82" s="172">
        <v>0</v>
      </c>
      <c r="CH82" s="172">
        <v>0</v>
      </c>
      <c r="CI82" s="172">
        <v>0</v>
      </c>
      <c r="CJ82" s="172">
        <v>0</v>
      </c>
      <c r="CK82" s="173">
        <v>0</v>
      </c>
      <c r="CL82" s="173">
        <v>0</v>
      </c>
    </row>
    <row r="83" spans="1:90" outlineLevel="3" x14ac:dyDescent="0.25">
      <c r="A83" s="143" t="s">
        <v>370</v>
      </c>
      <c r="B83" s="143" t="s">
        <v>453</v>
      </c>
      <c r="C83" s="143" t="s">
        <v>419</v>
      </c>
      <c r="D83" s="143" t="s">
        <v>420</v>
      </c>
      <c r="E83" s="143" t="s">
        <v>234</v>
      </c>
      <c r="F83" s="143" t="s">
        <v>416</v>
      </c>
      <c r="G83" s="143" t="s">
        <v>454</v>
      </c>
      <c r="H83" s="143" t="s">
        <v>351</v>
      </c>
      <c r="I83" s="169" t="s">
        <v>343</v>
      </c>
      <c r="J83" s="171">
        <v>804243</v>
      </c>
      <c r="K83" s="171">
        <v>804243</v>
      </c>
      <c r="L83" s="173">
        <v>0</v>
      </c>
      <c r="M83" s="173">
        <v>0.03</v>
      </c>
      <c r="N83" s="173">
        <v>1</v>
      </c>
      <c r="O83" s="172">
        <v>8.625</v>
      </c>
      <c r="P83" s="174">
        <v>9</v>
      </c>
      <c r="Q83" s="174">
        <v>-0.375</v>
      </c>
      <c r="R83" s="175" t="s">
        <v>473</v>
      </c>
      <c r="S83" s="175">
        <v>0</v>
      </c>
      <c r="T83" s="175">
        <v>0</v>
      </c>
      <c r="U83" s="251">
        <v>6936595.875</v>
      </c>
      <c r="V83" s="172" t="s">
        <v>345</v>
      </c>
      <c r="W83" s="172">
        <v>2913370.2675000001</v>
      </c>
      <c r="X83" s="172">
        <v>0</v>
      </c>
      <c r="Y83" s="172">
        <v>2913370.2675000001</v>
      </c>
      <c r="Z83" s="172">
        <v>2705272.3912499999</v>
      </c>
      <c r="AA83" s="172">
        <v>0</v>
      </c>
      <c r="AB83" s="172">
        <v>2705272.3912499999</v>
      </c>
      <c r="AC83" s="251">
        <v>7238187</v>
      </c>
      <c r="AD83" s="172">
        <v>-301591.125</v>
      </c>
      <c r="AE83" s="172">
        <v>0</v>
      </c>
      <c r="AF83" s="172">
        <v>301591.125</v>
      </c>
      <c r="AG83" s="172">
        <v>0</v>
      </c>
      <c r="AH83" s="252">
        <v>-904773.375</v>
      </c>
      <c r="AI83" s="172">
        <v>0</v>
      </c>
      <c r="AJ83" s="172">
        <v>-804242.8125</v>
      </c>
      <c r="AK83" s="253">
        <v>-1709016.1875</v>
      </c>
      <c r="AL83" s="176">
        <v>0</v>
      </c>
      <c r="AM83" s="172">
        <v>7841369.25</v>
      </c>
      <c r="AN83" s="173">
        <v>0</v>
      </c>
      <c r="AO83" s="176">
        <v>0</v>
      </c>
      <c r="AP83" s="172">
        <v>7841369.25</v>
      </c>
      <c r="AQ83" s="177">
        <v>1</v>
      </c>
      <c r="AR83" s="172">
        <v>6936595.875</v>
      </c>
      <c r="AS83" s="172">
        <v>8.625</v>
      </c>
      <c r="AT83" s="172">
        <v>703712.625</v>
      </c>
      <c r="AU83" s="172">
        <v>0</v>
      </c>
      <c r="AV83" s="172">
        <v>-804242.8125</v>
      </c>
      <c r="AW83" s="172">
        <v>-100530.1875</v>
      </c>
      <c r="AX83" s="172">
        <v>804242.8125</v>
      </c>
      <c r="AY83" s="172">
        <v>0</v>
      </c>
      <c r="AZ83" s="172">
        <v>-804242.8125</v>
      </c>
      <c r="BA83" s="172">
        <v>0</v>
      </c>
      <c r="BB83" s="172">
        <v>8.625</v>
      </c>
      <c r="BC83" s="172">
        <v>9</v>
      </c>
      <c r="BD83" s="172">
        <v>1005303.75</v>
      </c>
      <c r="BE83" s="172">
        <v>0</v>
      </c>
      <c r="BF83" s="172">
        <v>-1105833.9375</v>
      </c>
      <c r="BG83" s="172">
        <v>-100530.1875</v>
      </c>
      <c r="BH83" s="172">
        <v>1105833.9375</v>
      </c>
      <c r="BI83" s="172">
        <v>0</v>
      </c>
      <c r="BJ83" s="172">
        <v>-1105833.9375</v>
      </c>
      <c r="BK83" s="172">
        <v>0</v>
      </c>
      <c r="BL83" s="172">
        <v>7841369.25</v>
      </c>
      <c r="BM83" s="172" t="s">
        <v>353</v>
      </c>
      <c r="BN83" s="172">
        <v>0</v>
      </c>
      <c r="BO83" s="172" t="b">
        <v>0</v>
      </c>
      <c r="BP83" s="172">
        <v>-1105833.9375</v>
      </c>
      <c r="BQ83" s="174">
        <v>7.5</v>
      </c>
      <c r="BR83" s="173">
        <v>6031822.5</v>
      </c>
      <c r="BS83" s="179">
        <v>64</v>
      </c>
      <c r="BT83" s="173">
        <v>-301591.125</v>
      </c>
      <c r="BU83" s="237">
        <v>804243</v>
      </c>
      <c r="BV83" s="173">
        <v>38</v>
      </c>
      <c r="BW83" s="180">
        <v>8.625</v>
      </c>
      <c r="BX83" s="180">
        <v>0</v>
      </c>
      <c r="BY83" s="172">
        <v>0</v>
      </c>
      <c r="BZ83" s="172">
        <v>0</v>
      </c>
      <c r="CA83" s="172">
        <v>0</v>
      </c>
      <c r="CB83" s="172">
        <v>6132353.0625</v>
      </c>
      <c r="CC83" s="172">
        <v>0</v>
      </c>
      <c r="CD83" s="172">
        <v>0</v>
      </c>
      <c r="CE83" s="172">
        <v>0</v>
      </c>
      <c r="CF83" s="172">
        <v>0</v>
      </c>
      <c r="CG83" s="172">
        <v>-603182.25</v>
      </c>
      <c r="CH83" s="172">
        <v>0</v>
      </c>
      <c r="CI83" s="172">
        <v>-1105833.9375</v>
      </c>
      <c r="CJ83" s="172">
        <v>-1709016.1875</v>
      </c>
      <c r="CK83" s="173">
        <v>0.42</v>
      </c>
      <c r="CL83" s="173">
        <v>0</v>
      </c>
    </row>
    <row r="84" spans="1:90" s="195" customFormat="1" ht="20.100000000000001" customHeight="1" outlineLevel="2" x14ac:dyDescent="0.25">
      <c r="A84" s="182" t="s">
        <v>371</v>
      </c>
      <c r="B84" s="182"/>
      <c r="C84" s="182"/>
      <c r="D84" s="182"/>
      <c r="E84" s="182"/>
      <c r="F84" s="182"/>
      <c r="G84" s="182"/>
      <c r="H84" s="182"/>
      <c r="I84" s="183"/>
      <c r="J84" s="185"/>
      <c r="K84" s="185"/>
      <c r="L84" s="187"/>
      <c r="M84" s="187"/>
      <c r="N84" s="187"/>
      <c r="O84" s="186"/>
      <c r="P84" s="188"/>
      <c r="Q84" s="188"/>
      <c r="R84" s="189">
        <v>0</v>
      </c>
      <c r="S84" s="189">
        <v>0</v>
      </c>
      <c r="T84" s="189">
        <v>0</v>
      </c>
      <c r="U84" s="254">
        <v>7277225.9375</v>
      </c>
      <c r="V84" s="186"/>
      <c r="W84" s="186">
        <v>2913370.2675000001</v>
      </c>
      <c r="X84" s="186">
        <v>0</v>
      </c>
      <c r="Y84" s="186">
        <v>2913370.2675000001</v>
      </c>
      <c r="Z84" s="186">
        <v>2705272.3912499999</v>
      </c>
      <c r="AA84" s="186">
        <v>0</v>
      </c>
      <c r="AB84" s="186">
        <v>2705272.3912499999</v>
      </c>
      <c r="AC84" s="254">
        <v>7578817.0625</v>
      </c>
      <c r="AD84" s="186">
        <v>-301591.125</v>
      </c>
      <c r="AE84" s="186">
        <v>0</v>
      </c>
      <c r="AF84" s="186">
        <v>301591.125</v>
      </c>
      <c r="AG84" s="186">
        <v>0</v>
      </c>
      <c r="AH84" s="255">
        <v>-949691.625</v>
      </c>
      <c r="AI84" s="186">
        <v>0</v>
      </c>
      <c r="AJ84" s="186">
        <v>-793012.625</v>
      </c>
      <c r="AK84" s="256">
        <v>-1742704.25</v>
      </c>
      <c r="AL84" s="190"/>
      <c r="AM84" s="186">
        <v>8226917.5625</v>
      </c>
      <c r="AN84" s="187"/>
      <c r="AO84" s="190"/>
      <c r="AP84" s="186">
        <v>8226917.5625</v>
      </c>
      <c r="AQ84" s="191"/>
      <c r="AR84" s="186"/>
      <c r="AS84" s="186"/>
      <c r="AT84" s="186">
        <v>722428.5625</v>
      </c>
      <c r="AU84" s="186">
        <v>0</v>
      </c>
      <c r="AV84" s="186">
        <v>-793012.625</v>
      </c>
      <c r="AW84" s="186">
        <v>-70584.0625</v>
      </c>
      <c r="AX84" s="186">
        <v>793012.625</v>
      </c>
      <c r="AY84" s="186">
        <v>0</v>
      </c>
      <c r="AZ84" s="186">
        <v>-793012.625</v>
      </c>
      <c r="BA84" s="186">
        <v>0</v>
      </c>
      <c r="BB84" s="186"/>
      <c r="BC84" s="186"/>
      <c r="BD84" s="186"/>
      <c r="BE84" s="186"/>
      <c r="BF84" s="186"/>
      <c r="BG84" s="186"/>
      <c r="BH84" s="186"/>
      <c r="BI84" s="186"/>
      <c r="BJ84" s="186"/>
      <c r="BK84" s="186"/>
      <c r="BL84" s="186"/>
      <c r="BM84" s="186"/>
      <c r="BN84" s="186"/>
      <c r="BO84" s="186"/>
      <c r="BP84" s="186"/>
      <c r="BQ84" s="188"/>
      <c r="BR84" s="187"/>
      <c r="BS84" s="193"/>
      <c r="BT84" s="187"/>
      <c r="BU84" s="230"/>
      <c r="BV84" s="187"/>
      <c r="BW84" s="194"/>
      <c r="BX84" s="194"/>
      <c r="BY84" s="186"/>
      <c r="BZ84" s="186"/>
      <c r="CA84" s="186">
        <v>0</v>
      </c>
      <c r="CB84" s="186"/>
      <c r="CC84" s="186"/>
      <c r="CD84" s="186"/>
      <c r="CE84" s="186"/>
      <c r="CF84" s="186"/>
      <c r="CG84" s="186"/>
      <c r="CH84" s="186"/>
      <c r="CI84" s="186"/>
      <c r="CJ84" s="186"/>
      <c r="CK84" s="187"/>
      <c r="CL84" s="187"/>
    </row>
    <row r="85" spans="1:90" outlineLevel="3" x14ac:dyDescent="0.25">
      <c r="A85" s="143" t="s">
        <v>391</v>
      </c>
      <c r="B85" s="143" t="s">
        <v>453</v>
      </c>
      <c r="C85" s="143" t="s">
        <v>419</v>
      </c>
      <c r="D85" s="143" t="s">
        <v>420</v>
      </c>
      <c r="E85" s="143" t="s">
        <v>235</v>
      </c>
      <c r="F85" s="143" t="s">
        <v>203</v>
      </c>
      <c r="G85" s="143" t="s">
        <v>454</v>
      </c>
      <c r="H85" s="143" t="s">
        <v>342</v>
      </c>
      <c r="I85" s="169" t="s">
        <v>392</v>
      </c>
      <c r="J85" s="171">
        <v>1</v>
      </c>
      <c r="K85" s="171">
        <v>1</v>
      </c>
      <c r="L85" s="173">
        <v>0</v>
      </c>
      <c r="M85" s="173">
        <v>0</v>
      </c>
      <c r="N85" s="173">
        <v>0</v>
      </c>
      <c r="O85" s="172">
        <v>2013591.6599838899</v>
      </c>
      <c r="P85" s="173">
        <v>2013591.6599838899</v>
      </c>
      <c r="Q85" s="173">
        <v>0</v>
      </c>
      <c r="R85" s="175" t="s">
        <v>474</v>
      </c>
      <c r="S85" s="175">
        <v>0</v>
      </c>
      <c r="T85" s="175">
        <v>0</v>
      </c>
      <c r="U85" s="251">
        <v>2013591.6599838899</v>
      </c>
      <c r="V85" s="172" t="s">
        <v>345</v>
      </c>
      <c r="W85" s="172">
        <v>0</v>
      </c>
      <c r="X85" s="172">
        <v>0</v>
      </c>
      <c r="Y85" s="172">
        <v>0</v>
      </c>
      <c r="Z85" s="172">
        <v>0</v>
      </c>
      <c r="AA85" s="172">
        <v>0</v>
      </c>
      <c r="AB85" s="172">
        <v>0</v>
      </c>
      <c r="AC85" s="251">
        <v>2013591.6599838899</v>
      </c>
      <c r="AD85" s="172">
        <v>0</v>
      </c>
      <c r="AE85" s="172">
        <v>0</v>
      </c>
      <c r="AF85" s="172">
        <v>0</v>
      </c>
      <c r="AG85" s="172">
        <v>0</v>
      </c>
      <c r="AH85" s="252">
        <v>10892.84846088686</v>
      </c>
      <c r="AI85" s="172">
        <v>0</v>
      </c>
      <c r="AJ85" s="172">
        <v>-191227.664359366</v>
      </c>
      <c r="AK85" s="253">
        <v>-180334.81589847914</v>
      </c>
      <c r="AL85" s="176">
        <v>0</v>
      </c>
      <c r="AM85" s="172">
        <v>2002698.811523003</v>
      </c>
      <c r="AN85" s="173">
        <v>0</v>
      </c>
      <c r="AO85" s="176">
        <v>0</v>
      </c>
      <c r="AP85" s="172">
        <v>2002698.811523003</v>
      </c>
      <c r="AQ85" s="177">
        <v>1</v>
      </c>
      <c r="AR85" s="172">
        <v>0</v>
      </c>
      <c r="AS85" s="172">
        <v>2013591.6599838899</v>
      </c>
      <c r="AT85" s="172">
        <v>0</v>
      </c>
      <c r="AU85" s="172">
        <v>0</v>
      </c>
      <c r="AV85" s="172">
        <v>-191227.664359366</v>
      </c>
      <c r="AW85" s="172">
        <v>-191227.664359366</v>
      </c>
      <c r="AX85" s="172">
        <v>191227.66435936629</v>
      </c>
      <c r="AY85" s="172">
        <v>0</v>
      </c>
      <c r="AZ85" s="172">
        <v>-191227.664359366</v>
      </c>
      <c r="BA85" s="172">
        <v>2.9103830456733704E-10</v>
      </c>
      <c r="BB85" s="172" t="s">
        <v>203</v>
      </c>
      <c r="BC85" s="172" t="s">
        <v>203</v>
      </c>
      <c r="BD85" s="172">
        <v>0</v>
      </c>
      <c r="BE85" s="172">
        <v>0</v>
      </c>
      <c r="BF85" s="172">
        <v>-191227.664359366</v>
      </c>
      <c r="BG85" s="172">
        <v>-191227.664359366</v>
      </c>
      <c r="BH85" s="172">
        <v>191227.66435936629</v>
      </c>
      <c r="BI85" s="172">
        <v>0</v>
      </c>
      <c r="BJ85" s="172">
        <v>-191227.664359366</v>
      </c>
      <c r="BK85" s="172">
        <v>2.9103830456733704E-10</v>
      </c>
      <c r="BL85" s="172">
        <v>2002698.811523003</v>
      </c>
      <c r="BM85" s="172" t="s">
        <v>353</v>
      </c>
      <c r="BN85" s="172">
        <v>0</v>
      </c>
      <c r="BO85" s="172" t="b">
        <v>0</v>
      </c>
      <c r="BP85" s="172">
        <v>-191227.664359366</v>
      </c>
      <c r="BQ85" s="174">
        <v>0</v>
      </c>
      <c r="BR85" s="173">
        <v>0</v>
      </c>
      <c r="BS85" s="179">
        <v>72</v>
      </c>
      <c r="BT85" s="173">
        <v>0</v>
      </c>
      <c r="BU85" s="237">
        <v>0</v>
      </c>
      <c r="BV85" s="173">
        <v>269</v>
      </c>
      <c r="BW85" s="180">
        <v>0</v>
      </c>
      <c r="BX85" s="180">
        <v>0</v>
      </c>
      <c r="BY85" s="172">
        <v>0</v>
      </c>
      <c r="BZ85" s="172">
        <v>0</v>
      </c>
      <c r="CA85" s="172">
        <v>0</v>
      </c>
      <c r="CB85" s="172">
        <v>1822363.9956245236</v>
      </c>
      <c r="CC85" s="172">
        <v>0</v>
      </c>
      <c r="CD85" s="172">
        <v>0</v>
      </c>
      <c r="CE85" s="172">
        <v>0</v>
      </c>
      <c r="CF85" s="172">
        <v>0</v>
      </c>
      <c r="CG85" s="172">
        <v>10892.84846088686</v>
      </c>
      <c r="CH85" s="172">
        <v>0</v>
      </c>
      <c r="CI85" s="172">
        <v>-191227.664359366</v>
      </c>
      <c r="CJ85" s="172">
        <v>-180334.81589847914</v>
      </c>
      <c r="CK85" s="173">
        <v>0</v>
      </c>
      <c r="CL85" s="173">
        <v>0</v>
      </c>
    </row>
    <row r="86" spans="1:90" s="195" customFormat="1" ht="20.100000000000001" customHeight="1" outlineLevel="2" x14ac:dyDescent="0.25">
      <c r="A86" s="182" t="s">
        <v>394</v>
      </c>
      <c r="B86" s="182"/>
      <c r="C86" s="182"/>
      <c r="D86" s="182"/>
      <c r="E86" s="182"/>
      <c r="F86" s="182"/>
      <c r="G86" s="182"/>
      <c r="H86" s="182"/>
      <c r="I86" s="183"/>
      <c r="J86" s="185"/>
      <c r="K86" s="185"/>
      <c r="L86" s="187"/>
      <c r="M86" s="187"/>
      <c r="N86" s="187"/>
      <c r="O86" s="186"/>
      <c r="P86" s="187"/>
      <c r="Q86" s="187"/>
      <c r="R86" s="189">
        <v>0</v>
      </c>
      <c r="S86" s="189">
        <v>0</v>
      </c>
      <c r="T86" s="189">
        <v>0</v>
      </c>
      <c r="U86" s="254">
        <v>2013591.6599838899</v>
      </c>
      <c r="V86" s="186"/>
      <c r="W86" s="186">
        <v>0</v>
      </c>
      <c r="X86" s="186">
        <v>0</v>
      </c>
      <c r="Y86" s="186">
        <v>0</v>
      </c>
      <c r="Z86" s="186">
        <v>0</v>
      </c>
      <c r="AA86" s="186">
        <v>0</v>
      </c>
      <c r="AB86" s="186">
        <v>0</v>
      </c>
      <c r="AC86" s="254">
        <v>2013591.6599838899</v>
      </c>
      <c r="AD86" s="186">
        <v>0</v>
      </c>
      <c r="AE86" s="186">
        <v>0</v>
      </c>
      <c r="AF86" s="186">
        <v>0</v>
      </c>
      <c r="AG86" s="186">
        <v>0</v>
      </c>
      <c r="AH86" s="255">
        <v>10892.84846088686</v>
      </c>
      <c r="AI86" s="186">
        <v>0</v>
      </c>
      <c r="AJ86" s="186">
        <v>-191227.664359366</v>
      </c>
      <c r="AK86" s="256">
        <v>-180334.81589847914</v>
      </c>
      <c r="AL86" s="190"/>
      <c r="AM86" s="186">
        <v>2002698.811523003</v>
      </c>
      <c r="AN86" s="187"/>
      <c r="AO86" s="190"/>
      <c r="AP86" s="186">
        <v>2002698.811523003</v>
      </c>
      <c r="AQ86" s="191"/>
      <c r="AR86" s="186"/>
      <c r="AS86" s="186"/>
      <c r="AT86" s="186">
        <v>0</v>
      </c>
      <c r="AU86" s="186">
        <v>0</v>
      </c>
      <c r="AV86" s="186">
        <v>-191227.664359366</v>
      </c>
      <c r="AW86" s="186">
        <v>-191227.664359366</v>
      </c>
      <c r="AX86" s="186">
        <v>191227.66435936629</v>
      </c>
      <c r="AY86" s="186">
        <v>0</v>
      </c>
      <c r="AZ86" s="186">
        <v>-191227.664359366</v>
      </c>
      <c r="BA86" s="186">
        <v>2.9103830456733704E-10</v>
      </c>
      <c r="BB86" s="186"/>
      <c r="BC86" s="186"/>
      <c r="BD86" s="186"/>
      <c r="BE86" s="186"/>
      <c r="BF86" s="186"/>
      <c r="BG86" s="186"/>
      <c r="BH86" s="186"/>
      <c r="BI86" s="186"/>
      <c r="BJ86" s="186"/>
      <c r="BK86" s="186"/>
      <c r="BL86" s="186"/>
      <c r="BM86" s="186"/>
      <c r="BN86" s="186"/>
      <c r="BO86" s="186"/>
      <c r="BP86" s="186"/>
      <c r="BQ86" s="188"/>
      <c r="BR86" s="187"/>
      <c r="BS86" s="193"/>
      <c r="BT86" s="187"/>
      <c r="BU86" s="230"/>
      <c r="BV86" s="187"/>
      <c r="BW86" s="194"/>
      <c r="BX86" s="194"/>
      <c r="BY86" s="186"/>
      <c r="BZ86" s="186"/>
      <c r="CA86" s="186">
        <v>0</v>
      </c>
      <c r="CB86" s="186"/>
      <c r="CC86" s="186"/>
      <c r="CD86" s="186"/>
      <c r="CE86" s="186"/>
      <c r="CF86" s="186"/>
      <c r="CG86" s="186"/>
      <c r="CH86" s="186"/>
      <c r="CI86" s="186"/>
      <c r="CJ86" s="186"/>
      <c r="CK86" s="187"/>
      <c r="CL86" s="187"/>
    </row>
    <row r="87" spans="1:90" outlineLevel="3" x14ac:dyDescent="0.25">
      <c r="A87" s="143" t="s">
        <v>442</v>
      </c>
      <c r="B87" s="143" t="s">
        <v>453</v>
      </c>
      <c r="C87" s="143" t="s">
        <v>419</v>
      </c>
      <c r="D87" s="143" t="s">
        <v>420</v>
      </c>
      <c r="E87" s="143" t="s">
        <v>236</v>
      </c>
      <c r="F87" s="143" t="s">
        <v>443</v>
      </c>
      <c r="G87" s="143" t="s">
        <v>454</v>
      </c>
      <c r="H87" s="143" t="s">
        <v>380</v>
      </c>
      <c r="I87" s="169" t="s">
        <v>380</v>
      </c>
      <c r="J87" s="170">
        <v>1</v>
      </c>
      <c r="K87" s="171">
        <v>1</v>
      </c>
      <c r="L87" s="173">
        <v>0</v>
      </c>
      <c r="M87" s="173">
        <v>0</v>
      </c>
      <c r="N87" s="173">
        <v>1</v>
      </c>
      <c r="O87" s="172">
        <v>27082500</v>
      </c>
      <c r="P87" s="173">
        <v>27082500</v>
      </c>
      <c r="Q87" s="173">
        <v>0</v>
      </c>
      <c r="R87" s="175" t="s">
        <v>475</v>
      </c>
      <c r="S87" s="175">
        <v>0</v>
      </c>
      <c r="T87" s="175">
        <v>0</v>
      </c>
      <c r="U87" s="251">
        <v>27082500</v>
      </c>
      <c r="V87" s="172" t="s">
        <v>345</v>
      </c>
      <c r="W87" s="172">
        <v>0</v>
      </c>
      <c r="X87" s="172">
        <v>0</v>
      </c>
      <c r="Y87" s="172">
        <v>0</v>
      </c>
      <c r="Z87" s="172">
        <v>0</v>
      </c>
      <c r="AA87" s="172">
        <v>0</v>
      </c>
      <c r="AB87" s="172">
        <v>0</v>
      </c>
      <c r="AC87" s="251">
        <v>27082500</v>
      </c>
      <c r="AD87" s="172">
        <v>0</v>
      </c>
      <c r="AE87" s="172">
        <v>0</v>
      </c>
      <c r="AF87" s="172">
        <v>0</v>
      </c>
      <c r="AG87" s="172">
        <v>0</v>
      </c>
      <c r="AH87" s="252">
        <v>0</v>
      </c>
      <c r="AI87" s="172">
        <v>0</v>
      </c>
      <c r="AJ87" s="172">
        <v>0</v>
      </c>
      <c r="AK87" s="253">
        <v>0</v>
      </c>
      <c r="AL87" s="176">
        <v>0</v>
      </c>
      <c r="AM87" s="172">
        <v>27082500</v>
      </c>
      <c r="AN87" s="176">
        <v>0</v>
      </c>
      <c r="AO87" s="176">
        <v>0</v>
      </c>
      <c r="AP87" s="172">
        <v>27082500</v>
      </c>
      <c r="AQ87" s="177">
        <v>1</v>
      </c>
      <c r="AR87" s="172">
        <v>27082500</v>
      </c>
      <c r="AS87" s="172">
        <v>27082500</v>
      </c>
      <c r="AT87" s="172">
        <v>0</v>
      </c>
      <c r="AU87" s="172">
        <v>0</v>
      </c>
      <c r="AV87" s="172">
        <v>0</v>
      </c>
      <c r="AW87" s="172">
        <v>0</v>
      </c>
      <c r="AX87" s="172">
        <v>0</v>
      </c>
      <c r="AY87" s="172">
        <v>0</v>
      </c>
      <c r="AZ87" s="172">
        <v>0</v>
      </c>
      <c r="BA87" s="172">
        <v>0</v>
      </c>
      <c r="BB87" s="172" t="s">
        <v>203</v>
      </c>
      <c r="BC87" s="172" t="s">
        <v>203</v>
      </c>
      <c r="BD87" s="172">
        <v>0</v>
      </c>
      <c r="BE87" s="172">
        <v>0</v>
      </c>
      <c r="BF87" s="172">
        <v>0</v>
      </c>
      <c r="BG87" s="172">
        <v>0</v>
      </c>
      <c r="BH87" s="172">
        <v>0</v>
      </c>
      <c r="BI87" s="172">
        <v>0</v>
      </c>
      <c r="BJ87" s="172">
        <v>0</v>
      </c>
      <c r="BK87" s="172">
        <v>0</v>
      </c>
      <c r="BL87" s="172">
        <v>27082500</v>
      </c>
      <c r="BM87" s="172" t="s">
        <v>346</v>
      </c>
      <c r="BN87" s="172">
        <v>0</v>
      </c>
      <c r="BO87" s="172" t="b">
        <v>0</v>
      </c>
      <c r="BP87" s="172">
        <v>0</v>
      </c>
      <c r="BQ87" s="173">
        <v>0</v>
      </c>
      <c r="BR87" s="173">
        <v>0</v>
      </c>
      <c r="BS87" s="179">
        <v>67</v>
      </c>
      <c r="BT87" s="173">
        <v>0</v>
      </c>
      <c r="BU87" s="237">
        <v>0</v>
      </c>
      <c r="BV87" s="173">
        <v>125</v>
      </c>
      <c r="BW87" s="180">
        <v>0</v>
      </c>
      <c r="BX87" s="180">
        <v>0</v>
      </c>
      <c r="BY87" s="172">
        <v>0</v>
      </c>
      <c r="BZ87" s="172">
        <v>0</v>
      </c>
      <c r="CA87" s="172">
        <v>0</v>
      </c>
      <c r="CB87" s="172">
        <v>27082500</v>
      </c>
      <c r="CC87" s="172">
        <v>0</v>
      </c>
      <c r="CD87" s="172">
        <v>0</v>
      </c>
      <c r="CE87" s="172">
        <v>0</v>
      </c>
      <c r="CF87" s="172">
        <v>0</v>
      </c>
      <c r="CG87" s="172">
        <v>0</v>
      </c>
      <c r="CH87" s="172">
        <v>0</v>
      </c>
      <c r="CI87" s="172">
        <v>0</v>
      </c>
      <c r="CJ87" s="172">
        <v>0</v>
      </c>
      <c r="CK87" s="173">
        <v>0</v>
      </c>
      <c r="CL87" s="173">
        <v>0</v>
      </c>
    </row>
    <row r="88" spans="1:90" outlineLevel="3" x14ac:dyDescent="0.25">
      <c r="A88" s="143" t="s">
        <v>442</v>
      </c>
      <c r="B88" s="143" t="s">
        <v>453</v>
      </c>
      <c r="C88" s="143" t="s">
        <v>419</v>
      </c>
      <c r="D88" s="143" t="s">
        <v>420</v>
      </c>
      <c r="E88" s="143" t="s">
        <v>237</v>
      </c>
      <c r="F88" s="143" t="s">
        <v>443</v>
      </c>
      <c r="G88" s="143" t="s">
        <v>454</v>
      </c>
      <c r="H88" s="143" t="s">
        <v>380</v>
      </c>
      <c r="I88" s="169" t="s">
        <v>380</v>
      </c>
      <c r="J88" s="170">
        <v>1</v>
      </c>
      <c r="K88" s="171">
        <v>1</v>
      </c>
      <c r="L88" s="173">
        <v>0</v>
      </c>
      <c r="M88" s="173">
        <v>0</v>
      </c>
      <c r="N88" s="173">
        <v>1</v>
      </c>
      <c r="O88" s="172">
        <v>1374750</v>
      </c>
      <c r="P88" s="173">
        <v>1374750</v>
      </c>
      <c r="Q88" s="173">
        <v>0</v>
      </c>
      <c r="R88" s="175" t="s">
        <v>476</v>
      </c>
      <c r="S88" s="175">
        <v>0</v>
      </c>
      <c r="T88" s="175">
        <v>0</v>
      </c>
      <c r="U88" s="251">
        <v>1374750</v>
      </c>
      <c r="V88" s="172" t="s">
        <v>345</v>
      </c>
      <c r="W88" s="172">
        <v>0</v>
      </c>
      <c r="X88" s="172">
        <v>0</v>
      </c>
      <c r="Y88" s="172">
        <v>0</v>
      </c>
      <c r="Z88" s="172">
        <v>0</v>
      </c>
      <c r="AA88" s="172">
        <v>0</v>
      </c>
      <c r="AB88" s="172">
        <v>0</v>
      </c>
      <c r="AC88" s="251">
        <v>1374750</v>
      </c>
      <c r="AD88" s="172">
        <v>0</v>
      </c>
      <c r="AE88" s="172">
        <v>0</v>
      </c>
      <c r="AF88" s="172">
        <v>0</v>
      </c>
      <c r="AG88" s="172">
        <v>0</v>
      </c>
      <c r="AH88" s="252">
        <v>0</v>
      </c>
      <c r="AI88" s="172">
        <v>0</v>
      </c>
      <c r="AJ88" s="172">
        <v>0</v>
      </c>
      <c r="AK88" s="253">
        <v>0</v>
      </c>
      <c r="AL88" s="176">
        <v>0</v>
      </c>
      <c r="AM88" s="172">
        <v>1374750</v>
      </c>
      <c r="AN88" s="176">
        <v>0</v>
      </c>
      <c r="AO88" s="176">
        <v>0</v>
      </c>
      <c r="AP88" s="172">
        <v>1374750</v>
      </c>
      <c r="AQ88" s="177">
        <v>1</v>
      </c>
      <c r="AR88" s="172">
        <v>1374750</v>
      </c>
      <c r="AS88" s="172">
        <v>1374750</v>
      </c>
      <c r="AT88" s="172">
        <v>0</v>
      </c>
      <c r="AU88" s="172">
        <v>0</v>
      </c>
      <c r="AV88" s="172">
        <v>0</v>
      </c>
      <c r="AW88" s="172">
        <v>0</v>
      </c>
      <c r="AX88" s="172">
        <v>0</v>
      </c>
      <c r="AY88" s="172">
        <v>0</v>
      </c>
      <c r="AZ88" s="172">
        <v>0</v>
      </c>
      <c r="BA88" s="172">
        <v>0</v>
      </c>
      <c r="BB88" s="172" t="s">
        <v>203</v>
      </c>
      <c r="BC88" s="172" t="s">
        <v>203</v>
      </c>
      <c r="BD88" s="172">
        <v>0</v>
      </c>
      <c r="BE88" s="172">
        <v>0</v>
      </c>
      <c r="BF88" s="172">
        <v>0</v>
      </c>
      <c r="BG88" s="172">
        <v>0</v>
      </c>
      <c r="BH88" s="172">
        <v>0</v>
      </c>
      <c r="BI88" s="172">
        <v>0</v>
      </c>
      <c r="BJ88" s="172">
        <v>0</v>
      </c>
      <c r="BK88" s="172">
        <v>0</v>
      </c>
      <c r="BL88" s="172">
        <v>1374750</v>
      </c>
      <c r="BM88" s="172" t="s">
        <v>346</v>
      </c>
      <c r="BN88" s="172">
        <v>0</v>
      </c>
      <c r="BO88" s="172" t="b">
        <v>0</v>
      </c>
      <c r="BP88" s="172">
        <v>0</v>
      </c>
      <c r="BQ88" s="173">
        <v>0</v>
      </c>
      <c r="BR88" s="173">
        <v>0</v>
      </c>
      <c r="BS88" s="179">
        <v>67</v>
      </c>
      <c r="BT88" s="173">
        <v>0</v>
      </c>
      <c r="BU88" s="237">
        <v>0</v>
      </c>
      <c r="BV88" s="173">
        <v>129</v>
      </c>
      <c r="BW88" s="180">
        <v>0</v>
      </c>
      <c r="BX88" s="180">
        <v>0</v>
      </c>
      <c r="BY88" s="172">
        <v>0</v>
      </c>
      <c r="BZ88" s="172">
        <v>0</v>
      </c>
      <c r="CA88" s="172">
        <v>0</v>
      </c>
      <c r="CB88" s="172">
        <v>1374750</v>
      </c>
      <c r="CC88" s="172">
        <v>0</v>
      </c>
      <c r="CD88" s="172">
        <v>0</v>
      </c>
      <c r="CE88" s="172">
        <v>0</v>
      </c>
      <c r="CF88" s="172">
        <v>0</v>
      </c>
      <c r="CG88" s="172">
        <v>0</v>
      </c>
      <c r="CH88" s="172">
        <v>0</v>
      </c>
      <c r="CI88" s="172">
        <v>0</v>
      </c>
      <c r="CJ88" s="172">
        <v>0</v>
      </c>
      <c r="CK88" s="173">
        <v>0</v>
      </c>
      <c r="CL88" s="173">
        <v>0</v>
      </c>
    </row>
    <row r="89" spans="1:90" s="195" customFormat="1" ht="20.100000000000001" customHeight="1" outlineLevel="2" x14ac:dyDescent="0.25">
      <c r="A89" s="182" t="s">
        <v>445</v>
      </c>
      <c r="B89" s="182"/>
      <c r="C89" s="182"/>
      <c r="D89" s="182"/>
      <c r="E89" s="182"/>
      <c r="F89" s="182"/>
      <c r="G89" s="182"/>
      <c r="H89" s="182"/>
      <c r="I89" s="183"/>
      <c r="J89" s="184"/>
      <c r="K89" s="185"/>
      <c r="L89" s="187"/>
      <c r="M89" s="187"/>
      <c r="N89" s="187"/>
      <c r="O89" s="186"/>
      <c r="P89" s="187"/>
      <c r="Q89" s="187"/>
      <c r="R89" s="189">
        <v>0</v>
      </c>
      <c r="S89" s="189">
        <v>0</v>
      </c>
      <c r="T89" s="189">
        <v>0</v>
      </c>
      <c r="U89" s="254">
        <v>28457250</v>
      </c>
      <c r="V89" s="186"/>
      <c r="W89" s="186">
        <v>0</v>
      </c>
      <c r="X89" s="186">
        <v>0</v>
      </c>
      <c r="Y89" s="186">
        <v>0</v>
      </c>
      <c r="Z89" s="186">
        <v>0</v>
      </c>
      <c r="AA89" s="186">
        <v>0</v>
      </c>
      <c r="AB89" s="186">
        <v>0</v>
      </c>
      <c r="AC89" s="254">
        <v>28457250</v>
      </c>
      <c r="AD89" s="186">
        <v>0</v>
      </c>
      <c r="AE89" s="186">
        <v>0</v>
      </c>
      <c r="AF89" s="186">
        <v>0</v>
      </c>
      <c r="AG89" s="186">
        <v>0</v>
      </c>
      <c r="AH89" s="255">
        <v>0</v>
      </c>
      <c r="AI89" s="186">
        <v>0</v>
      </c>
      <c r="AJ89" s="186">
        <v>0</v>
      </c>
      <c r="AK89" s="256">
        <v>0</v>
      </c>
      <c r="AL89" s="190"/>
      <c r="AM89" s="186">
        <v>28457250</v>
      </c>
      <c r="AN89" s="190"/>
      <c r="AO89" s="190"/>
      <c r="AP89" s="186">
        <v>28457250</v>
      </c>
      <c r="AQ89" s="191"/>
      <c r="AR89" s="186"/>
      <c r="AS89" s="186"/>
      <c r="AT89" s="186">
        <v>0</v>
      </c>
      <c r="AU89" s="186">
        <v>0</v>
      </c>
      <c r="AV89" s="186">
        <v>0</v>
      </c>
      <c r="AW89" s="186">
        <v>0</v>
      </c>
      <c r="AX89" s="186">
        <v>0</v>
      </c>
      <c r="AY89" s="186">
        <v>0</v>
      </c>
      <c r="AZ89" s="186">
        <v>0</v>
      </c>
      <c r="BA89" s="186">
        <v>0</v>
      </c>
      <c r="BB89" s="186"/>
      <c r="BC89" s="186"/>
      <c r="BD89" s="186"/>
      <c r="BE89" s="186"/>
      <c r="BF89" s="186"/>
      <c r="BG89" s="186"/>
      <c r="BH89" s="186"/>
      <c r="BI89" s="186"/>
      <c r="BJ89" s="186"/>
      <c r="BK89" s="186"/>
      <c r="BL89" s="186"/>
      <c r="BM89" s="186"/>
      <c r="BN89" s="186"/>
      <c r="BO89" s="186"/>
      <c r="BP89" s="186"/>
      <c r="BQ89" s="187"/>
      <c r="BR89" s="187"/>
      <c r="BS89" s="193"/>
      <c r="BT89" s="187"/>
      <c r="BU89" s="230"/>
      <c r="BV89" s="187"/>
      <c r="BW89" s="194"/>
      <c r="BX89" s="194"/>
      <c r="BY89" s="186"/>
      <c r="BZ89" s="186"/>
      <c r="CA89" s="186">
        <v>0</v>
      </c>
      <c r="CB89" s="186"/>
      <c r="CC89" s="186"/>
      <c r="CD89" s="186"/>
      <c r="CE89" s="186"/>
      <c r="CF89" s="186"/>
      <c r="CG89" s="186"/>
      <c r="CH89" s="186"/>
      <c r="CI89" s="186"/>
      <c r="CJ89" s="186"/>
      <c r="CK89" s="187"/>
      <c r="CL89" s="187"/>
    </row>
    <row r="90" spans="1:90" s="206" customFormat="1" ht="30" customHeight="1" outlineLevel="1" x14ac:dyDescent="0.25">
      <c r="A90" s="182"/>
      <c r="B90" s="182" t="s">
        <v>477</v>
      </c>
      <c r="C90" s="182"/>
      <c r="D90" s="182"/>
      <c r="E90" s="182"/>
      <c r="F90" s="182"/>
      <c r="G90" s="182"/>
      <c r="H90" s="182"/>
      <c r="I90" s="183"/>
      <c r="J90" s="196"/>
      <c r="K90" s="196"/>
      <c r="L90" s="198"/>
      <c r="M90" s="198"/>
      <c r="N90" s="198"/>
      <c r="O90" s="197"/>
      <c r="P90" s="198"/>
      <c r="Q90" s="198"/>
      <c r="R90" s="200">
        <v>0</v>
      </c>
      <c r="S90" s="200">
        <v>0</v>
      </c>
      <c r="T90" s="200">
        <v>0</v>
      </c>
      <c r="U90" s="257">
        <v>246331311.60748389</v>
      </c>
      <c r="V90" s="197"/>
      <c r="W90" s="197">
        <v>2913370.2675000001</v>
      </c>
      <c r="X90" s="197">
        <v>0</v>
      </c>
      <c r="Y90" s="197">
        <v>2913370.2675000001</v>
      </c>
      <c r="Z90" s="197">
        <v>2705272.3912499999</v>
      </c>
      <c r="AA90" s="197">
        <v>0</v>
      </c>
      <c r="AB90" s="197">
        <v>2705272.3912499999</v>
      </c>
      <c r="AC90" s="257">
        <v>246632902.73248389</v>
      </c>
      <c r="AD90" s="197">
        <v>-301591.125</v>
      </c>
      <c r="AE90" s="197">
        <v>0</v>
      </c>
      <c r="AF90" s="197">
        <v>301591.125</v>
      </c>
      <c r="AG90" s="197">
        <v>0</v>
      </c>
      <c r="AH90" s="258">
        <v>-938798.77653911314</v>
      </c>
      <c r="AI90" s="197">
        <v>0</v>
      </c>
      <c r="AJ90" s="197">
        <v>-984240.28935936606</v>
      </c>
      <c r="AK90" s="259">
        <v>-1923039.0658984792</v>
      </c>
      <c r="AL90" s="201"/>
      <c r="AM90" s="197">
        <v>246286291.37402299</v>
      </c>
      <c r="AN90" s="201"/>
      <c r="AO90" s="201"/>
      <c r="AP90" s="197">
        <v>246286291.37402299</v>
      </c>
      <c r="AQ90" s="202"/>
      <c r="AR90" s="197"/>
      <c r="AS90" s="197"/>
      <c r="AT90" s="197">
        <v>722428.5625</v>
      </c>
      <c r="AU90" s="197">
        <v>0</v>
      </c>
      <c r="AV90" s="197">
        <v>-984240.28935936606</v>
      </c>
      <c r="AW90" s="197">
        <v>-261811.726859366</v>
      </c>
      <c r="AX90" s="197">
        <v>984240.28935936629</v>
      </c>
      <c r="AY90" s="197">
        <v>0</v>
      </c>
      <c r="AZ90" s="197">
        <v>-984240.28935936606</v>
      </c>
      <c r="BA90" s="197">
        <v>2.9103830456733704E-10</v>
      </c>
      <c r="BB90" s="197"/>
      <c r="BC90" s="197"/>
      <c r="BD90" s="197"/>
      <c r="BE90" s="197"/>
      <c r="BF90" s="197"/>
      <c r="BG90" s="197"/>
      <c r="BH90" s="197"/>
      <c r="BI90" s="197"/>
      <c r="BJ90" s="197"/>
      <c r="BK90" s="197"/>
      <c r="BL90" s="197"/>
      <c r="BM90" s="197"/>
      <c r="BN90" s="197"/>
      <c r="BO90" s="197"/>
      <c r="BP90" s="197"/>
      <c r="BQ90" s="198"/>
      <c r="BR90" s="198"/>
      <c r="BS90" s="204"/>
      <c r="BT90" s="198"/>
      <c r="BU90" s="231"/>
      <c r="BV90" s="198"/>
      <c r="BW90" s="205"/>
      <c r="BX90" s="205"/>
      <c r="BY90" s="197"/>
      <c r="BZ90" s="197"/>
      <c r="CA90" s="197">
        <v>983819.01</v>
      </c>
      <c r="CB90" s="197"/>
      <c r="CC90" s="197"/>
      <c r="CD90" s="197"/>
      <c r="CE90" s="197"/>
      <c r="CF90" s="197"/>
      <c r="CG90" s="197"/>
      <c r="CH90" s="197"/>
      <c r="CI90" s="197"/>
      <c r="CJ90" s="197"/>
      <c r="CK90" s="198"/>
      <c r="CL90" s="198"/>
    </row>
    <row r="91" spans="1:90" s="195" customFormat="1" ht="20.100000000000001" hidden="1" customHeight="1" x14ac:dyDescent="0.25">
      <c r="A91" s="182" t="s">
        <v>478</v>
      </c>
      <c r="B91" s="182"/>
      <c r="C91" s="182"/>
      <c r="D91" s="182"/>
      <c r="E91" s="182"/>
      <c r="F91" s="182"/>
      <c r="G91" s="182"/>
      <c r="H91" s="182"/>
      <c r="I91" s="183"/>
      <c r="J91" s="185"/>
      <c r="K91" s="185"/>
      <c r="L91" s="187"/>
      <c r="M91" s="187"/>
      <c r="N91" s="187"/>
      <c r="O91" s="186"/>
      <c r="P91" s="187"/>
      <c r="Q91" s="187"/>
      <c r="R91" s="189">
        <v>0</v>
      </c>
      <c r="S91" s="189">
        <v>0</v>
      </c>
      <c r="T91" s="189">
        <v>0</v>
      </c>
      <c r="U91" s="254">
        <v>523168062.10613942</v>
      </c>
      <c r="V91" s="186"/>
      <c r="W91" s="186">
        <v>16014395.391832897</v>
      </c>
      <c r="X91" s="186">
        <v>0</v>
      </c>
      <c r="Y91" s="186">
        <v>16014395.391832897</v>
      </c>
      <c r="Z91" s="186">
        <v>3378806.2034164499</v>
      </c>
      <c r="AA91" s="186">
        <v>0</v>
      </c>
      <c r="AB91" s="186">
        <v>3378806.2034164499</v>
      </c>
      <c r="AC91" s="254">
        <v>529746690.45182765</v>
      </c>
      <c r="AD91" s="186">
        <v>-6578628.3456882276</v>
      </c>
      <c r="AE91" s="186">
        <v>0</v>
      </c>
      <c r="AF91" s="186">
        <v>6578628.3456882276</v>
      </c>
      <c r="AG91" s="186">
        <v>0</v>
      </c>
      <c r="AH91" s="255">
        <v>-134557769.78822401</v>
      </c>
      <c r="AI91" s="186">
        <v>0</v>
      </c>
      <c r="AJ91" s="186">
        <v>193266311.03996557</v>
      </c>
      <c r="AK91" s="256">
        <v>58708541.25174161</v>
      </c>
      <c r="AL91" s="190"/>
      <c r="AM91" s="186">
        <v>677383818.49901462</v>
      </c>
      <c r="AN91" s="190"/>
      <c r="AO91" s="190"/>
      <c r="AP91" s="186">
        <v>664846883.83901453</v>
      </c>
      <c r="AQ91" s="191"/>
      <c r="AR91" s="186"/>
      <c r="AS91" s="186"/>
      <c r="AT91" s="186">
        <v>-45626827.190168239</v>
      </c>
      <c r="AU91" s="186">
        <v>0</v>
      </c>
      <c r="AV91" s="186">
        <v>193266311.03996557</v>
      </c>
      <c r="AW91" s="186">
        <v>147639483.84979734</v>
      </c>
      <c r="AX91" s="186">
        <v>-193264938.36920914</v>
      </c>
      <c r="AY91" s="186">
        <v>-1372.6707564118635</v>
      </c>
      <c r="AZ91" s="186">
        <v>193266311.03996557</v>
      </c>
      <c r="BA91" s="186">
        <v>3.8562575355172157E-10</v>
      </c>
      <c r="BB91" s="186"/>
      <c r="BC91" s="186"/>
      <c r="BD91" s="186"/>
      <c r="BE91" s="186"/>
      <c r="BF91" s="186"/>
      <c r="BG91" s="186"/>
      <c r="BH91" s="186"/>
      <c r="BI91" s="186"/>
      <c r="BJ91" s="186"/>
      <c r="BK91" s="186"/>
      <c r="BL91" s="186"/>
      <c r="BM91" s="186"/>
      <c r="BN91" s="186"/>
      <c r="BO91" s="186"/>
      <c r="BP91" s="186"/>
      <c r="BQ91" s="187"/>
      <c r="BR91" s="187"/>
      <c r="BS91" s="193"/>
      <c r="BT91" s="187"/>
      <c r="BU91" s="230"/>
      <c r="BV91" s="187"/>
      <c r="BW91" s="194"/>
      <c r="BX91" s="194"/>
      <c r="BY91" s="186"/>
      <c r="BZ91" s="186"/>
      <c r="CA91" s="186">
        <v>-19657986.604651161</v>
      </c>
      <c r="CB91" s="186"/>
      <c r="CC91" s="186"/>
      <c r="CD91" s="186"/>
      <c r="CE91" s="186"/>
      <c r="CF91" s="186"/>
      <c r="CG91" s="186"/>
      <c r="CH91" s="186"/>
      <c r="CI91" s="186"/>
      <c r="CJ91" s="186"/>
      <c r="CK91" s="187"/>
      <c r="CL91" s="187"/>
    </row>
    <row r="92" spans="1:90" s="206" customFormat="1" ht="30" customHeight="1" thickBot="1" x14ac:dyDescent="0.3">
      <c r="A92" s="209"/>
      <c r="B92" s="209" t="s">
        <v>478</v>
      </c>
      <c r="C92" s="209"/>
      <c r="D92" s="209"/>
      <c r="E92" s="209"/>
      <c r="F92" s="209"/>
      <c r="G92" s="209"/>
      <c r="H92" s="209"/>
      <c r="I92" s="210"/>
      <c r="J92" s="211"/>
      <c r="K92" s="211"/>
      <c r="L92" s="212"/>
      <c r="M92" s="212"/>
      <c r="N92" s="212"/>
      <c r="O92" s="213"/>
      <c r="P92" s="212"/>
      <c r="Q92" s="212"/>
      <c r="R92" s="214">
        <v>0</v>
      </c>
      <c r="S92" s="214">
        <v>0</v>
      </c>
      <c r="T92" s="214">
        <v>0</v>
      </c>
      <c r="U92" s="260">
        <v>523168062.10613942</v>
      </c>
      <c r="V92" s="213"/>
      <c r="W92" s="213">
        <v>16014395.391832897</v>
      </c>
      <c r="X92" s="213">
        <v>0</v>
      </c>
      <c r="Y92" s="213">
        <v>16014395.391832897</v>
      </c>
      <c r="Z92" s="213">
        <v>3378806.2034164499</v>
      </c>
      <c r="AA92" s="213">
        <v>0</v>
      </c>
      <c r="AB92" s="213">
        <v>3378806.2034164499</v>
      </c>
      <c r="AC92" s="260">
        <v>529746690.45182765</v>
      </c>
      <c r="AD92" s="213">
        <v>-6578628.3456882276</v>
      </c>
      <c r="AE92" s="213">
        <v>0</v>
      </c>
      <c r="AF92" s="213">
        <v>6578628.3456882276</v>
      </c>
      <c r="AG92" s="213">
        <v>0</v>
      </c>
      <c r="AH92" s="261">
        <v>-134557769.78822401</v>
      </c>
      <c r="AI92" s="213">
        <v>0</v>
      </c>
      <c r="AJ92" s="213">
        <v>193266311.03996557</v>
      </c>
      <c r="AK92" s="262">
        <v>58708541.25174161</v>
      </c>
      <c r="AL92" s="215"/>
      <c r="AM92" s="213">
        <v>677383818.49901462</v>
      </c>
      <c r="AN92" s="215"/>
      <c r="AO92" s="215"/>
      <c r="AP92" s="213">
        <v>664846883.83901453</v>
      </c>
      <c r="AQ92" s="216"/>
      <c r="AR92" s="213"/>
      <c r="AS92" s="213"/>
      <c r="AT92" s="213">
        <v>-45626827.190168239</v>
      </c>
      <c r="AU92" s="213">
        <v>0</v>
      </c>
      <c r="AV92" s="213">
        <v>193266311.03996557</v>
      </c>
      <c r="AW92" s="213">
        <v>147639483.84979734</v>
      </c>
      <c r="AX92" s="213">
        <v>-193264938.36920914</v>
      </c>
      <c r="AY92" s="213">
        <v>-1372.6707564118635</v>
      </c>
      <c r="AZ92" s="213">
        <v>193266311.03996557</v>
      </c>
      <c r="BA92" s="213">
        <v>3.8562575355172157E-10</v>
      </c>
      <c r="BB92" s="213"/>
      <c r="BC92" s="213"/>
      <c r="BD92" s="213"/>
      <c r="BE92" s="213"/>
      <c r="BF92" s="213"/>
      <c r="BG92" s="213"/>
      <c r="BH92" s="213"/>
      <c r="BI92" s="213"/>
      <c r="BJ92" s="213"/>
      <c r="BK92" s="213"/>
      <c r="BL92" s="213"/>
      <c r="BM92" s="213"/>
      <c r="BN92" s="213"/>
      <c r="BO92" s="213"/>
      <c r="BP92" s="213"/>
      <c r="BQ92" s="212"/>
      <c r="BR92" s="212"/>
      <c r="BS92" s="217"/>
      <c r="BT92" s="212"/>
      <c r="BU92" s="232"/>
      <c r="BV92" s="212"/>
      <c r="BW92" s="218"/>
      <c r="BX92" s="218"/>
      <c r="BY92" s="213"/>
      <c r="BZ92" s="213"/>
      <c r="CA92" s="213">
        <v>-19657986.604651161</v>
      </c>
      <c r="CB92" s="213"/>
      <c r="CC92" s="213"/>
      <c r="CD92" s="213"/>
      <c r="CE92" s="213"/>
      <c r="CF92" s="213"/>
      <c r="CG92" s="213"/>
      <c r="CH92" s="213"/>
      <c r="CI92" s="213"/>
      <c r="CJ92" s="213"/>
      <c r="CK92" s="212"/>
      <c r="CL92" s="212"/>
    </row>
  </sheetData>
  <mergeCells count="12">
    <mergeCell ref="BH2:BK2"/>
    <mergeCell ref="CG2:CJ2"/>
    <mergeCell ref="AD1:AK1"/>
    <mergeCell ref="AT1:BA1"/>
    <mergeCell ref="R1:T1"/>
    <mergeCell ref="BD1:BK1"/>
    <mergeCell ref="CG1:CJ1"/>
    <mergeCell ref="AD2:AG2"/>
    <mergeCell ref="AH2:AK2"/>
    <mergeCell ref="AT2:AW2"/>
    <mergeCell ref="AX2:BA2"/>
    <mergeCell ref="BD2:BG2"/>
  </mergeCells>
  <phoneticPr fontId="0" type="noConversion"/>
  <conditionalFormatting sqref="BL15:BL28 BL36:BL46 AC44:AC46 AP4:AP46 AM4:AM46 AM54:AM56 BL54:BL56 AC54:AC56 AP54:AP56 AC82:AC87 AM82:AM92 BL82:BL92 AP82:AP92">
    <cfRule type="cellIs" priority="1" stopIfTrue="1" operator="notEqual">
      <formula>"$BM$54"</formula>
    </cfRule>
  </conditionalFormatting>
  <conditionalFormatting sqref="BO4:BO92">
    <cfRule type="cellIs" dxfId="1" priority="2" stopIfTrue="1" operator="notEqual">
      <formula>FALSE</formula>
    </cfRule>
  </conditionalFormatting>
  <conditionalFormatting sqref="BN4:BN92">
    <cfRule type="cellIs" dxfId="0" priority="3" stopIfTrue="1" operator="notEqual">
      <formula>0</formula>
    </cfRule>
  </conditionalFormatting>
  <pageMargins left="0.75" right="0.75" top="1" bottom="1" header="0.5" footer="0.5"/>
  <pageSetup paperSize="5" scale="39" fitToHeight="2" orientation="landscape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Summary</vt:lpstr>
      <vt:lpstr>Daily Position</vt:lpstr>
      <vt:lpstr>Stock Prices</vt:lpstr>
      <vt:lpstr>Private Values</vt:lpstr>
      <vt:lpstr>Private Cash</vt:lpstr>
      <vt:lpstr>Financials</vt:lpstr>
      <vt:lpstr>Cash-Int-Trans</vt:lpstr>
      <vt:lpstr>Amort</vt:lpstr>
      <vt:lpstr>MRP Raptor</vt:lpstr>
      <vt:lpstr>acpw</vt:lpstr>
      <vt:lpstr>Amort</vt:lpstr>
      <vt:lpstr>avci</vt:lpstr>
      <vt:lpstr>cabau</vt:lpstr>
      <vt:lpstr>cabou</vt:lpstr>
      <vt:lpstr>cadex</vt:lpstr>
      <vt:lpstr>caplg</vt:lpstr>
      <vt:lpstr>ene</vt:lpstr>
      <vt:lpstr>kwk</vt:lpstr>
      <vt:lpstr>Loan</vt:lpstr>
      <vt:lpstr>LoanPeriod</vt:lpstr>
      <vt:lpstr>MPRR</vt:lpstr>
      <vt:lpstr>Note</vt:lpstr>
      <vt:lpstr>NotePeriod</vt:lpstr>
      <vt:lpstr>pgeo</vt:lpstr>
      <vt:lpstr>Summary!Print_Area</vt:lpstr>
      <vt:lpstr>Privates</vt:lpstr>
      <vt:lpstr>prs</vt:lpstr>
      <vt:lpstr>qsri</vt:lpstr>
      <vt:lpstr>ttene</vt:lpstr>
      <vt:lpstr>wcrzo</vt:lpstr>
      <vt:lpstr>wtten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2000-09-06T13:49:45Z</cp:lastPrinted>
  <dcterms:created xsi:type="dcterms:W3CDTF">2000-08-10T21:11:42Z</dcterms:created>
  <dcterms:modified xsi:type="dcterms:W3CDTF">2023-09-17T16:12:53Z</dcterms:modified>
</cp:coreProperties>
</file>