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5DD150-D505-4068-8B44-FE49F59A278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J9" i="1"/>
  <c r="M9" i="1"/>
  <c r="P9" i="1"/>
  <c r="G12" i="1"/>
  <c r="J12" i="1"/>
  <c r="M12" i="1"/>
  <c r="P12" i="1"/>
  <c r="G13" i="1"/>
  <c r="J13" i="1"/>
  <c r="M13" i="1"/>
  <c r="P13" i="1"/>
  <c r="D19" i="1"/>
  <c r="G19" i="1"/>
  <c r="J19" i="1"/>
  <c r="M19" i="1"/>
  <c r="P19" i="1"/>
  <c r="D20" i="1"/>
  <c r="G20" i="1"/>
  <c r="J20" i="1"/>
  <c r="M20" i="1"/>
  <c r="P20" i="1"/>
  <c r="D21" i="1"/>
  <c r="G21" i="1"/>
  <c r="J21" i="1"/>
  <c r="M21" i="1"/>
  <c r="P21" i="1"/>
  <c r="D22" i="1"/>
  <c r="G22" i="1"/>
  <c r="J22" i="1"/>
  <c r="M22" i="1"/>
  <c r="P22" i="1"/>
  <c r="D23" i="1"/>
  <c r="G23" i="1"/>
  <c r="J23" i="1"/>
  <c r="M23" i="1"/>
  <c r="P23" i="1"/>
  <c r="D24" i="1"/>
  <c r="G24" i="1"/>
  <c r="J24" i="1"/>
  <c r="M24" i="1"/>
  <c r="P24" i="1"/>
  <c r="D25" i="1"/>
  <c r="G25" i="1"/>
  <c r="J25" i="1"/>
  <c r="M25" i="1"/>
  <c r="P25" i="1"/>
  <c r="D26" i="1"/>
  <c r="G26" i="1"/>
  <c r="J26" i="1"/>
  <c r="M26" i="1"/>
  <c r="P26" i="1"/>
  <c r="D27" i="1"/>
  <c r="G27" i="1"/>
  <c r="J27" i="1"/>
  <c r="M27" i="1"/>
  <c r="P27" i="1"/>
  <c r="D28" i="1"/>
  <c r="G28" i="1"/>
  <c r="J28" i="1"/>
  <c r="M28" i="1"/>
  <c r="P28" i="1"/>
  <c r="D29" i="1"/>
  <c r="G29" i="1"/>
  <c r="J29" i="1"/>
  <c r="M29" i="1"/>
  <c r="P29" i="1"/>
  <c r="D30" i="1"/>
  <c r="G30" i="1"/>
  <c r="J30" i="1"/>
  <c r="M30" i="1"/>
  <c r="P30" i="1"/>
  <c r="D31" i="1"/>
  <c r="G31" i="1"/>
  <c r="J31" i="1"/>
  <c r="M31" i="1"/>
  <c r="P31" i="1"/>
  <c r="D32" i="1"/>
  <c r="G32" i="1"/>
  <c r="J32" i="1"/>
  <c r="M32" i="1"/>
  <c r="P32" i="1"/>
  <c r="D33" i="1"/>
  <c r="G33" i="1"/>
  <c r="J33" i="1"/>
  <c r="M33" i="1"/>
  <c r="P33" i="1"/>
  <c r="D34" i="1"/>
  <c r="G34" i="1"/>
  <c r="J34" i="1"/>
  <c r="M34" i="1"/>
  <c r="P34" i="1"/>
  <c r="D35" i="1"/>
  <c r="G35" i="1"/>
  <c r="J35" i="1"/>
  <c r="M35" i="1"/>
  <c r="P35" i="1"/>
  <c r="D36" i="1"/>
  <c r="G36" i="1"/>
  <c r="J36" i="1"/>
  <c r="M36" i="1"/>
  <c r="P36" i="1"/>
  <c r="E7" i="2"/>
  <c r="H7" i="2"/>
  <c r="K7" i="2"/>
  <c r="N7" i="2"/>
  <c r="Q7" i="2"/>
  <c r="E8" i="2"/>
  <c r="H8" i="2"/>
  <c r="K8" i="2"/>
  <c r="N8" i="2"/>
  <c r="Q8" i="2"/>
  <c r="B9" i="2"/>
  <c r="E9" i="2"/>
  <c r="H9" i="2"/>
  <c r="K9" i="2"/>
  <c r="N9" i="2"/>
  <c r="Q9" i="2"/>
  <c r="B10" i="2"/>
  <c r="E10" i="2"/>
  <c r="H10" i="2"/>
  <c r="K10" i="2"/>
  <c r="N10" i="2"/>
  <c r="Q10" i="2"/>
  <c r="B11" i="2"/>
  <c r="E11" i="2"/>
  <c r="H11" i="2"/>
  <c r="K11" i="2"/>
  <c r="N11" i="2"/>
  <c r="Q11" i="2"/>
  <c r="B12" i="2"/>
  <c r="E12" i="2"/>
  <c r="H12" i="2"/>
  <c r="K12" i="2"/>
  <c r="N12" i="2"/>
  <c r="Q12" i="2"/>
  <c r="B13" i="2"/>
  <c r="E13" i="2"/>
  <c r="H13" i="2"/>
  <c r="K13" i="2"/>
  <c r="N13" i="2"/>
  <c r="Q13" i="2"/>
  <c r="B14" i="2"/>
  <c r="E14" i="2"/>
  <c r="H14" i="2"/>
  <c r="K14" i="2"/>
  <c r="N14" i="2"/>
  <c r="Q14" i="2"/>
  <c r="B15" i="2"/>
  <c r="E15" i="2"/>
  <c r="H15" i="2"/>
  <c r="K15" i="2"/>
  <c r="N15" i="2"/>
  <c r="Q15" i="2"/>
  <c r="E16" i="2"/>
  <c r="H16" i="2"/>
  <c r="K16" i="2"/>
  <c r="N16" i="2"/>
  <c r="Q16" i="2"/>
  <c r="E17" i="2"/>
  <c r="H17" i="2"/>
  <c r="K17" i="2"/>
  <c r="N17" i="2"/>
  <c r="Q17" i="2"/>
  <c r="E18" i="2"/>
  <c r="H18" i="2"/>
  <c r="K18" i="2"/>
  <c r="N18" i="2"/>
  <c r="Q18" i="2"/>
  <c r="E19" i="2"/>
  <c r="H19" i="2"/>
  <c r="K19" i="2"/>
  <c r="N19" i="2"/>
  <c r="Q19" i="2"/>
  <c r="E20" i="2"/>
  <c r="H20" i="2"/>
  <c r="K20" i="2"/>
  <c r="N20" i="2"/>
  <c r="Q20" i="2"/>
  <c r="E21" i="2"/>
  <c r="H21" i="2"/>
  <c r="K21" i="2"/>
  <c r="N21" i="2"/>
  <c r="Q21" i="2"/>
  <c r="E22" i="2"/>
  <c r="H22" i="2"/>
  <c r="K22" i="2"/>
  <c r="N22" i="2"/>
  <c r="Q22" i="2"/>
  <c r="E23" i="2"/>
  <c r="H23" i="2"/>
  <c r="K23" i="2"/>
  <c r="N23" i="2"/>
  <c r="Q23" i="2"/>
  <c r="E24" i="2"/>
  <c r="H24" i="2"/>
  <c r="K24" i="2"/>
  <c r="N24" i="2"/>
  <c r="Q24" i="2"/>
  <c r="E25" i="2"/>
  <c r="H25" i="2"/>
  <c r="K25" i="2"/>
  <c r="N25" i="2"/>
  <c r="Q25" i="2"/>
  <c r="E26" i="2"/>
  <c r="H26" i="2"/>
  <c r="K26" i="2"/>
  <c r="N26" i="2"/>
  <c r="Q26" i="2"/>
  <c r="E27" i="2"/>
  <c r="H27" i="2"/>
  <c r="K27" i="2"/>
  <c r="N27" i="2"/>
  <c r="Q27" i="2"/>
  <c r="E28" i="2"/>
  <c r="H28" i="2"/>
  <c r="K28" i="2"/>
  <c r="N28" i="2"/>
  <c r="Q28" i="2"/>
  <c r="E29" i="2"/>
  <c r="H29" i="2"/>
  <c r="K29" i="2"/>
  <c r="N29" i="2"/>
  <c r="Q29" i="2"/>
  <c r="E30" i="2"/>
  <c r="H30" i="2"/>
  <c r="K30" i="2"/>
  <c r="N30" i="2"/>
  <c r="Q30" i="2"/>
  <c r="E31" i="2"/>
  <c r="H31" i="2"/>
  <c r="K31" i="2"/>
  <c r="N31" i="2"/>
  <c r="Q31" i="2"/>
  <c r="E32" i="2"/>
  <c r="H32" i="2"/>
  <c r="K32" i="2"/>
  <c r="N32" i="2"/>
  <c r="Q32" i="2"/>
  <c r="E33" i="2"/>
  <c r="H33" i="2"/>
  <c r="K33" i="2"/>
  <c r="N33" i="2"/>
  <c r="Q33" i="2"/>
  <c r="E34" i="2"/>
  <c r="H34" i="2"/>
  <c r="K34" i="2"/>
  <c r="N34" i="2"/>
  <c r="Q34" i="2"/>
  <c r="E35" i="2"/>
  <c r="H35" i="2"/>
  <c r="K35" i="2"/>
  <c r="N35" i="2"/>
  <c r="Q35" i="2"/>
  <c r="E36" i="2"/>
  <c r="H36" i="2"/>
  <c r="K36" i="2"/>
  <c r="N36" i="2"/>
  <c r="Q36" i="2"/>
  <c r="E37" i="2"/>
  <c r="H37" i="2"/>
  <c r="K37" i="2"/>
  <c r="N37" i="2"/>
  <c r="Q37" i="2"/>
  <c r="E38" i="2"/>
  <c r="H38" i="2"/>
  <c r="K38" i="2"/>
  <c r="N38" i="2"/>
  <c r="Q38" i="2"/>
  <c r="E39" i="2"/>
  <c r="H39" i="2"/>
  <c r="K39" i="2"/>
  <c r="N39" i="2"/>
  <c r="Q39" i="2"/>
  <c r="E40" i="2"/>
  <c r="H40" i="2"/>
  <c r="K40" i="2"/>
  <c r="N40" i="2"/>
  <c r="Q40" i="2"/>
  <c r="E41" i="2"/>
  <c r="H41" i="2"/>
  <c r="K41" i="2"/>
  <c r="N41" i="2"/>
  <c r="Q41" i="2"/>
  <c r="E42" i="2"/>
  <c r="H42" i="2"/>
  <c r="K42" i="2"/>
  <c r="N42" i="2"/>
  <c r="Q42" i="2"/>
  <c r="E43" i="2"/>
  <c r="H43" i="2"/>
  <c r="K43" i="2"/>
  <c r="N43" i="2"/>
  <c r="Q43" i="2"/>
  <c r="E44" i="2"/>
  <c r="H44" i="2"/>
  <c r="K44" i="2"/>
  <c r="N44" i="2"/>
  <c r="Q44" i="2"/>
  <c r="E45" i="2"/>
  <c r="H45" i="2"/>
  <c r="K45" i="2"/>
  <c r="N45" i="2"/>
  <c r="Q45" i="2"/>
  <c r="E46" i="2"/>
  <c r="H46" i="2"/>
  <c r="K46" i="2"/>
  <c r="N46" i="2"/>
  <c r="Q46" i="2"/>
  <c r="E47" i="2"/>
  <c r="H47" i="2"/>
  <c r="K47" i="2"/>
  <c r="N47" i="2"/>
  <c r="Q47" i="2"/>
  <c r="E48" i="2"/>
  <c r="H48" i="2"/>
  <c r="K48" i="2"/>
  <c r="N48" i="2"/>
  <c r="Q48" i="2"/>
  <c r="E49" i="2"/>
  <c r="H49" i="2"/>
  <c r="K49" i="2"/>
  <c r="N49" i="2"/>
  <c r="Q49" i="2"/>
  <c r="E50" i="2"/>
  <c r="H50" i="2"/>
  <c r="K50" i="2"/>
  <c r="N50" i="2"/>
  <c r="Q50" i="2"/>
  <c r="E51" i="2"/>
  <c r="H51" i="2"/>
  <c r="K51" i="2"/>
  <c r="N51" i="2"/>
  <c r="Q51" i="2"/>
  <c r="E52" i="2"/>
  <c r="H52" i="2"/>
  <c r="K52" i="2"/>
  <c r="N52" i="2"/>
  <c r="Q52" i="2"/>
  <c r="G59" i="2"/>
  <c r="G60" i="2"/>
  <c r="G61" i="2"/>
  <c r="K68" i="2"/>
  <c r="G72" i="2"/>
  <c r="G73" i="2"/>
  <c r="G74" i="2"/>
  <c r="K74" i="2"/>
  <c r="K75" i="2"/>
  <c r="K76" i="2"/>
  <c r="K77" i="2"/>
  <c r="G85" i="2"/>
  <c r="G86" i="2"/>
  <c r="G87" i="2"/>
</calcChain>
</file>

<file path=xl/sharedStrings.xml><?xml version="1.0" encoding="utf-8"?>
<sst xmlns="http://schemas.openxmlformats.org/spreadsheetml/2006/main" count="127" uniqueCount="93">
  <si>
    <t>Aircraft</t>
  </si>
  <si>
    <t>Citation V Ultra</t>
  </si>
  <si>
    <t>Citation Excel</t>
  </si>
  <si>
    <t>Citation VII</t>
  </si>
  <si>
    <t>Hawker 800XP</t>
  </si>
  <si>
    <t>NetJets</t>
  </si>
  <si>
    <t>Citation X</t>
  </si>
  <si>
    <t>Falcon 2000</t>
  </si>
  <si>
    <t>GIV-SP</t>
  </si>
  <si>
    <t>GV</t>
  </si>
  <si>
    <t>Interest</t>
  </si>
  <si>
    <t>TravelAir</t>
  </si>
  <si>
    <t>King Air B200</t>
  </si>
  <si>
    <t>Premier I</t>
  </si>
  <si>
    <t>Beechjet 400A</t>
  </si>
  <si>
    <t>Vendors</t>
  </si>
  <si>
    <t>FlightOptions</t>
  </si>
  <si>
    <t>Citation II</t>
  </si>
  <si>
    <t>Citation III</t>
  </si>
  <si>
    <t xml:space="preserve"> </t>
  </si>
  <si>
    <t>Vendor</t>
  </si>
  <si>
    <t>Purchase Price</t>
  </si>
  <si>
    <t>Cost for 1/8</t>
  </si>
  <si>
    <t>Monthly 1/16</t>
  </si>
  <si>
    <t>Monthly 1/8</t>
  </si>
  <si>
    <t>Hourly</t>
  </si>
  <si>
    <t>Falcon 50</t>
  </si>
  <si>
    <t>Hours</t>
  </si>
  <si>
    <t>Selection 1</t>
  </si>
  <si>
    <t>Eights</t>
  </si>
  <si>
    <t>Range</t>
  </si>
  <si>
    <t>Monthly</t>
  </si>
  <si>
    <t>Purchase</t>
  </si>
  <si>
    <t>Charged Hours</t>
  </si>
  <si>
    <t>for Taxi Time</t>
  </si>
  <si>
    <t>Annual Hours</t>
  </si>
  <si>
    <t>Annual Flight Hours</t>
  </si>
  <si>
    <t>Average Leg</t>
  </si>
  <si>
    <t>Adder</t>
  </si>
  <si>
    <t>FltHrs</t>
  </si>
  <si>
    <t>Tot Legs</t>
  </si>
  <si>
    <t>Total</t>
  </si>
  <si>
    <t>Annual Aircraft Depreciation</t>
  </si>
  <si>
    <t>Annual Monthly Price Increase</t>
  </si>
  <si>
    <t>Annual Hourly Price Increase</t>
  </si>
  <si>
    <t>Year 1 Hourly</t>
  </si>
  <si>
    <t>Hourly esc</t>
  </si>
  <si>
    <t>Year 2 Hourly</t>
  </si>
  <si>
    <t>Year 3 Hourly</t>
  </si>
  <si>
    <t>Year 4 Hourly</t>
  </si>
  <si>
    <t>Year 5 Hourly</t>
  </si>
  <si>
    <t>Total Hourly</t>
  </si>
  <si>
    <t>Monthly esc</t>
  </si>
  <si>
    <t>Year 2 Monthly</t>
  </si>
  <si>
    <t>Year 3 Monthly</t>
  </si>
  <si>
    <t>Year 4 Monthly</t>
  </si>
  <si>
    <t>Year 5 Monthly</t>
  </si>
  <si>
    <t>Year 1 Monthly</t>
  </si>
  <si>
    <t>Total Monthly</t>
  </si>
  <si>
    <t>Year 1</t>
  </si>
  <si>
    <t>Year 2</t>
  </si>
  <si>
    <t>Year 3</t>
  </si>
  <si>
    <t>Year 4</t>
  </si>
  <si>
    <t>Year 5</t>
  </si>
  <si>
    <t>Tax on Hourly Charge</t>
  </si>
  <si>
    <t>Hourly tax</t>
  </si>
  <si>
    <t>Depreciation per hour</t>
  </si>
  <si>
    <t>Est. Hourly Fuel Surcharge</t>
  </si>
  <si>
    <t>Average Leg Length (hrs)</t>
  </si>
  <si>
    <t>Intersest</t>
  </si>
  <si>
    <t>Yes/No</t>
  </si>
  <si>
    <t>Selection 2</t>
  </si>
  <si>
    <t>Hrly Fuel</t>
  </si>
  <si>
    <t>Annual Fuel</t>
  </si>
  <si>
    <t>Selection 4</t>
  </si>
  <si>
    <t>Selection 3</t>
  </si>
  <si>
    <t>Selection 5</t>
  </si>
  <si>
    <t>Avg Hourly Fuel</t>
  </si>
  <si>
    <t>Avg Hourly Management</t>
  </si>
  <si>
    <t>Avg Hourly Rate</t>
  </si>
  <si>
    <t>Variable Hourly Cost</t>
  </si>
  <si>
    <t>Fixed Hourly Cost</t>
  </si>
  <si>
    <t>Total Hourly Cost</t>
  </si>
  <si>
    <t>Avg Annual Cash Cost</t>
  </si>
  <si>
    <t>Opportunity charge per hour</t>
  </si>
  <si>
    <t>Total Depreciation</t>
  </si>
  <si>
    <t>After Tax Opportunity Cost</t>
  </si>
  <si>
    <t>Total 5 year Cash Cost</t>
  </si>
  <si>
    <t>Total 5 year Cost</t>
  </si>
  <si>
    <t>Total 5 year Opportunity Cost</t>
  </si>
  <si>
    <t>Initial Monthly Mgmt Fee</t>
  </si>
  <si>
    <t>Initial Occupied Hourly Rate</t>
  </si>
  <si>
    <t>Challenger 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</si>
</sst>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Tahoma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4" fillId="0" borderId="0" xfId="0" applyFont="1"/>
    <xf numFmtId="1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/>
    <xf numFmtId="0" fontId="4" fillId="0" borderId="2" xfId="0" applyFont="1" applyBorder="1"/>
    <xf numFmtId="0" fontId="6" fillId="0" borderId="2" xfId="0" applyFont="1" applyBorder="1"/>
    <xf numFmtId="0" fontId="0" fillId="0" borderId="0" xfId="0" applyBorder="1"/>
    <xf numFmtId="0" fontId="4" fillId="0" borderId="0" xfId="0" applyFont="1" applyBorder="1"/>
    <xf numFmtId="43" fontId="0" fillId="0" borderId="0" xfId="1" applyFont="1"/>
    <xf numFmtId="165" fontId="0" fillId="0" borderId="0" xfId="1" applyNumberFormat="1" applyFont="1" applyBorder="1"/>
    <xf numFmtId="165" fontId="0" fillId="0" borderId="0" xfId="1" applyNumberFormat="1" applyFont="1"/>
    <xf numFmtId="0" fontId="0" fillId="0" borderId="6" xfId="0" applyBorder="1"/>
    <xf numFmtId="165" fontId="0" fillId="0" borderId="7" xfId="1" applyNumberFormat="1" applyFont="1" applyBorder="1"/>
    <xf numFmtId="0" fontId="0" fillId="0" borderId="8" xfId="0" applyBorder="1"/>
    <xf numFmtId="0" fontId="4" fillId="0" borderId="7" xfId="0" applyFont="1" applyBorder="1"/>
    <xf numFmtId="0" fontId="6" fillId="0" borderId="3" xfId="0" applyFont="1" applyBorder="1"/>
    <xf numFmtId="43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2" borderId="0" xfId="0" applyFill="1"/>
    <xf numFmtId="0" fontId="5" fillId="2" borderId="0" xfId="0" applyFont="1" applyFill="1"/>
    <xf numFmtId="0" fontId="0" fillId="0" borderId="0" xfId="0" applyFill="1" applyBorder="1"/>
    <xf numFmtId="0" fontId="0" fillId="2" borderId="9" xfId="0" applyFill="1" applyBorder="1"/>
    <xf numFmtId="0" fontId="3" fillId="3" borderId="0" xfId="0" applyFont="1" applyFill="1" applyBorder="1"/>
    <xf numFmtId="0" fontId="0" fillId="3" borderId="0" xfId="0" applyFill="1" applyBorder="1"/>
    <xf numFmtId="165" fontId="3" fillId="3" borderId="0" xfId="0" applyNumberFormat="1" applyFont="1" applyFill="1" applyBorder="1"/>
    <xf numFmtId="0" fontId="0" fillId="2" borderId="0" xfId="0" applyFill="1" applyBorder="1"/>
    <xf numFmtId="0" fontId="3" fillId="0" borderId="0" xfId="0" applyFont="1" applyFill="1" applyBorder="1"/>
    <xf numFmtId="0" fontId="6" fillId="0" borderId="0" xfId="0" applyFont="1" applyFill="1" applyBorder="1"/>
    <xf numFmtId="165" fontId="6" fillId="0" borderId="0" xfId="0" applyNumberFormat="1" applyFont="1" applyFill="1" applyBorder="1" applyAlignment="1"/>
    <xf numFmtId="165" fontId="0" fillId="0" borderId="0" xfId="0" applyNumberFormat="1" applyFill="1" applyBorder="1"/>
    <xf numFmtId="165" fontId="3" fillId="0" borderId="0" xfId="0" applyNumberFormat="1" applyFont="1" applyFill="1" applyBorder="1"/>
    <xf numFmtId="0" fontId="0" fillId="0" borderId="0" xfId="0" applyFill="1" applyBorder="1" applyAlignment="1">
      <alignment horizontal="right"/>
    </xf>
    <xf numFmtId="0" fontId="6" fillId="3" borderId="0" xfId="0" applyFont="1" applyFill="1" applyBorder="1"/>
    <xf numFmtId="165" fontId="6" fillId="3" borderId="0" xfId="1" applyNumberFormat="1" applyFont="1" applyFill="1" applyBorder="1"/>
    <xf numFmtId="165" fontId="6" fillId="0" borderId="0" xfId="1" applyNumberFormat="1" applyFont="1" applyFill="1" applyBorder="1"/>
    <xf numFmtId="43" fontId="6" fillId="3" borderId="0" xfId="0" applyNumberFormat="1" applyFont="1" applyFill="1" applyBorder="1" applyAlignment="1"/>
    <xf numFmtId="165" fontId="6" fillId="3" borderId="0" xfId="0" applyNumberFormat="1" applyFont="1" applyFill="1" applyBorder="1"/>
    <xf numFmtId="0" fontId="6" fillId="0" borderId="0" xfId="0" applyFont="1"/>
    <xf numFmtId="165" fontId="6" fillId="0" borderId="0" xfId="1" applyNumberFormat="1" applyFont="1"/>
    <xf numFmtId="165" fontId="6" fillId="3" borderId="0" xfId="0" applyNumberFormat="1" applyFont="1" applyFill="1" applyBorder="1" applyAlignment="1"/>
    <xf numFmtId="165" fontId="6" fillId="0" borderId="0" xfId="0" applyNumberFormat="1" applyFont="1" applyFill="1" applyBorder="1"/>
    <xf numFmtId="0" fontId="6" fillId="0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/>
    </xf>
    <xf numFmtId="0" fontId="7" fillId="0" borderId="0" xfId="0" applyFont="1" applyFill="1" applyBorder="1"/>
    <xf numFmtId="165" fontId="7" fillId="0" borderId="10" xfId="0" applyNumberFormat="1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165" fontId="3" fillId="3" borderId="6" xfId="1" applyNumberFormat="1" applyFont="1" applyFill="1" applyBorder="1"/>
    <xf numFmtId="165" fontId="3" fillId="3" borderId="1" xfId="1" applyNumberFormat="1" applyFont="1" applyFill="1" applyBorder="1"/>
    <xf numFmtId="0" fontId="6" fillId="0" borderId="2" xfId="0" applyFont="1" applyFill="1" applyBorder="1"/>
    <xf numFmtId="165" fontId="6" fillId="0" borderId="7" xfId="1" applyNumberFormat="1" applyFont="1" applyFill="1" applyBorder="1"/>
    <xf numFmtId="0" fontId="6" fillId="3" borderId="2" xfId="0" applyFont="1" applyFill="1" applyBorder="1"/>
    <xf numFmtId="165" fontId="6" fillId="3" borderId="7" xfId="1" applyNumberFormat="1" applyFont="1" applyFill="1" applyBorder="1"/>
    <xf numFmtId="0" fontId="6" fillId="0" borderId="8" xfId="0" applyFont="1" applyBorder="1"/>
    <xf numFmtId="43" fontId="6" fillId="0" borderId="8" xfId="1" applyFont="1" applyBorder="1"/>
    <xf numFmtId="43" fontId="6" fillId="0" borderId="4" xfId="1" applyFont="1" applyBorder="1"/>
    <xf numFmtId="10" fontId="0" fillId="0" borderId="11" xfId="3" applyNumberFormat="1" applyFont="1" applyFill="1" applyBorder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10" fontId="0" fillId="0" borderId="10" xfId="3" applyNumberFormat="1" applyFont="1" applyFill="1" applyBorder="1" applyProtection="1">
      <protection locked="0"/>
    </xf>
    <xf numFmtId="44" fontId="0" fillId="0" borderId="12" xfId="2" applyFont="1" applyFill="1" applyBorder="1" applyProtection="1">
      <protection locked="0"/>
    </xf>
    <xf numFmtId="0" fontId="0" fillId="2" borderId="9" xfId="0" applyFill="1" applyBorder="1" applyProtection="1">
      <protection locked="0"/>
    </xf>
    <xf numFmtId="0" fontId="0" fillId="0" borderId="13" xfId="0" applyFill="1" applyBorder="1" applyProtection="1">
      <protection locked="0"/>
    </xf>
    <xf numFmtId="0" fontId="0" fillId="0" borderId="14" xfId="0" applyFill="1" applyBorder="1" applyProtection="1">
      <protection locked="0"/>
    </xf>
    <xf numFmtId="0" fontId="0" fillId="0" borderId="10" xfId="0" applyFill="1" applyBorder="1" applyProtection="1"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22" fmlaLink="Sheet2!$E$4" fmlaRange="Sheet2!$E$7:$E$15" noThreeD="1" sel="2" val="0"/>
</file>

<file path=xl/ctrlProps/ctrlProp10.xml><?xml version="1.0" encoding="utf-8"?>
<formControlPr xmlns="http://schemas.microsoft.com/office/spreadsheetml/2009/9/main" objectType="Radio" checked="Checked" lockText="1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Drop" dropStyle="combo" dx="22" fmlaLink="Sheet2!$K$4" fmlaRange="Sheet2!$K$7:$K$15" noThreeD="1" sel="4"/>
</file>

<file path=xl/ctrlProps/ctrlProp14.xml><?xml version="1.0" encoding="utf-8"?>
<formControlPr xmlns="http://schemas.microsoft.com/office/spreadsheetml/2009/9/main" objectType="Drop" dropStyle="combo" dx="22" fmlaLink="Sheet2!$K$5" fmlaRange="Sheet2!$B$8:$B$15" noThreeD="1" sel="2" val="0"/>
</file>

<file path=xl/ctrlProps/ctrlProp15.xml><?xml version="1.0" encoding="utf-8"?>
<formControlPr xmlns="http://schemas.microsoft.com/office/spreadsheetml/2009/9/main" objectType="Drop" dropStyle="combo" dx="22" fmlaLink="Sheet2!$K$3" fmlaRange="Sheet2!$A$8:$A$10" noThreeD="1" sel="3" val="0"/>
</file>

<file path=xl/ctrlProps/ctrlProp16.xml><?xml version="1.0" encoding="utf-8"?>
<formControlPr xmlns="http://schemas.microsoft.com/office/spreadsheetml/2009/9/main" objectType="Radio" checked="Checked" firstButton="1" fmlaLink="Sheet2!$K$6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Drop" dropStyle="combo" dx="22" fmlaLink="Sheet2!$N$4" fmlaRange="Sheet2!$N$7:$N$15" noThreeD="1" sel="4"/>
</file>

<file path=xl/ctrlProps/ctrlProp2.xml><?xml version="1.0" encoding="utf-8"?>
<formControlPr xmlns="http://schemas.microsoft.com/office/spreadsheetml/2009/9/main" objectType="Drop" dropStyle="combo" dx="22" fmlaLink="Sheet2!$E$5" fmlaRange="Sheet2!$B$8:$B$15" noThreeD="1" sel="1" val="0"/>
</file>

<file path=xl/ctrlProps/ctrlProp20.xml><?xml version="1.0" encoding="utf-8"?>
<formControlPr xmlns="http://schemas.microsoft.com/office/spreadsheetml/2009/9/main" objectType="Drop" dropStyle="combo" dx="22" fmlaLink="Sheet2!$N$5" fmlaRange="Sheet2!$B$8:$B$15" noThreeD="1" sel="2" val="0"/>
</file>

<file path=xl/ctrlProps/ctrlProp21.xml><?xml version="1.0" encoding="utf-8"?>
<formControlPr xmlns="http://schemas.microsoft.com/office/spreadsheetml/2009/9/main" objectType="Drop" dropStyle="combo" dx="22" fmlaLink="Sheet2!$N$3" fmlaRange="Sheet2!$A$8:$A$10" noThreeD="1" sel="2" val="0"/>
</file>

<file path=xl/ctrlProps/ctrlProp22.xml><?xml version="1.0" encoding="utf-8"?>
<formControlPr xmlns="http://schemas.microsoft.com/office/spreadsheetml/2009/9/main" objectType="Radio" firstButton="1" fmlaLink="Sheet2!$N$6" lockText="1" noThreeD="1"/>
</file>

<file path=xl/ctrlProps/ctrlProp23.xml><?xml version="1.0" encoding="utf-8"?>
<formControlPr xmlns="http://schemas.microsoft.com/office/spreadsheetml/2009/9/main" objectType="Radio" checked="Checked" lockText="1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Drop" dropStyle="combo" dx="22" fmlaLink="Sheet2!$Q$4" fmlaRange="Sheet2!$Q$7:$Q$15" noThreeD="1" sel="4"/>
</file>

<file path=xl/ctrlProps/ctrlProp26.xml><?xml version="1.0" encoding="utf-8"?>
<formControlPr xmlns="http://schemas.microsoft.com/office/spreadsheetml/2009/9/main" objectType="Drop" dropStyle="combo" dx="22" fmlaLink="Sheet2!$Q$5" fmlaRange="Sheet2!$B$8:$B$15" noThreeD="1" sel="2" val="0"/>
</file>

<file path=xl/ctrlProps/ctrlProp27.xml><?xml version="1.0" encoding="utf-8"?>
<formControlPr xmlns="http://schemas.microsoft.com/office/spreadsheetml/2009/9/main" objectType="Drop" dropStyle="combo" dx="22" fmlaLink="Sheet2!$Q$3" fmlaRange="Sheet2!$A$8:$A$10" noThreeD="1" sel="1" val="0"/>
</file>

<file path=xl/ctrlProps/ctrlProp28.xml><?xml version="1.0" encoding="utf-8"?>
<formControlPr xmlns="http://schemas.microsoft.com/office/spreadsheetml/2009/9/main" objectType="Radio" checked="Checked" firstButton="1" fmlaLink="Sheet2!$Q$6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Drop" dropStyle="combo" dx="22" fmlaLink="Sheet2!$E$3" fmlaRange="Sheet2!$A$8:$A$10" noThreeD="1" sel="3" val="0"/>
</file>

<file path=xl/ctrlProps/ctrlProp30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Radio" checked="Checked" firstButton="1" fmlaLink="Sheet2!E6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Drop" dropStyle="combo" dx="22" fmlaLink="Sheet2!H4" fmlaRange="Sheet2!H7:H15" noThreeD="1" sel="3"/>
</file>

<file path=xl/ctrlProps/ctrlProp7.xml><?xml version="1.0" encoding="utf-8"?>
<formControlPr xmlns="http://schemas.microsoft.com/office/spreadsheetml/2009/9/main" objectType="Drop" dropStyle="combo" dx="22" fmlaLink="Sheet2!H5" fmlaRange="Sheet2!$B$8:$B$15" noThreeD="1" sel="1" val="0"/>
</file>

<file path=xl/ctrlProps/ctrlProp8.xml><?xml version="1.0" encoding="utf-8"?>
<formControlPr xmlns="http://schemas.microsoft.com/office/spreadsheetml/2009/9/main" objectType="Drop" dropStyle="combo" dx="22" fmlaLink="Sheet2!H3" fmlaRange="Sheet2!$A$8:$A$10" noThreeD="1" sel="2" val="0"/>
</file>

<file path=xl/ctrlProps/ctrlProp9.xml><?xml version="1.0" encoding="utf-8"?>
<formControlPr xmlns="http://schemas.microsoft.com/office/spreadsheetml/2009/9/main" objectType="Radio" firstButton="1" fmlaLink="Sheet2!H6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676275</xdr:colOff>
          <xdr:row>3</xdr:row>
          <xdr:rowOff>152400</xdr:rowOff>
        </xdr:from>
        <xdr:to>
          <xdr:col>3</xdr:col>
          <xdr:colOff>666750</xdr:colOff>
          <xdr:row>5</xdr:row>
          <xdr:rowOff>38100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C3F4D377-75D4-023C-617D-F32674EF8A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666750</xdr:colOff>
          <xdr:row>5</xdr:row>
          <xdr:rowOff>152400</xdr:rowOff>
        </xdr:from>
        <xdr:to>
          <xdr:col>3</xdr:col>
          <xdr:colOff>657225</xdr:colOff>
          <xdr:row>7</xdr:row>
          <xdr:rowOff>38100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1E735C37-E211-9F14-8013-698FB75D04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676275</xdr:colOff>
          <xdr:row>1</xdr:row>
          <xdr:rowOff>133350</xdr:rowOff>
        </xdr:from>
        <xdr:to>
          <xdr:col>3</xdr:col>
          <xdr:colOff>666750</xdr:colOff>
          <xdr:row>3</xdr:row>
          <xdr:rowOff>38100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6FA25720-4D5F-03AD-FF3E-B83AB866DC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</xdr:colOff>
          <xdr:row>13</xdr:row>
          <xdr:rowOff>123825</xdr:rowOff>
        </xdr:from>
        <xdr:to>
          <xdr:col>3</xdr:col>
          <xdr:colOff>571500</xdr:colOff>
          <xdr:row>15</xdr:row>
          <xdr:rowOff>9525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EC106227-2B50-78B6-48E9-68F417E9EC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104775</xdr:colOff>
          <xdr:row>14</xdr:row>
          <xdr:rowOff>123825</xdr:rowOff>
        </xdr:from>
        <xdr:to>
          <xdr:col>3</xdr:col>
          <xdr:colOff>571500</xdr:colOff>
          <xdr:row>16</xdr:row>
          <xdr:rowOff>9525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1ADDAA14-56E8-9B9C-7624-4811D1A536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3</xdr:row>
          <xdr:rowOff>152400</xdr:rowOff>
        </xdr:from>
        <xdr:to>
          <xdr:col>6</xdr:col>
          <xdr:colOff>657225</xdr:colOff>
          <xdr:row>5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9F67DDDA-7561-B5FE-E08E-7867AA66C4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5</xdr:row>
          <xdr:rowOff>152400</xdr:rowOff>
        </xdr:from>
        <xdr:to>
          <xdr:col>6</xdr:col>
          <xdr:colOff>657225</xdr:colOff>
          <xdr:row>7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CEDEF503-A0A3-CE38-7771-64CC7AD6FF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1</xdr:row>
          <xdr:rowOff>133350</xdr:rowOff>
        </xdr:from>
        <xdr:to>
          <xdr:col>6</xdr:col>
          <xdr:colOff>657225</xdr:colOff>
          <xdr:row>3</xdr:row>
          <xdr:rowOff>38100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7BDE7205-2E8E-130A-27AD-111D780558D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13</xdr:row>
          <xdr:rowOff>152400</xdr:rowOff>
        </xdr:from>
        <xdr:to>
          <xdr:col>6</xdr:col>
          <xdr:colOff>542925</xdr:colOff>
          <xdr:row>15</xdr:row>
          <xdr:rowOff>38100</xdr:rowOff>
        </xdr:to>
        <xdr:sp macro="" textlink="">
          <xdr:nvSpPr>
            <xdr:cNvPr id="1053" name="Option Button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8A0CF1CE-C43C-5FCC-DCF6-110E7325CC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133350</xdr:colOff>
          <xdr:row>14</xdr:row>
          <xdr:rowOff>114300</xdr:rowOff>
        </xdr:from>
        <xdr:to>
          <xdr:col>6</xdr:col>
          <xdr:colOff>523875</xdr:colOff>
          <xdr:row>16</xdr:row>
          <xdr:rowOff>47625</xdr:rowOff>
        </xdr:to>
        <xdr:sp macro="" textlink="">
          <xdr:nvSpPr>
            <xdr:cNvPr id="1054" name="Option Butto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3E211897-CF01-F006-ED93-0F3E80F01C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17</xdr:row>
          <xdr:rowOff>9525</xdr:rowOff>
        </xdr:to>
        <xdr:sp macro="" textlink="">
          <xdr:nvSpPr>
            <xdr:cNvPr id="1055" name="Group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53FF593D-B75F-3B04-191A-D8195ED893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0</xdr:colOff>
          <xdr:row>17</xdr:row>
          <xdr:rowOff>0</xdr:rowOff>
        </xdr:to>
        <xdr:sp macro="" textlink="">
          <xdr:nvSpPr>
            <xdr:cNvPr id="1057" name="Group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EC2D53D7-29D1-06E5-D0D5-D9B9503B98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3</xdr:row>
          <xdr:rowOff>152400</xdr:rowOff>
        </xdr:from>
        <xdr:to>
          <xdr:col>9</xdr:col>
          <xdr:colOff>657225</xdr:colOff>
          <xdr:row>5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FDDA1251-570C-D500-D3CE-EB7709F1E0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5</xdr:row>
          <xdr:rowOff>152400</xdr:rowOff>
        </xdr:from>
        <xdr:to>
          <xdr:col>9</xdr:col>
          <xdr:colOff>657225</xdr:colOff>
          <xdr:row>7</xdr:row>
          <xdr:rowOff>38100</xdr:rowOff>
        </xdr:to>
        <xdr:sp macro="" textlink="">
          <xdr:nvSpPr>
            <xdr:cNvPr id="1060" name="Drop Down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4A84D56C-562D-D78D-3E78-3763FDB7300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</xdr:colOff>
          <xdr:row>1</xdr:row>
          <xdr:rowOff>133350</xdr:rowOff>
        </xdr:from>
        <xdr:to>
          <xdr:col>9</xdr:col>
          <xdr:colOff>657225</xdr:colOff>
          <xdr:row>3</xdr:row>
          <xdr:rowOff>38100</xdr:rowOff>
        </xdr:to>
        <xdr:sp macro="" textlink="">
          <xdr:nvSpPr>
            <xdr:cNvPr id="1061" name="Drop Down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AA6DED6D-A09D-99CF-8B23-04033DCDE58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133350</xdr:colOff>
          <xdr:row>13</xdr:row>
          <xdr:rowOff>152400</xdr:rowOff>
        </xdr:from>
        <xdr:to>
          <xdr:col>9</xdr:col>
          <xdr:colOff>542925</xdr:colOff>
          <xdr:row>15</xdr:row>
          <xdr:rowOff>38100</xdr:rowOff>
        </xdr:to>
        <xdr:sp macro="" textlink="">
          <xdr:nvSpPr>
            <xdr:cNvPr id="1062" name="Option Butto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BC91540C-E98F-D2B5-1A49-D2B50BE230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133350</xdr:colOff>
          <xdr:row>14</xdr:row>
          <xdr:rowOff>114300</xdr:rowOff>
        </xdr:from>
        <xdr:to>
          <xdr:col>9</xdr:col>
          <xdr:colOff>523875</xdr:colOff>
          <xdr:row>16</xdr:row>
          <xdr:rowOff>47625</xdr:rowOff>
        </xdr:to>
        <xdr:sp macro="" textlink="">
          <xdr:nvSpPr>
            <xdr:cNvPr id="1063" name="Option Button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864FEBDA-27A5-B427-2A05-A6A7F15C01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64" name="Group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9769D4B5-0A36-49A1-7641-0D365AD6E8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3</xdr:row>
          <xdr:rowOff>152400</xdr:rowOff>
        </xdr:from>
        <xdr:to>
          <xdr:col>12</xdr:col>
          <xdr:colOff>657225</xdr:colOff>
          <xdr:row>5</xdr:row>
          <xdr:rowOff>38100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82238BE9-C8D4-2CB0-1FC9-AA18CCE1F2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5</xdr:row>
          <xdr:rowOff>152400</xdr:rowOff>
        </xdr:from>
        <xdr:to>
          <xdr:col>12</xdr:col>
          <xdr:colOff>657225</xdr:colOff>
          <xdr:row>7</xdr:row>
          <xdr:rowOff>38100</xdr:rowOff>
        </xdr:to>
        <xdr:sp macro="" textlink="">
          <xdr:nvSpPr>
            <xdr:cNvPr id="1066" name="Drop Down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C1127A92-D474-6BB0-7AA3-E0079F7FD9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</xdr:row>
          <xdr:rowOff>133350</xdr:rowOff>
        </xdr:from>
        <xdr:to>
          <xdr:col>12</xdr:col>
          <xdr:colOff>657225</xdr:colOff>
          <xdr:row>3</xdr:row>
          <xdr:rowOff>38100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63C046C1-C93E-FB9F-F3DA-E7960CCD80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13</xdr:row>
          <xdr:rowOff>152400</xdr:rowOff>
        </xdr:from>
        <xdr:to>
          <xdr:col>12</xdr:col>
          <xdr:colOff>542925</xdr:colOff>
          <xdr:row>15</xdr:row>
          <xdr:rowOff>38100</xdr:rowOff>
        </xdr:to>
        <xdr:sp macro="" textlink="">
          <xdr:nvSpPr>
            <xdr:cNvPr id="1068" name="Option Button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6B8F36C6-A05B-3F97-1F60-A471871C0B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133350</xdr:colOff>
          <xdr:row>14</xdr:row>
          <xdr:rowOff>114300</xdr:rowOff>
        </xdr:from>
        <xdr:to>
          <xdr:col>12</xdr:col>
          <xdr:colOff>523875</xdr:colOff>
          <xdr:row>16</xdr:row>
          <xdr:rowOff>47625</xdr:rowOff>
        </xdr:to>
        <xdr:sp macro="" textlink="">
          <xdr:nvSpPr>
            <xdr:cNvPr id="1069" name="Option Button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7EA2DB72-0DBF-7CF2-5F95-F6EFF29497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13</xdr:col>
          <xdr:colOff>0</xdr:colOff>
          <xdr:row>17</xdr:row>
          <xdr:rowOff>0</xdr:rowOff>
        </xdr:to>
        <xdr:sp macro="" textlink="">
          <xdr:nvSpPr>
            <xdr:cNvPr id="1070" name="Group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C61F7829-F61D-EED5-A778-EE4899DFB5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3</xdr:row>
          <xdr:rowOff>152400</xdr:rowOff>
        </xdr:from>
        <xdr:to>
          <xdr:col>15</xdr:col>
          <xdr:colOff>657225</xdr:colOff>
          <xdr:row>5</xdr:row>
          <xdr:rowOff>38100</xdr:rowOff>
        </xdr:to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1F66AF3F-5EC6-1A4B-25E7-56880C3BEDE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5</xdr:row>
          <xdr:rowOff>152400</xdr:rowOff>
        </xdr:from>
        <xdr:to>
          <xdr:col>15</xdr:col>
          <xdr:colOff>657225</xdr:colOff>
          <xdr:row>7</xdr:row>
          <xdr:rowOff>38100</xdr:rowOff>
        </xdr:to>
        <xdr:sp macro="" textlink="">
          <xdr:nvSpPr>
            <xdr:cNvPr id="1072" name="Drop Down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E0425C4B-9D21-835F-92B8-0BE694EAFB9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</xdr:colOff>
          <xdr:row>1</xdr:row>
          <xdr:rowOff>133350</xdr:rowOff>
        </xdr:from>
        <xdr:to>
          <xdr:col>15</xdr:col>
          <xdr:colOff>657225</xdr:colOff>
          <xdr:row>3</xdr:row>
          <xdr:rowOff>38100</xdr:rowOff>
        </xdr:to>
        <xdr:sp macro="" textlink="">
          <xdr:nvSpPr>
            <xdr:cNvPr id="1073" name="Drop Down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B3E84B0B-E5AD-9341-46FD-E78CC70764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13</xdr:row>
          <xdr:rowOff>152400</xdr:rowOff>
        </xdr:from>
        <xdr:to>
          <xdr:col>15</xdr:col>
          <xdr:colOff>542925</xdr:colOff>
          <xdr:row>15</xdr:row>
          <xdr:rowOff>38100</xdr:rowOff>
        </xdr:to>
        <xdr:sp macro="" textlink="">
          <xdr:nvSpPr>
            <xdr:cNvPr id="1074" name="Option Button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3F1DA7D3-B7F9-614A-DA1D-EC05F14ED1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133350</xdr:colOff>
          <xdr:row>14</xdr:row>
          <xdr:rowOff>114300</xdr:rowOff>
        </xdr:from>
        <xdr:to>
          <xdr:col>15</xdr:col>
          <xdr:colOff>523875</xdr:colOff>
          <xdr:row>16</xdr:row>
          <xdr:rowOff>47625</xdr:rowOff>
        </xdr:to>
        <xdr:sp macro="" textlink="">
          <xdr:nvSpPr>
            <xdr:cNvPr id="1075" name="Option Button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D6D40761-6B83-9F1D-CC1F-1E43462277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12</xdr:row>
          <xdr:rowOff>0</xdr:rowOff>
        </xdr:from>
        <xdr:to>
          <xdr:col>16</xdr:col>
          <xdr:colOff>0</xdr:colOff>
          <xdr:row>17</xdr:row>
          <xdr:rowOff>0</xdr:rowOff>
        </xdr:to>
        <xdr:sp macro="" textlink="">
          <xdr:nvSpPr>
            <xdr:cNvPr id="1076" name="Group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5AAB33CB-9DF5-7BD9-8807-465151AB1C0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9"/>
  <sheetViews>
    <sheetView showGridLines="0" tabSelected="1" workbookViewId="0">
      <selection activeCell="D15" sqref="D15"/>
    </sheetView>
  </sheetViews>
  <sheetFormatPr defaultRowHeight="12.75" x14ac:dyDescent="0.2"/>
  <cols>
    <col min="1" max="1" width="3.7109375" customWidth="1"/>
    <col min="3" max="3" width="17.7109375" customWidth="1"/>
    <col min="4" max="4" width="10.28515625" customWidth="1"/>
    <col min="5" max="5" width="3.7109375" customWidth="1"/>
    <col min="6" max="6" width="7.85546875" customWidth="1"/>
    <col min="7" max="7" width="10.28515625" customWidth="1"/>
    <col min="8" max="8" width="3.7109375" customWidth="1"/>
    <col min="9" max="9" width="7.85546875" customWidth="1"/>
    <col min="10" max="10" width="10.28515625" customWidth="1"/>
    <col min="11" max="11" width="3.7109375" customWidth="1"/>
    <col min="12" max="12" width="7.85546875" customWidth="1"/>
    <col min="13" max="13" width="10.28515625" customWidth="1"/>
    <col min="14" max="14" width="3.7109375" customWidth="1"/>
    <col min="15" max="15" width="7.85546875" customWidth="1"/>
    <col min="16" max="16" width="10.28515625" customWidth="1"/>
  </cols>
  <sheetData>
    <row r="1" spans="2:16" ht="8.1" customHeight="1" x14ac:dyDescent="0.2"/>
    <row r="2" spans="2:16" ht="8.1" customHeight="1" x14ac:dyDescent="0.2">
      <c r="B2" s="23"/>
      <c r="C2" s="23"/>
      <c r="D2" s="23"/>
      <c r="F2" s="23"/>
      <c r="G2" s="23"/>
      <c r="I2" s="23"/>
      <c r="J2" s="23"/>
      <c r="L2" s="23"/>
      <c r="M2" s="23"/>
      <c r="O2" s="23"/>
      <c r="P2" s="23"/>
    </row>
    <row r="3" spans="2:16" x14ac:dyDescent="0.2">
      <c r="B3" s="23" t="s">
        <v>20</v>
      </c>
      <c r="C3" s="23"/>
      <c r="D3" s="23"/>
      <c r="F3" s="23"/>
      <c r="G3" s="23"/>
      <c r="I3" s="23"/>
      <c r="J3" s="23"/>
      <c r="L3" s="23"/>
      <c r="M3" s="23"/>
      <c r="O3" s="23"/>
      <c r="P3" s="23"/>
    </row>
    <row r="4" spans="2:16" ht="8.1" customHeight="1" x14ac:dyDescent="0.2">
      <c r="B4" s="23"/>
      <c r="C4" s="23"/>
      <c r="D4" s="24"/>
      <c r="F4" s="23"/>
      <c r="G4" s="24"/>
      <c r="I4" s="23"/>
      <c r="J4" s="24"/>
      <c r="L4" s="23"/>
      <c r="M4" s="24"/>
      <c r="O4" s="23"/>
      <c r="P4" s="24"/>
    </row>
    <row r="5" spans="2:16" x14ac:dyDescent="0.2">
      <c r="B5" s="23" t="s">
        <v>0</v>
      </c>
      <c r="C5" s="23"/>
      <c r="D5" s="23"/>
      <c r="F5" s="23"/>
      <c r="G5" s="23"/>
      <c r="I5" s="23"/>
      <c r="J5" s="23"/>
      <c r="L5" s="23"/>
      <c r="M5" s="23"/>
      <c r="O5" s="23"/>
      <c r="P5" s="23"/>
    </row>
    <row r="6" spans="2:16" ht="8.1" customHeight="1" x14ac:dyDescent="0.2">
      <c r="B6" s="23"/>
      <c r="C6" s="23"/>
      <c r="D6" s="23"/>
      <c r="F6" s="23"/>
      <c r="G6" s="23"/>
      <c r="I6" s="23"/>
      <c r="J6" s="23"/>
      <c r="L6" s="23"/>
      <c r="M6" s="23"/>
      <c r="O6" s="23"/>
      <c r="P6" s="23"/>
    </row>
    <row r="7" spans="2:16" x14ac:dyDescent="0.2">
      <c r="B7" s="23" t="s">
        <v>10</v>
      </c>
      <c r="C7" s="23"/>
      <c r="D7" s="23"/>
      <c r="F7" s="23"/>
      <c r="G7" s="23"/>
      <c r="I7" s="23"/>
      <c r="J7" s="23"/>
      <c r="L7" s="23"/>
      <c r="M7" s="23"/>
      <c r="O7" s="23"/>
      <c r="P7" s="23"/>
    </row>
    <row r="8" spans="2:16" ht="8.1" customHeight="1" thickBot="1" x14ac:dyDescent="0.25">
      <c r="B8" s="26"/>
      <c r="C8" s="26"/>
      <c r="D8" s="26"/>
      <c r="F8" s="26"/>
      <c r="G8" s="26"/>
      <c r="I8" s="26"/>
      <c r="J8" s="26"/>
      <c r="L8" s="26"/>
      <c r="M8" s="26"/>
      <c r="O8" s="26"/>
      <c r="P8" s="26"/>
    </row>
    <row r="9" spans="2:16" x14ac:dyDescent="0.2">
      <c r="B9" s="23" t="s">
        <v>86</v>
      </c>
      <c r="C9" s="23"/>
      <c r="D9" s="61">
        <v>0.06</v>
      </c>
      <c r="E9" s="62"/>
      <c r="F9" s="63"/>
      <c r="G9" s="61">
        <f>D9</f>
        <v>0.06</v>
      </c>
      <c r="H9" s="62"/>
      <c r="I9" s="63"/>
      <c r="J9" s="61">
        <f>G9</f>
        <v>0.06</v>
      </c>
      <c r="K9" s="62"/>
      <c r="L9" s="63"/>
      <c r="M9" s="61">
        <f>J9</f>
        <v>0.06</v>
      </c>
      <c r="N9" s="62"/>
      <c r="O9" s="63"/>
      <c r="P9" s="61">
        <f>M9</f>
        <v>0.06</v>
      </c>
    </row>
    <row r="10" spans="2:16" x14ac:dyDescent="0.2">
      <c r="B10" s="23" t="s">
        <v>42</v>
      </c>
      <c r="C10" s="23"/>
      <c r="D10" s="64">
        <v>2.5000000000000001E-2</v>
      </c>
      <c r="E10" s="62"/>
      <c r="F10" s="63"/>
      <c r="G10" s="64">
        <v>0.05</v>
      </c>
      <c r="H10" s="62"/>
      <c r="I10" s="63"/>
      <c r="J10" s="64">
        <v>2.5000000000000001E-2</v>
      </c>
      <c r="K10" s="62"/>
      <c r="L10" s="63"/>
      <c r="M10" s="64">
        <v>0.05</v>
      </c>
      <c r="N10" s="62"/>
      <c r="O10" s="63"/>
      <c r="P10" s="64">
        <v>0.05</v>
      </c>
    </row>
    <row r="11" spans="2:16" x14ac:dyDescent="0.2">
      <c r="B11" s="23" t="s">
        <v>43</v>
      </c>
      <c r="C11" s="23"/>
      <c r="D11" s="64">
        <v>2.5000000000000001E-2</v>
      </c>
      <c r="E11" s="62"/>
      <c r="F11" s="63"/>
      <c r="G11" s="64">
        <v>2.5000000000000001E-2</v>
      </c>
      <c r="H11" s="62"/>
      <c r="I11" s="63"/>
      <c r="J11" s="64">
        <v>2.5000000000000001E-2</v>
      </c>
      <c r="K11" s="62"/>
      <c r="L11" s="63"/>
      <c r="M11" s="64">
        <v>2.5000000000000001E-2</v>
      </c>
      <c r="N11" s="62"/>
      <c r="O11" s="63"/>
      <c r="P11" s="64">
        <v>3.7499999999999999E-2</v>
      </c>
    </row>
    <row r="12" spans="2:16" x14ac:dyDescent="0.2">
      <c r="B12" s="23" t="s">
        <v>44</v>
      </c>
      <c r="C12" s="23"/>
      <c r="D12" s="64">
        <v>2.5000000000000001E-2</v>
      </c>
      <c r="E12" s="62"/>
      <c r="F12" s="63"/>
      <c r="G12" s="61">
        <f>D12</f>
        <v>2.5000000000000001E-2</v>
      </c>
      <c r="H12" s="62"/>
      <c r="I12" s="63"/>
      <c r="J12" s="61">
        <f>G12</f>
        <v>2.5000000000000001E-2</v>
      </c>
      <c r="K12" s="62"/>
      <c r="L12" s="63"/>
      <c r="M12" s="61">
        <f>J12</f>
        <v>2.5000000000000001E-2</v>
      </c>
      <c r="N12" s="62"/>
      <c r="O12" s="63"/>
      <c r="P12" s="61">
        <f>M12</f>
        <v>2.5000000000000001E-2</v>
      </c>
    </row>
    <row r="13" spans="2:16" x14ac:dyDescent="0.2">
      <c r="B13" s="23" t="s">
        <v>64</v>
      </c>
      <c r="C13" s="23"/>
      <c r="D13" s="64">
        <v>7.4999999999999997E-2</v>
      </c>
      <c r="E13" s="62"/>
      <c r="F13" s="63"/>
      <c r="G13" s="61">
        <f>D13</f>
        <v>7.4999999999999997E-2</v>
      </c>
      <c r="H13" s="62"/>
      <c r="I13" s="63"/>
      <c r="J13" s="61">
        <f>G13</f>
        <v>7.4999999999999997E-2</v>
      </c>
      <c r="K13" s="62"/>
      <c r="L13" s="63"/>
      <c r="M13" s="61">
        <f>J13</f>
        <v>7.4999999999999997E-2</v>
      </c>
      <c r="N13" s="62"/>
      <c r="O13" s="63"/>
      <c r="P13" s="61">
        <f>M13</f>
        <v>7.4999999999999997E-2</v>
      </c>
    </row>
    <row r="14" spans="2:16" ht="13.5" thickBot="1" x14ac:dyDescent="0.25">
      <c r="B14" s="26" t="s">
        <v>67</v>
      </c>
      <c r="C14" s="26"/>
      <c r="D14" s="65">
        <v>135</v>
      </c>
      <c r="E14" s="62"/>
      <c r="F14" s="66"/>
      <c r="G14" s="65">
        <v>135</v>
      </c>
      <c r="H14" s="62"/>
      <c r="I14" s="66"/>
      <c r="J14" s="65">
        <v>175</v>
      </c>
      <c r="K14" s="62"/>
      <c r="L14" s="66"/>
      <c r="M14" s="65">
        <v>175</v>
      </c>
      <c r="N14" s="62"/>
      <c r="O14" s="66"/>
      <c r="P14" s="65">
        <v>175</v>
      </c>
    </row>
    <row r="15" spans="2:16" x14ac:dyDescent="0.2">
      <c r="B15" s="23" t="s">
        <v>33</v>
      </c>
      <c r="C15" s="23"/>
      <c r="D15" s="67"/>
      <c r="E15" s="62"/>
      <c r="F15" s="63"/>
      <c r="G15" s="67"/>
      <c r="H15" s="62"/>
      <c r="I15" s="63"/>
      <c r="J15" s="67"/>
      <c r="K15" s="62"/>
      <c r="L15" s="63"/>
      <c r="M15" s="67"/>
      <c r="N15" s="62"/>
      <c r="O15" s="63"/>
      <c r="P15" s="67"/>
    </row>
    <row r="16" spans="2:16" ht="13.5" thickBot="1" x14ac:dyDescent="0.25">
      <c r="B16" s="26" t="s">
        <v>34</v>
      </c>
      <c r="C16" s="26"/>
      <c r="D16" s="68"/>
      <c r="E16" s="62"/>
      <c r="F16" s="66"/>
      <c r="G16" s="68"/>
      <c r="H16" s="62"/>
      <c r="I16" s="66"/>
      <c r="J16" s="68"/>
      <c r="K16" s="62"/>
      <c r="L16" s="66"/>
      <c r="M16" s="68"/>
      <c r="N16" s="62"/>
      <c r="O16" s="66"/>
      <c r="P16" s="68"/>
    </row>
    <row r="17" spans="2:16" x14ac:dyDescent="0.2">
      <c r="B17" s="23" t="s">
        <v>68</v>
      </c>
      <c r="C17" s="23"/>
      <c r="D17" s="69">
        <v>2</v>
      </c>
      <c r="E17" s="62"/>
      <c r="F17" s="63"/>
      <c r="G17" s="69">
        <v>2</v>
      </c>
      <c r="H17" s="62"/>
      <c r="I17" s="63"/>
      <c r="J17" s="69">
        <v>3</v>
      </c>
      <c r="K17" s="62"/>
      <c r="L17" s="63"/>
      <c r="M17" s="69">
        <v>3</v>
      </c>
      <c r="N17" s="62"/>
      <c r="O17" s="63"/>
      <c r="P17" s="69">
        <v>3</v>
      </c>
    </row>
    <row r="18" spans="2:16" ht="8.1" customHeight="1" x14ac:dyDescent="0.2">
      <c r="B18" s="10"/>
      <c r="C18" s="10"/>
      <c r="D18" s="10"/>
      <c r="F18" s="10"/>
      <c r="G18" s="10"/>
      <c r="I18" s="10"/>
      <c r="J18" s="10"/>
      <c r="L18" s="10"/>
      <c r="M18" s="10"/>
      <c r="O18" s="10"/>
      <c r="P18" s="10"/>
    </row>
    <row r="19" spans="2:16" s="27" customFormat="1" x14ac:dyDescent="0.2">
      <c r="B19" s="50" t="s">
        <v>21</v>
      </c>
      <c r="C19" s="51"/>
      <c r="D19" s="52">
        <f ca="1">Sheet2!E21</f>
        <v>275000</v>
      </c>
      <c r="E19" s="51"/>
      <c r="F19" s="51"/>
      <c r="G19" s="52">
        <f ca="1">Sheet2!H21</f>
        <v>417000</v>
      </c>
      <c r="H19" s="51"/>
      <c r="I19" s="51"/>
      <c r="J19" s="52">
        <f ca="1">Sheet2!K21</f>
        <v>1062000</v>
      </c>
      <c r="K19" s="51"/>
      <c r="L19" s="51"/>
      <c r="M19" s="52">
        <f ca="1">Sheet2!N21</f>
        <v>1558500</v>
      </c>
      <c r="N19" s="51"/>
      <c r="O19" s="51"/>
      <c r="P19" s="53">
        <f ca="1">Sheet2!Q21</f>
        <v>1595000</v>
      </c>
    </row>
    <row r="20" spans="2:16" s="25" customFormat="1" x14ac:dyDescent="0.2">
      <c r="B20" s="54" t="s">
        <v>90</v>
      </c>
      <c r="C20" s="32"/>
      <c r="D20" s="39">
        <f ca="1">Sheet2!E22</f>
        <v>4578</v>
      </c>
      <c r="E20" s="32"/>
      <c r="F20" s="32"/>
      <c r="G20" s="39">
        <f ca="1">Sheet2!H22</f>
        <v>3897.5</v>
      </c>
      <c r="H20" s="32"/>
      <c r="I20" s="32"/>
      <c r="J20" s="39">
        <f ca="1">Sheet2!K22</f>
        <v>10380</v>
      </c>
      <c r="K20" s="32"/>
      <c r="L20" s="32"/>
      <c r="M20" s="39">
        <f ca="1">Sheet2!N22</f>
        <v>10575</v>
      </c>
      <c r="N20" s="32"/>
      <c r="O20" s="32"/>
      <c r="P20" s="55">
        <f ca="1">Sheet2!Q22</f>
        <v>10580</v>
      </c>
    </row>
    <row r="21" spans="2:16" s="28" customFormat="1" x14ac:dyDescent="0.2">
      <c r="B21" s="56" t="s">
        <v>91</v>
      </c>
      <c r="C21" s="37"/>
      <c r="D21" s="38">
        <f ca="1">Sheet2!E23</f>
        <v>1250</v>
      </c>
      <c r="E21" s="37"/>
      <c r="F21" s="37"/>
      <c r="G21" s="38">
        <f ca="1">Sheet2!H23</f>
        <v>1285</v>
      </c>
      <c r="H21" s="37"/>
      <c r="I21" s="37"/>
      <c r="J21" s="38">
        <f ca="1">Sheet2!K23</f>
        <v>1625</v>
      </c>
      <c r="K21" s="37"/>
      <c r="L21" s="37"/>
      <c r="M21" s="38">
        <f ca="1">Sheet2!N23</f>
        <v>1730</v>
      </c>
      <c r="N21" s="37"/>
      <c r="O21" s="37"/>
      <c r="P21" s="57">
        <f ca="1">Sheet2!Q23</f>
        <v>1735</v>
      </c>
    </row>
    <row r="22" spans="2:16" s="10" customFormat="1" x14ac:dyDescent="0.2">
      <c r="B22" s="19" t="s">
        <v>35</v>
      </c>
      <c r="C22" s="58"/>
      <c r="D22" s="59">
        <f>Sheet2!E18</f>
        <v>50</v>
      </c>
      <c r="E22" s="58"/>
      <c r="F22" s="58"/>
      <c r="G22" s="59">
        <f>Sheet2!H18</f>
        <v>50</v>
      </c>
      <c r="H22" s="58"/>
      <c r="I22" s="58"/>
      <c r="J22" s="59">
        <f>Sheet2!K18</f>
        <v>100</v>
      </c>
      <c r="K22" s="58"/>
      <c r="L22" s="58"/>
      <c r="M22" s="59">
        <f>Sheet2!N18</f>
        <v>100</v>
      </c>
      <c r="N22" s="58"/>
      <c r="O22" s="58"/>
      <c r="P22" s="60">
        <f>Sheet2!Q18</f>
        <v>100</v>
      </c>
    </row>
    <row r="23" spans="2:16" s="28" customFormat="1" x14ac:dyDescent="0.2">
      <c r="B23" s="37" t="s">
        <v>36</v>
      </c>
      <c r="C23" s="37"/>
      <c r="D23" s="40">
        <f>Sheet2!E26</f>
        <v>45.454545454545453</v>
      </c>
      <c r="E23" s="37"/>
      <c r="F23" s="37"/>
      <c r="G23" s="40">
        <f>Sheet2!H26</f>
        <v>50</v>
      </c>
      <c r="H23" s="37"/>
      <c r="I23" s="37"/>
      <c r="J23" s="40">
        <f>Sheet2!K26</f>
        <v>93.75</v>
      </c>
      <c r="K23" s="37"/>
      <c r="L23" s="37"/>
      <c r="M23" s="40">
        <f>Sheet2!N26</f>
        <v>100</v>
      </c>
      <c r="N23" s="37"/>
      <c r="O23" s="37"/>
      <c r="P23" s="40">
        <f>Sheet2!Q26</f>
        <v>93.75</v>
      </c>
    </row>
    <row r="24" spans="2:16" s="25" customFormat="1" x14ac:dyDescent="0.2">
      <c r="B24" s="32" t="s">
        <v>79</v>
      </c>
      <c r="C24" s="32"/>
      <c r="D24" s="33">
        <f ca="1">AVERAGE(Sheet2!E32:E36)/D23</f>
        <v>1553.9021174316406</v>
      </c>
      <c r="E24" s="32"/>
      <c r="F24" s="32"/>
      <c r="G24" s="33">
        <f ca="1">AVERAGE(Sheet2!H32:H36)/G23</f>
        <v>1597.4113767197266</v>
      </c>
      <c r="H24" s="32"/>
      <c r="I24" s="32"/>
      <c r="J24" s="33">
        <f ca="1">AVERAGE(Sheet2!K32:K36)/J23</f>
        <v>1958.8584268229163</v>
      </c>
      <c r="K24" s="32"/>
      <c r="L24" s="32"/>
      <c r="M24" s="33">
        <f ca="1">AVERAGE(Sheet2!N32:N36)/M23</f>
        <v>2085.4308174791663</v>
      </c>
      <c r="N24" s="32"/>
      <c r="O24" s="32"/>
      <c r="P24" s="33">
        <f ca="1">AVERAGE(Sheet2!Q32:Q36)/P23</f>
        <v>2091.4580741770828</v>
      </c>
    </row>
    <row r="25" spans="2:16" s="25" customFormat="1" x14ac:dyDescent="0.2">
      <c r="B25" s="32" t="s">
        <v>77</v>
      </c>
      <c r="C25" s="32"/>
      <c r="D25" s="33">
        <f>Sheet2!E46/D23</f>
        <v>148.5</v>
      </c>
      <c r="E25" s="32"/>
      <c r="F25" s="32"/>
      <c r="G25" s="33">
        <f>Sheet2!H46/G23</f>
        <v>148.5</v>
      </c>
      <c r="H25" s="32"/>
      <c r="I25" s="32"/>
      <c r="J25" s="33">
        <f>Sheet2!K46/J23</f>
        <v>186.66666666666666</v>
      </c>
      <c r="K25" s="32"/>
      <c r="L25" s="32"/>
      <c r="M25" s="33">
        <f>Sheet2!N46/M23</f>
        <v>186.66666666666669</v>
      </c>
      <c r="N25" s="32"/>
      <c r="O25" s="32"/>
      <c r="P25" s="33">
        <f>Sheet2!Q46/P23</f>
        <v>186.66666666666666</v>
      </c>
    </row>
    <row r="26" spans="2:16" s="27" customFormat="1" x14ac:dyDescent="0.2">
      <c r="B26" s="37" t="s">
        <v>80</v>
      </c>
      <c r="C26" s="37"/>
      <c r="D26" s="41">
        <f ca="1">D24+D25</f>
        <v>1702.4021174316406</v>
      </c>
      <c r="E26" s="37"/>
      <c r="F26" s="37"/>
      <c r="G26" s="41">
        <f ca="1">G24+G25</f>
        <v>1745.9113767197266</v>
      </c>
      <c r="H26" s="37"/>
      <c r="I26" s="37"/>
      <c r="J26" s="41">
        <f ca="1">J24+J25</f>
        <v>2145.525093489583</v>
      </c>
      <c r="K26" s="37"/>
      <c r="L26" s="37"/>
      <c r="M26" s="41">
        <f ca="1">M24+M25</f>
        <v>2272.0974841458328</v>
      </c>
      <c r="N26" s="37"/>
      <c r="O26" s="37"/>
      <c r="P26" s="41">
        <f ca="1">P24+P25</f>
        <v>2278.1247408437494</v>
      </c>
    </row>
    <row r="27" spans="2:16" s="25" customFormat="1" x14ac:dyDescent="0.2">
      <c r="B27" s="32" t="s">
        <v>78</v>
      </c>
      <c r="C27" s="32"/>
      <c r="D27" s="33">
        <f ca="1">AVERAGE(Sheet2!E39:E43)/D23</f>
        <v>1270.5513186712496</v>
      </c>
      <c r="E27" s="32"/>
      <c r="F27" s="32"/>
      <c r="G27" s="33">
        <f ca="1">AVERAGE(Sheet2!H39:H43)/G23</f>
        <v>983.35393870312487</v>
      </c>
      <c r="H27" s="32"/>
      <c r="I27" s="32"/>
      <c r="J27" s="33">
        <f ca="1">AVERAGE(Sheet2!K39:K43)/J23</f>
        <v>1396.7536637999997</v>
      </c>
      <c r="K27" s="32"/>
      <c r="L27" s="32"/>
      <c r="M27" s="33">
        <f ca="1">AVERAGE(Sheet2!N39:N43)/M23</f>
        <v>1334.0561772656249</v>
      </c>
      <c r="N27" s="32"/>
      <c r="O27" s="32"/>
      <c r="P27" s="33">
        <f ca="1">AVERAGE(Sheet2!Q39:Q43)/P23</f>
        <v>1459.6887506125004</v>
      </c>
    </row>
    <row r="28" spans="2:16" s="25" customFormat="1" x14ac:dyDescent="0.2">
      <c r="B28" s="42" t="s">
        <v>66</v>
      </c>
      <c r="C28" s="42"/>
      <c r="D28" s="43">
        <f ca="1">D10*D19/D23</f>
        <v>151.25</v>
      </c>
      <c r="E28" s="32"/>
      <c r="F28" s="32"/>
      <c r="G28" s="43">
        <f ca="1">G10*G19/G23</f>
        <v>417</v>
      </c>
      <c r="H28" s="32"/>
      <c r="I28" s="32"/>
      <c r="J28" s="43">
        <f ca="1">J10*J19/J23</f>
        <v>283.2</v>
      </c>
      <c r="K28" s="32"/>
      <c r="L28" s="32"/>
      <c r="M28" s="43">
        <f ca="1">M10*M19/M23</f>
        <v>779.25</v>
      </c>
      <c r="N28" s="32"/>
      <c r="O28" s="32"/>
      <c r="P28" s="43">
        <f ca="1">P10*P19/P23</f>
        <v>850.66666666666663</v>
      </c>
    </row>
    <row r="29" spans="2:16" s="25" customFormat="1" x14ac:dyDescent="0.2">
      <c r="B29" s="42" t="s">
        <v>84</v>
      </c>
      <c r="C29" s="42"/>
      <c r="D29" s="43">
        <f ca="1">D9*D19/D23</f>
        <v>363</v>
      </c>
      <c r="E29" s="32"/>
      <c r="F29" s="32"/>
      <c r="G29" s="43">
        <f ca="1">G9*G19/G23</f>
        <v>500.4</v>
      </c>
      <c r="H29" s="32"/>
      <c r="I29" s="32"/>
      <c r="J29" s="43">
        <f ca="1">J9*J19/J23</f>
        <v>679.68</v>
      </c>
      <c r="K29" s="32"/>
      <c r="L29" s="32"/>
      <c r="M29" s="43">
        <f ca="1">M9*M19/M23</f>
        <v>935.1</v>
      </c>
      <c r="N29" s="32"/>
      <c r="O29" s="32"/>
      <c r="P29" s="43">
        <f ca="1">P9*P19/P23</f>
        <v>1020.8</v>
      </c>
    </row>
    <row r="30" spans="2:16" s="28" customFormat="1" x14ac:dyDescent="0.2">
      <c r="B30" s="37" t="s">
        <v>81</v>
      </c>
      <c r="C30" s="37"/>
      <c r="D30" s="44">
        <f ca="1">SUM(D27:D29)</f>
        <v>1784.8013186712496</v>
      </c>
      <c r="E30" s="37"/>
      <c r="F30" s="37"/>
      <c r="G30" s="44">
        <f ca="1">SUM(G27:G29)</f>
        <v>1900.7539387031247</v>
      </c>
      <c r="H30" s="37"/>
      <c r="I30" s="37"/>
      <c r="J30" s="44">
        <f ca="1">SUM(J27:J29)</f>
        <v>2359.6336637999998</v>
      </c>
      <c r="K30" s="37"/>
      <c r="L30" s="37"/>
      <c r="M30" s="44">
        <f ca="1">SUM(M27:M29)</f>
        <v>3048.4061772656246</v>
      </c>
      <c r="N30" s="37"/>
      <c r="O30" s="37"/>
      <c r="P30" s="44">
        <f ca="1">SUM(P27:P29)</f>
        <v>3331.1554172791666</v>
      </c>
    </row>
    <row r="31" spans="2:16" s="48" customFormat="1" x14ac:dyDescent="0.2">
      <c r="B31" s="48" t="s">
        <v>82</v>
      </c>
      <c r="D31" s="49">
        <f ca="1">D30+D26</f>
        <v>3487.20343610289</v>
      </c>
      <c r="G31" s="49">
        <f ca="1">G30+G26</f>
        <v>3646.6653154228516</v>
      </c>
      <c r="J31" s="49">
        <f ca="1">J30+J26</f>
        <v>4505.1587572895824</v>
      </c>
      <c r="M31" s="49">
        <f ca="1">M30+M26</f>
        <v>5320.5036614114579</v>
      </c>
      <c r="P31" s="49">
        <f ca="1">P30+P26</f>
        <v>5609.280158122916</v>
      </c>
    </row>
    <row r="32" spans="2:16" s="27" customFormat="1" x14ac:dyDescent="0.2">
      <c r="B32" s="27" t="s">
        <v>83</v>
      </c>
      <c r="D32" s="29">
        <f ca="1">(D26+D27)*D23</f>
        <v>135134.24709558592</v>
      </c>
      <c r="G32" s="29">
        <f ca="1">(G26+G27)*G23</f>
        <v>136463.26577114259</v>
      </c>
      <c r="J32" s="29">
        <f ca="1">(J26+J27)*J23</f>
        <v>332088.63349589839</v>
      </c>
      <c r="M32" s="29">
        <f ca="1">(M26+M27)*M23</f>
        <v>360615.36614114576</v>
      </c>
      <c r="P32" s="29">
        <f ca="1">(P26+P27)*P23</f>
        <v>350420.01482402341</v>
      </c>
    </row>
    <row r="33" spans="2:16" s="25" customFormat="1" x14ac:dyDescent="0.2">
      <c r="B33" s="32" t="s">
        <v>85</v>
      </c>
      <c r="C33" s="46"/>
      <c r="D33" s="45">
        <f ca="1">D28*D23*5</f>
        <v>34375</v>
      </c>
      <c r="E33" s="45"/>
      <c r="F33" s="46"/>
      <c r="G33" s="45">
        <f ca="1">G28*G23*5</f>
        <v>104250</v>
      </c>
      <c r="H33" s="32"/>
      <c r="I33" s="46"/>
      <c r="J33" s="45">
        <f ca="1">J28*J23*5</f>
        <v>132750</v>
      </c>
      <c r="K33" s="32"/>
      <c r="L33" s="46"/>
      <c r="M33" s="45">
        <f ca="1">M28*M23*5</f>
        <v>389625</v>
      </c>
      <c r="N33" s="32"/>
      <c r="O33" s="46"/>
      <c r="P33" s="45">
        <f ca="1">P28*P23*5</f>
        <v>398750</v>
      </c>
    </row>
    <row r="34" spans="2:16" s="27" customFormat="1" x14ac:dyDescent="0.2">
      <c r="B34" s="27" t="s">
        <v>87</v>
      </c>
      <c r="C34" s="47"/>
      <c r="D34" s="29">
        <f ca="1">D32*5+D33</f>
        <v>710046.23547792959</v>
      </c>
      <c r="E34" s="29"/>
      <c r="F34" s="47"/>
      <c r="G34" s="29">
        <f ca="1">G32*5+G33</f>
        <v>786566.3288557129</v>
      </c>
      <c r="I34" s="47"/>
      <c r="J34" s="29">
        <f ca="1">J32*5+J33</f>
        <v>1793193.167479492</v>
      </c>
      <c r="L34" s="47"/>
      <c r="M34" s="29">
        <f ca="1">M32*5+M33</f>
        <v>2192701.8307057288</v>
      </c>
      <c r="O34" s="47"/>
      <c r="P34" s="29">
        <f ca="1">P32*5+P33</f>
        <v>2150850.0741201174</v>
      </c>
    </row>
    <row r="35" spans="2:16" s="25" customFormat="1" x14ac:dyDescent="0.2">
      <c r="B35" s="32" t="s">
        <v>89</v>
      </c>
      <c r="C35" s="46"/>
      <c r="D35" s="45">
        <f ca="1">D29*D23*5</f>
        <v>82500</v>
      </c>
      <c r="E35" s="45"/>
      <c r="F35" s="46"/>
      <c r="G35" s="45">
        <f ca="1">G29*G23*5</f>
        <v>125100</v>
      </c>
      <c r="H35" s="32"/>
      <c r="I35" s="46"/>
      <c r="J35" s="45">
        <f ca="1">J29*J23*5</f>
        <v>318599.99999999994</v>
      </c>
      <c r="K35" s="32"/>
      <c r="L35" s="46"/>
      <c r="M35" s="45">
        <f ca="1">M29*M23*5</f>
        <v>467550</v>
      </c>
      <c r="N35" s="32"/>
      <c r="O35" s="46"/>
      <c r="P35" s="45">
        <f ca="1">P29*P23*5</f>
        <v>478500</v>
      </c>
    </row>
    <row r="36" spans="2:16" s="27" customFormat="1" x14ac:dyDescent="0.2">
      <c r="B36" s="27" t="s">
        <v>88</v>
      </c>
      <c r="C36" s="47"/>
      <c r="D36" s="29">
        <f ca="1">D31*D23*5</f>
        <v>792546.23547792959</v>
      </c>
      <c r="E36" s="29"/>
      <c r="F36" s="47"/>
      <c r="G36" s="29">
        <f ca="1">G31*G23*5</f>
        <v>911666.3288557129</v>
      </c>
      <c r="I36" s="47"/>
      <c r="J36" s="29">
        <f ca="1">J31*J23*5</f>
        <v>2111793.1674794918</v>
      </c>
      <c r="L36" s="47"/>
      <c r="M36" s="29">
        <f ca="1">M31*M23*5</f>
        <v>2660251.8307057293</v>
      </c>
      <c r="O36" s="47"/>
      <c r="P36" s="29">
        <f ca="1">P31*P23*5</f>
        <v>2629350.0741201169</v>
      </c>
    </row>
    <row r="37" spans="2:16" s="25" customFormat="1" x14ac:dyDescent="0.2">
      <c r="E37" s="34"/>
      <c r="F37" s="36"/>
      <c r="G37" s="35"/>
      <c r="I37" s="36"/>
      <c r="J37" s="35"/>
      <c r="L37" s="36"/>
      <c r="M37" s="35"/>
      <c r="O37" s="36"/>
      <c r="P37" s="35"/>
    </row>
    <row r="38" spans="2:16" x14ac:dyDescent="0.2">
      <c r="B38" s="31"/>
      <c r="C38" s="36"/>
      <c r="D38" s="35"/>
      <c r="F38" s="21"/>
      <c r="G38" s="21"/>
      <c r="J38" s="21"/>
    </row>
    <row r="39" spans="2:16" x14ac:dyDescent="0.2">
      <c r="D39" s="21"/>
    </row>
    <row r="40" spans="2:16" x14ac:dyDescent="0.2">
      <c r="D40" s="21"/>
    </row>
    <row r="41" spans="2:16" x14ac:dyDescent="0.2">
      <c r="D41" s="21"/>
    </row>
    <row r="48" spans="2:16" x14ac:dyDescent="0.2">
      <c r="D48" s="21"/>
    </row>
    <row r="49" spans="4:4" x14ac:dyDescent="0.2">
      <c r="D49" s="21"/>
    </row>
  </sheetData>
  <sheetProtection sheet="1" objects="1" scenarios="1"/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2</xdr:col>
                    <xdr:colOff>676275</xdr:colOff>
                    <xdr:row>3</xdr:row>
                    <xdr:rowOff>152400</xdr:rowOff>
                  </from>
                  <to>
                    <xdr:col>3</xdr:col>
                    <xdr:colOff>666750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2</xdr:col>
                    <xdr:colOff>666750</xdr:colOff>
                    <xdr:row>5</xdr:row>
                    <xdr:rowOff>152400</xdr:rowOff>
                  </from>
                  <to>
                    <xdr:col>3</xdr:col>
                    <xdr:colOff>657225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Drop Down 3">
              <controlPr defaultSize="0" autoLine="0" autoPict="0">
                <anchor moveWithCells="1">
                  <from>
                    <xdr:col>2</xdr:col>
                    <xdr:colOff>676275</xdr:colOff>
                    <xdr:row>1</xdr:row>
                    <xdr:rowOff>133350</xdr:rowOff>
                  </from>
                  <to>
                    <xdr:col>3</xdr:col>
                    <xdr:colOff>666750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Option Button 5">
              <controlPr defaultSize="0" autoFill="0" autoLine="0" autoPict="0">
                <anchor moveWithCells="1">
                  <from>
                    <xdr:col>3</xdr:col>
                    <xdr:colOff>104775</xdr:colOff>
                    <xdr:row>13</xdr:row>
                    <xdr:rowOff>123825</xdr:rowOff>
                  </from>
                  <to>
                    <xdr:col>3</xdr:col>
                    <xdr:colOff>571500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Option Button 6">
              <controlPr defaultSize="0" autoFill="0" autoLine="0" autoPict="0">
                <anchor moveWithCells="1">
                  <from>
                    <xdr:col>3</xdr:col>
                    <xdr:colOff>104775</xdr:colOff>
                    <xdr:row>14</xdr:row>
                    <xdr:rowOff>123825</xdr:rowOff>
                  </from>
                  <to>
                    <xdr:col>3</xdr:col>
                    <xdr:colOff>571500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Drop Down 13">
              <controlPr defaultSize="0" autoLine="0" autoPict="0">
                <anchor moveWithCells="1">
                  <from>
                    <xdr:col>5</xdr:col>
                    <xdr:colOff>9525</xdr:colOff>
                    <xdr:row>3</xdr:row>
                    <xdr:rowOff>152400</xdr:rowOff>
                  </from>
                  <to>
                    <xdr:col>6</xdr:col>
                    <xdr:colOff>657225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Drop Down 14">
              <controlPr defaultSize="0" autoLine="0" autoPict="0">
                <anchor moveWithCells="1">
                  <from>
                    <xdr:col>5</xdr:col>
                    <xdr:colOff>9525</xdr:colOff>
                    <xdr:row>5</xdr:row>
                    <xdr:rowOff>152400</xdr:rowOff>
                  </from>
                  <to>
                    <xdr:col>6</xdr:col>
                    <xdr:colOff>657225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Drop Down 15">
              <controlPr defaultSize="0" autoLine="0" autoPict="0">
                <anchor moveWithCells="1">
                  <from>
                    <xdr:col>5</xdr:col>
                    <xdr:colOff>9525</xdr:colOff>
                    <xdr:row>1</xdr:row>
                    <xdr:rowOff>133350</xdr:rowOff>
                  </from>
                  <to>
                    <xdr:col>6</xdr:col>
                    <xdr:colOff>657225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1" name="Option Button 29">
              <controlPr defaultSize="0" autoFill="0" autoLine="0" autoPict="0">
                <anchor moveWithCells="1">
                  <from>
                    <xdr:col>6</xdr:col>
                    <xdr:colOff>133350</xdr:colOff>
                    <xdr:row>13</xdr:row>
                    <xdr:rowOff>152400</xdr:rowOff>
                  </from>
                  <to>
                    <xdr:col>6</xdr:col>
                    <xdr:colOff>542925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2" name="Option Button 30">
              <controlPr defaultSize="0" autoFill="0" autoLine="0" autoPict="0">
                <anchor moveWithCells="1">
                  <from>
                    <xdr:col>6</xdr:col>
                    <xdr:colOff>133350</xdr:colOff>
                    <xdr:row>14</xdr:row>
                    <xdr:rowOff>114300</xdr:rowOff>
                  </from>
                  <to>
                    <xdr:col>6</xdr:col>
                    <xdr:colOff>523875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3" name="Group Box 31">
              <controlPr defaultSize="0" autoFill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4" name="Group Box 33">
              <controlPr defaultSize="0" autoFill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5" name="Drop Down 35">
              <controlPr defaultSize="0" autoLine="0" autoPict="0">
                <anchor moveWithCells="1">
                  <from>
                    <xdr:col>8</xdr:col>
                    <xdr:colOff>9525</xdr:colOff>
                    <xdr:row>3</xdr:row>
                    <xdr:rowOff>152400</xdr:rowOff>
                  </from>
                  <to>
                    <xdr:col>9</xdr:col>
                    <xdr:colOff>657225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6" name="Drop Down 36">
              <controlPr defaultSize="0" autoLine="0" autoPict="0">
                <anchor moveWithCells="1">
                  <from>
                    <xdr:col>8</xdr:col>
                    <xdr:colOff>9525</xdr:colOff>
                    <xdr:row>5</xdr:row>
                    <xdr:rowOff>152400</xdr:rowOff>
                  </from>
                  <to>
                    <xdr:col>9</xdr:col>
                    <xdr:colOff>657225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Drop Down 37">
              <controlPr defaultSize="0" autoLine="0" autoPict="0">
                <anchor moveWithCells="1">
                  <from>
                    <xdr:col>8</xdr:col>
                    <xdr:colOff>9525</xdr:colOff>
                    <xdr:row>1</xdr:row>
                    <xdr:rowOff>133350</xdr:rowOff>
                  </from>
                  <to>
                    <xdr:col>9</xdr:col>
                    <xdr:colOff>657225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8" name="Option Button 38">
              <controlPr defaultSize="0" autoFill="0" autoLine="0" autoPict="0">
                <anchor moveWithCells="1">
                  <from>
                    <xdr:col>9</xdr:col>
                    <xdr:colOff>133350</xdr:colOff>
                    <xdr:row>13</xdr:row>
                    <xdr:rowOff>152400</xdr:rowOff>
                  </from>
                  <to>
                    <xdr:col>9</xdr:col>
                    <xdr:colOff>542925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9" name="Option Button 39">
              <controlPr defaultSize="0" autoFill="0" autoLine="0" autoPict="0">
                <anchor moveWithCells="1">
                  <from>
                    <xdr:col>9</xdr:col>
                    <xdr:colOff>133350</xdr:colOff>
                    <xdr:row>14</xdr:row>
                    <xdr:rowOff>114300</xdr:rowOff>
                  </from>
                  <to>
                    <xdr:col>9</xdr:col>
                    <xdr:colOff>523875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0" name="Group Box 40">
              <controlPr defaultSize="0" autoFill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1" name="Drop Down 41">
              <controlPr defaultSize="0" autoLine="0" autoPict="0">
                <anchor moveWithCells="1">
                  <from>
                    <xdr:col>11</xdr:col>
                    <xdr:colOff>9525</xdr:colOff>
                    <xdr:row>3</xdr:row>
                    <xdr:rowOff>152400</xdr:rowOff>
                  </from>
                  <to>
                    <xdr:col>12</xdr:col>
                    <xdr:colOff>657225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2" name="Drop Down 42">
              <controlPr defaultSize="0" autoLine="0" autoPict="0">
                <anchor moveWithCells="1">
                  <from>
                    <xdr:col>11</xdr:col>
                    <xdr:colOff>9525</xdr:colOff>
                    <xdr:row>5</xdr:row>
                    <xdr:rowOff>152400</xdr:rowOff>
                  </from>
                  <to>
                    <xdr:col>12</xdr:col>
                    <xdr:colOff>657225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3" name="Drop Down 43">
              <controlPr defaultSize="0" autoLine="0" autoPict="0">
                <anchor moveWithCells="1">
                  <from>
                    <xdr:col>11</xdr:col>
                    <xdr:colOff>9525</xdr:colOff>
                    <xdr:row>1</xdr:row>
                    <xdr:rowOff>133350</xdr:rowOff>
                  </from>
                  <to>
                    <xdr:col>12</xdr:col>
                    <xdr:colOff>657225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4" name="Option Button 44">
              <controlPr defaultSize="0" autoFill="0" autoLine="0" autoPict="0">
                <anchor moveWithCells="1">
                  <from>
                    <xdr:col>12</xdr:col>
                    <xdr:colOff>133350</xdr:colOff>
                    <xdr:row>13</xdr:row>
                    <xdr:rowOff>152400</xdr:rowOff>
                  </from>
                  <to>
                    <xdr:col>12</xdr:col>
                    <xdr:colOff>542925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5" name="Option Button 45">
              <controlPr defaultSize="0" autoFill="0" autoLine="0" autoPict="0">
                <anchor moveWithCells="1">
                  <from>
                    <xdr:col>12</xdr:col>
                    <xdr:colOff>133350</xdr:colOff>
                    <xdr:row>14</xdr:row>
                    <xdr:rowOff>114300</xdr:rowOff>
                  </from>
                  <to>
                    <xdr:col>12</xdr:col>
                    <xdr:colOff>523875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6" name="Group Box 46">
              <controlPr defaultSize="0" autoFill="0" autoPict="0">
                <anchor moveWithCells="1">
                  <from>
                    <xdr:col>12</xdr:col>
                    <xdr:colOff>0</xdr:colOff>
                    <xdr:row>12</xdr:row>
                    <xdr:rowOff>0</xdr:rowOff>
                  </from>
                  <to>
                    <xdr:col>13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7" name="Drop Down 47">
              <controlPr defaultSize="0" autoLine="0" autoPict="0">
                <anchor moveWithCells="1">
                  <from>
                    <xdr:col>14</xdr:col>
                    <xdr:colOff>9525</xdr:colOff>
                    <xdr:row>3</xdr:row>
                    <xdr:rowOff>152400</xdr:rowOff>
                  </from>
                  <to>
                    <xdr:col>15</xdr:col>
                    <xdr:colOff>657225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8" name="Drop Down 48">
              <controlPr defaultSize="0" autoLine="0" autoPict="0">
                <anchor moveWithCells="1">
                  <from>
                    <xdr:col>14</xdr:col>
                    <xdr:colOff>9525</xdr:colOff>
                    <xdr:row>5</xdr:row>
                    <xdr:rowOff>152400</xdr:rowOff>
                  </from>
                  <to>
                    <xdr:col>15</xdr:col>
                    <xdr:colOff>657225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9" name="Drop Down 49">
              <controlPr defaultSize="0" autoLine="0" autoPict="0">
                <anchor moveWithCells="1">
                  <from>
                    <xdr:col>14</xdr:col>
                    <xdr:colOff>9525</xdr:colOff>
                    <xdr:row>1</xdr:row>
                    <xdr:rowOff>133350</xdr:rowOff>
                  </from>
                  <to>
                    <xdr:col>15</xdr:col>
                    <xdr:colOff>657225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30" name="Option Button 50">
              <controlPr defaultSize="0" autoFill="0" autoLine="0" autoPict="0">
                <anchor moveWithCells="1">
                  <from>
                    <xdr:col>15</xdr:col>
                    <xdr:colOff>133350</xdr:colOff>
                    <xdr:row>13</xdr:row>
                    <xdr:rowOff>152400</xdr:rowOff>
                  </from>
                  <to>
                    <xdr:col>15</xdr:col>
                    <xdr:colOff>542925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1" name="Option Button 51">
              <controlPr defaultSize="0" autoFill="0" autoLine="0" autoPict="0">
                <anchor moveWithCells="1">
                  <from>
                    <xdr:col>15</xdr:col>
                    <xdr:colOff>133350</xdr:colOff>
                    <xdr:row>14</xdr:row>
                    <xdr:rowOff>114300</xdr:rowOff>
                  </from>
                  <to>
                    <xdr:col>15</xdr:col>
                    <xdr:colOff>523875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2" name="Group Box 52">
              <controlPr defaultSize="0" autoFill="0" autoPict="0">
                <anchor moveWithCells="1">
                  <from>
                    <xdr:col>15</xdr:col>
                    <xdr:colOff>0</xdr:colOff>
                    <xdr:row>12</xdr:row>
                    <xdr:rowOff>0</xdr:rowOff>
                  </from>
                  <to>
                    <xdr:col>16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5"/>
  <sheetViews>
    <sheetView topLeftCell="G68" workbookViewId="0">
      <selection activeCell="M93" sqref="M93"/>
    </sheetView>
  </sheetViews>
  <sheetFormatPr defaultRowHeight="12.75" x14ac:dyDescent="0.2"/>
  <cols>
    <col min="1" max="16" width="12.7109375" customWidth="1"/>
    <col min="17" max="17" width="13" customWidth="1"/>
  </cols>
  <sheetData>
    <row r="2" spans="1:17" x14ac:dyDescent="0.2">
      <c r="E2" s="1" t="s">
        <v>28</v>
      </c>
      <c r="H2" s="1" t="s">
        <v>71</v>
      </c>
      <c r="K2" s="1" t="s">
        <v>75</v>
      </c>
      <c r="N2" s="1" t="s">
        <v>74</v>
      </c>
      <c r="Q2" s="1" t="s">
        <v>76</v>
      </c>
    </row>
    <row r="3" spans="1:17" x14ac:dyDescent="0.2">
      <c r="D3" t="s">
        <v>20</v>
      </c>
      <c r="E3">
        <v>3</v>
      </c>
      <c r="H3">
        <v>2</v>
      </c>
      <c r="K3">
        <v>3</v>
      </c>
      <c r="N3">
        <v>2</v>
      </c>
      <c r="Q3">
        <v>1</v>
      </c>
    </row>
    <row r="4" spans="1:17" x14ac:dyDescent="0.2">
      <c r="D4" t="s">
        <v>0</v>
      </c>
      <c r="E4">
        <v>2</v>
      </c>
      <c r="H4">
        <v>3</v>
      </c>
      <c r="K4">
        <v>4</v>
      </c>
      <c r="N4">
        <v>4</v>
      </c>
      <c r="Q4">
        <v>4</v>
      </c>
    </row>
    <row r="5" spans="1:17" x14ac:dyDescent="0.2">
      <c r="D5" t="s">
        <v>69</v>
      </c>
      <c r="E5">
        <v>1</v>
      </c>
      <c r="H5">
        <v>1</v>
      </c>
      <c r="K5">
        <v>2</v>
      </c>
      <c r="N5">
        <v>2</v>
      </c>
      <c r="Q5">
        <v>2</v>
      </c>
    </row>
    <row r="6" spans="1:17" x14ac:dyDescent="0.2">
      <c r="D6" t="s">
        <v>70</v>
      </c>
      <c r="E6">
        <v>1</v>
      </c>
      <c r="H6">
        <v>2</v>
      </c>
      <c r="K6">
        <v>1</v>
      </c>
      <c r="N6">
        <v>2</v>
      </c>
      <c r="Q6">
        <v>1</v>
      </c>
    </row>
    <row r="7" spans="1:17" x14ac:dyDescent="0.2">
      <c r="A7" s="1" t="s">
        <v>15</v>
      </c>
      <c r="B7" s="1" t="s">
        <v>10</v>
      </c>
      <c r="D7" t="s">
        <v>0</v>
      </c>
      <c r="E7" s="30" t="str">
        <f t="shared" ref="E7:E15" si="0">CHOOSE(E$3,$I61,$I74,$I87)</f>
        <v>Citation II</v>
      </c>
      <c r="H7" s="30" t="str">
        <f t="shared" ref="H7:H15" si="1">CHOOSE(H$3,$I61,$I74,$I87)</f>
        <v>King Air B200</v>
      </c>
      <c r="K7" s="30" t="str">
        <f t="shared" ref="K7:K15" si="2">CHOOSE(K$3,$I61,$I74,$I87)</f>
        <v>Citation II</v>
      </c>
      <c r="N7" s="30" t="str">
        <f t="shared" ref="N7:N15" si="3">CHOOSE(N$3,$I61,$I74,$I87)</f>
        <v>King Air B200</v>
      </c>
      <c r="Q7" s="30" t="str">
        <f t="shared" ref="Q7:Q15" si="4">CHOOSE(Q$3,$I61,$I74,$I87)</f>
        <v>Citation V Ultra</v>
      </c>
    </row>
    <row r="8" spans="1:17" x14ac:dyDescent="0.2">
      <c r="A8" t="s">
        <v>5</v>
      </c>
      <c r="B8" s="2">
        <v>6.25E-2</v>
      </c>
      <c r="E8" s="30" t="str">
        <f t="shared" si="0"/>
        <v>Beechjet 400A</v>
      </c>
      <c r="H8" s="30" t="str">
        <f t="shared" si="1"/>
        <v>Premier I</v>
      </c>
      <c r="K8" s="30" t="str">
        <f t="shared" si="2"/>
        <v>Beechjet 400A</v>
      </c>
      <c r="N8" s="30" t="str">
        <f t="shared" si="3"/>
        <v>Premier I</v>
      </c>
      <c r="Q8" s="30" t="str">
        <f t="shared" si="4"/>
        <v>Citation Excel</v>
      </c>
    </row>
    <row r="9" spans="1:17" x14ac:dyDescent="0.2">
      <c r="A9" t="s">
        <v>11</v>
      </c>
      <c r="B9" s="2">
        <f>B8+1/16</f>
        <v>0.125</v>
      </c>
      <c r="E9" s="30" t="str">
        <f t="shared" si="0"/>
        <v>Citation III</v>
      </c>
      <c r="H9" s="30" t="str">
        <f t="shared" si="1"/>
        <v>Beechjet 400A</v>
      </c>
      <c r="K9" s="30" t="str">
        <f t="shared" si="2"/>
        <v>Citation III</v>
      </c>
      <c r="N9" s="30" t="str">
        <f t="shared" si="3"/>
        <v>Beechjet 400A</v>
      </c>
      <c r="Q9" s="30" t="str">
        <f t="shared" si="4"/>
        <v>Citation VII</v>
      </c>
    </row>
    <row r="10" spans="1:17" x14ac:dyDescent="0.2">
      <c r="A10" t="s">
        <v>16</v>
      </c>
      <c r="B10" s="2">
        <f t="shared" ref="B10:B15" si="5">B9+1/16</f>
        <v>0.1875</v>
      </c>
      <c r="E10" s="30" t="str">
        <f t="shared" si="0"/>
        <v>Hawker 800XP</v>
      </c>
      <c r="H10" s="30" t="str">
        <f t="shared" si="1"/>
        <v>Hawker 800XP</v>
      </c>
      <c r="K10" s="30" t="str">
        <f t="shared" si="2"/>
        <v>Hawker 800XP</v>
      </c>
      <c r="N10" s="30" t="str">
        <f t="shared" si="3"/>
        <v>Hawker 800XP</v>
      </c>
      <c r="Q10" s="30" t="str">
        <f t="shared" si="4"/>
        <v>Hawker 800XP</v>
      </c>
    </row>
    <row r="11" spans="1:17" x14ac:dyDescent="0.2">
      <c r="B11" s="2">
        <f t="shared" si="5"/>
        <v>0.25</v>
      </c>
      <c r="E11" s="30" t="str">
        <f t="shared" si="0"/>
        <v>Falcon 50</v>
      </c>
      <c r="H11" s="30" t="str">
        <f t="shared" si="1"/>
        <v xml:space="preserve"> </v>
      </c>
      <c r="K11" s="30" t="str">
        <f t="shared" si="2"/>
        <v>Falcon 50</v>
      </c>
      <c r="N11" s="30" t="str">
        <f t="shared" si="3"/>
        <v xml:space="preserve"> </v>
      </c>
      <c r="Q11" s="30" t="str">
        <f t="shared" si="4"/>
        <v>Citation X</v>
      </c>
    </row>
    <row r="12" spans="1:17" x14ac:dyDescent="0.2">
      <c r="B12" s="2">
        <f t="shared" si="5"/>
        <v>0.3125</v>
      </c>
      <c r="E12" s="30" t="str">
        <f t="shared" si="0"/>
        <v>Challenger 601</v>
      </c>
      <c r="H12" s="30" t="str">
        <f t="shared" si="1"/>
        <v xml:space="preserve"> </v>
      </c>
      <c r="K12" s="30" t="str">
        <f t="shared" si="2"/>
        <v>Challenger 601</v>
      </c>
      <c r="N12" s="30" t="str">
        <f t="shared" si="3"/>
        <v xml:space="preserve"> </v>
      </c>
      <c r="Q12" s="30" t="str">
        <f t="shared" si="4"/>
        <v>Falcon 2000</v>
      </c>
    </row>
    <row r="13" spans="1:17" x14ac:dyDescent="0.2">
      <c r="B13" s="2">
        <f t="shared" si="5"/>
        <v>0.375</v>
      </c>
      <c r="E13" s="30" t="str">
        <f t="shared" si="0"/>
        <v xml:space="preserve"> </v>
      </c>
      <c r="H13" s="30" t="str">
        <f t="shared" si="1"/>
        <v xml:space="preserve"> </v>
      </c>
      <c r="K13" s="30" t="str">
        <f t="shared" si="2"/>
        <v xml:space="preserve"> </v>
      </c>
      <c r="N13" s="30" t="str">
        <f t="shared" si="3"/>
        <v xml:space="preserve"> </v>
      </c>
      <c r="Q13" s="30" t="str">
        <f t="shared" si="4"/>
        <v>GIV-SP</v>
      </c>
    </row>
    <row r="14" spans="1:17" x14ac:dyDescent="0.2">
      <c r="B14" s="2">
        <f t="shared" si="5"/>
        <v>0.4375</v>
      </c>
      <c r="E14" s="30" t="str">
        <f t="shared" si="0"/>
        <v xml:space="preserve"> </v>
      </c>
      <c r="H14" s="30" t="str">
        <f t="shared" si="1"/>
        <v xml:space="preserve"> </v>
      </c>
      <c r="K14" s="30" t="str">
        <f t="shared" si="2"/>
        <v xml:space="preserve"> </v>
      </c>
      <c r="N14" s="30" t="str">
        <f t="shared" si="3"/>
        <v xml:space="preserve"> </v>
      </c>
      <c r="Q14" s="30" t="str">
        <f t="shared" si="4"/>
        <v>GV</v>
      </c>
    </row>
    <row r="15" spans="1:17" x14ac:dyDescent="0.2">
      <c r="B15" s="2">
        <f t="shared" si="5"/>
        <v>0.5</v>
      </c>
      <c r="E15" s="30" t="str">
        <f t="shared" si="0"/>
        <v xml:space="preserve"> </v>
      </c>
      <c r="H15" s="30" t="str">
        <f t="shared" si="1"/>
        <v xml:space="preserve"> </v>
      </c>
      <c r="K15" s="30" t="str">
        <f t="shared" si="2"/>
        <v xml:space="preserve"> </v>
      </c>
      <c r="N15" s="30" t="str">
        <f t="shared" si="3"/>
        <v xml:space="preserve"> </v>
      </c>
      <c r="Q15" s="30" t="str">
        <f t="shared" si="4"/>
        <v xml:space="preserve"> </v>
      </c>
    </row>
    <row r="16" spans="1:17" x14ac:dyDescent="0.2">
      <c r="D16" t="s">
        <v>29</v>
      </c>
      <c r="E16">
        <f>E5/2</f>
        <v>0.5</v>
      </c>
      <c r="H16">
        <f>H5/2</f>
        <v>0.5</v>
      </c>
      <c r="K16">
        <f>K5/2</f>
        <v>1</v>
      </c>
      <c r="N16">
        <f>N5/2</f>
        <v>1</v>
      </c>
      <c r="Q16">
        <f>Q5/2</f>
        <v>1</v>
      </c>
    </row>
    <row r="17" spans="2:17" x14ac:dyDescent="0.2">
      <c r="D17" t="s">
        <v>10</v>
      </c>
      <c r="E17" s="2">
        <f>E5*1/16</f>
        <v>6.25E-2</v>
      </c>
      <c r="H17" s="2">
        <f>H5*1/16</f>
        <v>6.25E-2</v>
      </c>
      <c r="K17" s="2">
        <f>K5*1/16</f>
        <v>0.125</v>
      </c>
      <c r="N17" s="2">
        <f>N5*1/16</f>
        <v>0.125</v>
      </c>
      <c r="Q17" s="2">
        <f>Q5*1/16</f>
        <v>0.125</v>
      </c>
    </row>
    <row r="18" spans="2:17" x14ac:dyDescent="0.2">
      <c r="D18" t="s">
        <v>27</v>
      </c>
      <c r="E18" s="12">
        <f>E17*800</f>
        <v>50</v>
      </c>
      <c r="H18" s="12">
        <f>H17*800</f>
        <v>50</v>
      </c>
      <c r="K18" s="12">
        <f>K17*800</f>
        <v>100</v>
      </c>
      <c r="N18" s="12">
        <f>N17*800</f>
        <v>100</v>
      </c>
      <c r="Q18" s="12">
        <f>Q17*800</f>
        <v>100</v>
      </c>
    </row>
    <row r="19" spans="2:17" x14ac:dyDescent="0.2">
      <c r="D19" t="s">
        <v>30</v>
      </c>
      <c r="E19" t="str">
        <f ca="1">CHOOSE(E3,$G$61,$G$74,$G$87)</f>
        <v>$I$87:$M$95</v>
      </c>
      <c r="H19" t="str">
        <f ca="1">CHOOSE(H3,$G$61,$G$74,$G$87)</f>
        <v>$I$74:$M$82</v>
      </c>
      <c r="K19" t="str">
        <f ca="1">CHOOSE(K3,$G$61,$G$74,$G$87)</f>
        <v>$I$87:$M$95</v>
      </c>
      <c r="N19" t="str">
        <f ca="1">CHOOSE(N3,$G$61,$G$74,$G$87)</f>
        <v>$I$74:$M$82</v>
      </c>
      <c r="Q19" t="str">
        <f ca="1">CHOOSE(Q3,$G$61,$G$74,$G$87)</f>
        <v>$I$61:$M$69</v>
      </c>
    </row>
    <row r="20" spans="2:17" x14ac:dyDescent="0.2">
      <c r="C20">
        <v>1</v>
      </c>
      <c r="D20" t="s">
        <v>0</v>
      </c>
      <c r="E20" t="str">
        <f ca="1">INDEX(INDIRECT(E$19),E$4,$C20)</f>
        <v>Beechjet 400A</v>
      </c>
      <c r="H20" t="str">
        <f ca="1">INDEX(INDIRECT(H$19),H$4,$C20)</f>
        <v>Beechjet 400A</v>
      </c>
      <c r="K20" t="str">
        <f ca="1">INDEX(INDIRECT(K$19),K$4,$C20)</f>
        <v>Hawker 800XP</v>
      </c>
      <c r="N20" t="str">
        <f ca="1">INDEX(INDIRECT(N$19),N$4,$C20)</f>
        <v>Hawker 800XP</v>
      </c>
      <c r="Q20" t="str">
        <f ca="1">INDEX(INDIRECT(Q$19),Q$4,$C20)</f>
        <v>Hawker 800XP</v>
      </c>
    </row>
    <row r="21" spans="2:17" x14ac:dyDescent="0.2">
      <c r="C21">
        <v>2</v>
      </c>
      <c r="D21" t="s">
        <v>32</v>
      </c>
      <c r="E21" s="14">
        <f ca="1">INDEX(INDIRECT(E$19),E$4,$C21)*E16</f>
        <v>275000</v>
      </c>
      <c r="H21" s="14">
        <f ca="1">INDEX(INDIRECT(H$19),H$4,$C21)*H16</f>
        <v>417000</v>
      </c>
      <c r="K21" s="14">
        <f ca="1">INDEX(INDIRECT(K$19),K$4,$C21)*K16</f>
        <v>1062000</v>
      </c>
      <c r="N21" s="14">
        <f ca="1">INDEX(INDIRECT(N$19),N$4,$C21)*N16</f>
        <v>1558500</v>
      </c>
      <c r="Q21" s="14">
        <f ca="1">INDEX(INDIRECT(Q$19),Q$4,$C21)*Q16</f>
        <v>1595000</v>
      </c>
    </row>
    <row r="22" spans="2:17" x14ac:dyDescent="0.2">
      <c r="B22">
        <v>4</v>
      </c>
      <c r="C22">
        <v>3</v>
      </c>
      <c r="D22" t="s">
        <v>31</v>
      </c>
      <c r="E22" s="14">
        <f ca="1">INDEX(INDIRECT(E$19),E$4,IF(E16&lt;1,$C22,$B22))*IF(E16&lt;1,1,E16)</f>
        <v>4578</v>
      </c>
      <c r="H22" s="14">
        <f ca="1">INDEX(INDIRECT(H$19),H$4,IF(H16&lt;1,$C22,$B22))*IF(H16&lt;1,1,H16)</f>
        <v>3897.5</v>
      </c>
      <c r="K22" s="14">
        <f ca="1">INDEX(INDIRECT(K$19),K$4,IF(K16&lt;1,$C22,$B22))*IF(K16&lt;1,1,K16)</f>
        <v>10380</v>
      </c>
      <c r="N22" s="14">
        <f ca="1">INDEX(INDIRECT(N$19),N$4,IF(N16&lt;1,$C22,$B22))*IF(N16&lt;1,1,N16)</f>
        <v>10575</v>
      </c>
      <c r="Q22" s="14">
        <f ca="1">INDEX(INDIRECT(Q$19),Q$4,IF(Q16&lt;1,$C22,$B22))*IF(Q16&lt;1,1,Q16)</f>
        <v>10580</v>
      </c>
    </row>
    <row r="23" spans="2:17" x14ac:dyDescent="0.2">
      <c r="C23">
        <v>5</v>
      </c>
      <c r="D23" t="s">
        <v>25</v>
      </c>
      <c r="E23" s="14">
        <f ca="1">INDEX(INDIRECT(E$19),E$4,$C23)</f>
        <v>1250</v>
      </c>
      <c r="H23" s="14">
        <f ca="1">INDEX(INDIRECT(H$19),H$4,$C23)</f>
        <v>1285</v>
      </c>
      <c r="K23" s="14">
        <f ca="1">INDEX(INDIRECT(K$19),K$4,$C23)</f>
        <v>1625</v>
      </c>
      <c r="N23" s="14">
        <f ca="1">INDEX(INDIRECT(N$19),N$4,$C23)</f>
        <v>1730</v>
      </c>
      <c r="Q23" s="14">
        <f ca="1">INDEX(INDIRECT(Q$19),Q$4,$C23)</f>
        <v>1735</v>
      </c>
    </row>
    <row r="24" spans="2:17" x14ac:dyDescent="0.2">
      <c r="D24" t="s">
        <v>37</v>
      </c>
      <c r="E24">
        <f>Sheet1!D17</f>
        <v>2</v>
      </c>
      <c r="H24">
        <f>Sheet1!G17</f>
        <v>2</v>
      </c>
      <c r="K24">
        <f>Sheet1!J17</f>
        <v>3</v>
      </c>
      <c r="N24">
        <f>Sheet1!M17</f>
        <v>3</v>
      </c>
      <c r="Q24">
        <f>Sheet1!P17</f>
        <v>3</v>
      </c>
    </row>
    <row r="25" spans="2:17" x14ac:dyDescent="0.2">
      <c r="D25" t="s">
        <v>38</v>
      </c>
      <c r="E25">
        <f>IF(E6=1,0.2,0)+E24</f>
        <v>2.2000000000000002</v>
      </c>
      <c r="H25">
        <f>IF(H6=1,0.2,0)+H24</f>
        <v>2</v>
      </c>
      <c r="K25">
        <f>IF(K6=1,0.2,0)+K24</f>
        <v>3.2</v>
      </c>
      <c r="N25">
        <f>IF(N6=1,0.2,0)+N24</f>
        <v>3</v>
      </c>
      <c r="Q25">
        <f>IF(Q6=1,0.2,0)+Q24</f>
        <v>3.2</v>
      </c>
    </row>
    <row r="26" spans="2:17" x14ac:dyDescent="0.2">
      <c r="D26" t="s">
        <v>39</v>
      </c>
      <c r="E26" s="12">
        <f>E24*E18/E25</f>
        <v>45.454545454545453</v>
      </c>
      <c r="H26" s="12">
        <f>H24*H18/H25</f>
        <v>50</v>
      </c>
      <c r="K26" s="12">
        <f>K24*K18/K25</f>
        <v>93.75</v>
      </c>
      <c r="N26" s="12">
        <f>N24*N18/N25</f>
        <v>100</v>
      </c>
      <c r="Q26" s="12">
        <f>Q24*Q18/Q25</f>
        <v>93.75</v>
      </c>
    </row>
    <row r="27" spans="2:17" x14ac:dyDescent="0.2">
      <c r="D27" t="s">
        <v>40</v>
      </c>
      <c r="E27" s="12">
        <f>E18/E25</f>
        <v>22.727272727272727</v>
      </c>
      <c r="H27" s="12">
        <f>H18/H25</f>
        <v>25</v>
      </c>
      <c r="K27" s="12">
        <f>K18/K25</f>
        <v>31.25</v>
      </c>
      <c r="N27" s="12">
        <f>N18/N25</f>
        <v>33.333333333333336</v>
      </c>
      <c r="Q27" s="12">
        <f>Q18/Q25</f>
        <v>31.25</v>
      </c>
    </row>
    <row r="28" spans="2:17" x14ac:dyDescent="0.2">
      <c r="D28" t="s">
        <v>38</v>
      </c>
      <c r="E28" s="20">
        <f>E27*0.2</f>
        <v>4.5454545454545459</v>
      </c>
      <c r="H28" s="20">
        <f>H27*0.2</f>
        <v>5</v>
      </c>
      <c r="K28" s="20">
        <f>K27*0.2</f>
        <v>6.25</v>
      </c>
      <c r="N28" s="20">
        <f>N27*0.2</f>
        <v>6.6666666666666679</v>
      </c>
      <c r="Q28" s="20">
        <f>Q27*0.2</f>
        <v>6.25</v>
      </c>
    </row>
    <row r="29" spans="2:17" x14ac:dyDescent="0.2">
      <c r="D29" t="s">
        <v>41</v>
      </c>
      <c r="E29" s="20">
        <f>E28+E26</f>
        <v>50</v>
      </c>
      <c r="H29" s="20">
        <f>H28+H26</f>
        <v>55</v>
      </c>
      <c r="K29" s="20">
        <f>K28+K26</f>
        <v>100</v>
      </c>
      <c r="N29" s="20">
        <f>N28+N26</f>
        <v>106.66666666666667</v>
      </c>
      <c r="Q29" s="20">
        <f>Q28+Q26</f>
        <v>100</v>
      </c>
    </row>
    <row r="30" spans="2:17" x14ac:dyDescent="0.2">
      <c r="D30" t="s">
        <v>46</v>
      </c>
      <c r="E30" s="22">
        <f>1+Sheet1!D12</f>
        <v>1.0249999999999999</v>
      </c>
      <c r="H30" s="22">
        <f>1+Sheet1!G12</f>
        <v>1.0249999999999999</v>
      </c>
      <c r="K30" s="22">
        <f>1+Sheet1!J12</f>
        <v>1.0249999999999999</v>
      </c>
      <c r="N30" s="22">
        <f>1+Sheet1!M12</f>
        <v>1.0249999999999999</v>
      </c>
      <c r="Q30" s="22">
        <f>1+Sheet1!P12</f>
        <v>1.0249999999999999</v>
      </c>
    </row>
    <row r="31" spans="2:17" x14ac:dyDescent="0.2">
      <c r="D31" t="s">
        <v>65</v>
      </c>
      <c r="E31" s="22">
        <f>1+Sheet1!D13</f>
        <v>1.075</v>
      </c>
      <c r="H31" s="22">
        <f>1+Sheet1!G13</f>
        <v>1.075</v>
      </c>
      <c r="K31" s="22">
        <f>1+Sheet1!J13</f>
        <v>1.075</v>
      </c>
      <c r="N31" s="22">
        <f>1+Sheet1!M13</f>
        <v>1.075</v>
      </c>
      <c r="Q31" s="22">
        <f>1+Sheet1!P13</f>
        <v>1.075</v>
      </c>
    </row>
    <row r="32" spans="2:17" x14ac:dyDescent="0.2">
      <c r="D32" t="s">
        <v>45</v>
      </c>
      <c r="E32" s="21">
        <f ca="1">E29*E23*E31</f>
        <v>67187.5</v>
      </c>
      <c r="H32" s="21">
        <f ca="1">H29*H23*H31</f>
        <v>75975.625</v>
      </c>
      <c r="K32" s="21">
        <f ca="1">K29*K23*K31</f>
        <v>174687.5</v>
      </c>
      <c r="N32" s="21">
        <f ca="1">N29*N23*N31</f>
        <v>198373.33333333334</v>
      </c>
      <c r="Q32" s="21">
        <f ca="1">Q29*Q23*Q31</f>
        <v>186512.5</v>
      </c>
    </row>
    <row r="33" spans="4:17" x14ac:dyDescent="0.2">
      <c r="D33" t="s">
        <v>47</v>
      </c>
      <c r="E33" s="21">
        <f ca="1">E32*E$30</f>
        <v>68867.1875</v>
      </c>
      <c r="H33" s="21">
        <f ca="1">H32*H$30</f>
        <v>77875.015625</v>
      </c>
      <c r="K33" s="21">
        <f ca="1">K32*K$30</f>
        <v>179054.68749999997</v>
      </c>
      <c r="N33" s="21">
        <f ca="1">N32*N$30</f>
        <v>203332.66666666666</v>
      </c>
      <c r="Q33" s="21">
        <f ca="1">Q32*Q$30</f>
        <v>191175.31249999997</v>
      </c>
    </row>
    <row r="34" spans="4:17" x14ac:dyDescent="0.2">
      <c r="D34" t="s">
        <v>48</v>
      </c>
      <c r="E34" s="21">
        <f ca="1">E33*E$30</f>
        <v>70588.8671875</v>
      </c>
      <c r="H34" s="21">
        <f ca="1">H33*H$30</f>
        <v>79821.891015624991</v>
      </c>
      <c r="K34" s="21">
        <f ca="1">K33*K$30</f>
        <v>183531.05468749994</v>
      </c>
      <c r="N34" s="21">
        <f ca="1">N33*N$30</f>
        <v>208415.98333333331</v>
      </c>
      <c r="Q34" s="21">
        <f ca="1">Q33*Q$30</f>
        <v>195954.69531249994</v>
      </c>
    </row>
    <row r="35" spans="4:17" x14ac:dyDescent="0.2">
      <c r="D35" t="s">
        <v>49</v>
      </c>
      <c r="E35" s="21">
        <f ca="1">E34*E$30</f>
        <v>72353.5888671875</v>
      </c>
      <c r="H35" s="21">
        <f ca="1">H34*H$30</f>
        <v>81817.438291015613</v>
      </c>
      <c r="K35" s="21">
        <f ca="1">K34*K$30</f>
        <v>188119.33105468741</v>
      </c>
      <c r="N35" s="21">
        <f ca="1">N34*N$30</f>
        <v>213626.38291666663</v>
      </c>
      <c r="Q35" s="21">
        <f ca="1">Q34*Q$30</f>
        <v>200853.56269531243</v>
      </c>
    </row>
    <row r="36" spans="4:17" x14ac:dyDescent="0.2">
      <c r="D36" t="s">
        <v>50</v>
      </c>
      <c r="E36" s="21">
        <f ca="1">E35*E$30</f>
        <v>74162.428588867188</v>
      </c>
      <c r="H36" s="21">
        <f ca="1">H35*H$30</f>
        <v>83862.874248291002</v>
      </c>
      <c r="K36" s="21">
        <f ca="1">K35*K$30</f>
        <v>192822.31433105457</v>
      </c>
      <c r="N36" s="21">
        <f ca="1">N35*N$30</f>
        <v>218967.04248958328</v>
      </c>
      <c r="Q36" s="21">
        <f ca="1">Q35*Q$30</f>
        <v>205874.90176269523</v>
      </c>
    </row>
    <row r="37" spans="4:17" x14ac:dyDescent="0.2">
      <c r="D37" t="s">
        <v>51</v>
      </c>
      <c r="E37" s="21">
        <f ca="1">SUM(E32:E36)</f>
        <v>353159.57214355469</v>
      </c>
      <c r="H37" s="21">
        <f ca="1">SUM(H32:H36)</f>
        <v>399352.84417993162</v>
      </c>
      <c r="K37" s="21">
        <f ca="1">SUM(K32:K36)</f>
        <v>918214.88757324195</v>
      </c>
      <c r="N37" s="21">
        <f ca="1">SUM(N32:N36)</f>
        <v>1042715.4087395832</v>
      </c>
      <c r="Q37" s="21">
        <f ca="1">SUM(Q32:Q36)</f>
        <v>980370.9722705076</v>
      </c>
    </row>
    <row r="38" spans="4:17" x14ac:dyDescent="0.2">
      <c r="D38" t="s">
        <v>52</v>
      </c>
      <c r="E38" s="22">
        <f>1+Sheet1!D11</f>
        <v>1.0249999999999999</v>
      </c>
      <c r="H38" s="22">
        <f>1+Sheet1!G11</f>
        <v>1.0249999999999999</v>
      </c>
      <c r="K38" s="22">
        <f>1+Sheet1!J11</f>
        <v>1.0249999999999999</v>
      </c>
      <c r="N38" s="22">
        <f>1+Sheet1!M11</f>
        <v>1.0249999999999999</v>
      </c>
      <c r="Q38" s="22">
        <f>1+Sheet1!P11</f>
        <v>1.0375000000000001</v>
      </c>
    </row>
    <row r="39" spans="4:17" x14ac:dyDescent="0.2">
      <c r="D39" t="s">
        <v>57</v>
      </c>
      <c r="E39" s="14">
        <f ca="1">E22*12</f>
        <v>54936</v>
      </c>
      <c r="H39" s="14">
        <f ca="1">H22*12</f>
        <v>46770</v>
      </c>
      <c r="K39" s="14">
        <f ca="1">K22*12</f>
        <v>124560</v>
      </c>
      <c r="N39" s="14">
        <f ca="1">N22*12</f>
        <v>126900</v>
      </c>
      <c r="Q39" s="14">
        <f ca="1">Q22*12</f>
        <v>126960</v>
      </c>
    </row>
    <row r="40" spans="4:17" x14ac:dyDescent="0.2">
      <c r="D40" t="s">
        <v>53</v>
      </c>
      <c r="E40" s="14">
        <f ca="1">E39*E$38</f>
        <v>56309.399999999994</v>
      </c>
      <c r="H40" s="14">
        <f ca="1">H39*H$38</f>
        <v>47939.249999999993</v>
      </c>
      <c r="K40" s="14">
        <f ca="1">K39*K$38</f>
        <v>127673.99999999999</v>
      </c>
      <c r="N40" s="14">
        <f ca="1">N39*N$38</f>
        <v>130072.49999999999</v>
      </c>
      <c r="Q40" s="14">
        <f ca="1">Q39*Q$38</f>
        <v>131721</v>
      </c>
    </row>
    <row r="41" spans="4:17" x14ac:dyDescent="0.2">
      <c r="D41" t="s">
        <v>54</v>
      </c>
      <c r="E41" s="14">
        <f ca="1">E40*E$38</f>
        <v>57717.134999999987</v>
      </c>
      <c r="H41" s="14">
        <f ca="1">H40*H$38</f>
        <v>49137.73124999999</v>
      </c>
      <c r="K41" s="14">
        <f ca="1">K40*K$38</f>
        <v>130865.84999999998</v>
      </c>
      <c r="N41" s="14">
        <f ca="1">N40*N$38</f>
        <v>133324.31249999997</v>
      </c>
      <c r="Q41" s="14">
        <f ca="1">Q40*Q$38</f>
        <v>136660.53750000001</v>
      </c>
    </row>
    <row r="42" spans="4:17" x14ac:dyDescent="0.2">
      <c r="D42" t="s">
        <v>55</v>
      </c>
      <c r="E42" s="14">
        <f ca="1">E41*E$38</f>
        <v>59160.063374999983</v>
      </c>
      <c r="H42" s="14">
        <f ca="1">H41*H$38</f>
        <v>50366.174531249984</v>
      </c>
      <c r="K42" s="14">
        <f ca="1">K41*K$38</f>
        <v>134137.49624999997</v>
      </c>
      <c r="N42" s="14">
        <f ca="1">N41*N$38</f>
        <v>136657.42031249995</v>
      </c>
      <c r="Q42" s="14">
        <f ca="1">Q41*Q$38</f>
        <v>141785.30765625002</v>
      </c>
    </row>
    <row r="43" spans="4:17" x14ac:dyDescent="0.2">
      <c r="D43" t="s">
        <v>56</v>
      </c>
      <c r="E43" s="14">
        <f ca="1">E42*E$38</f>
        <v>60639.064959374977</v>
      </c>
      <c r="H43" s="14">
        <f ca="1">H42*H$38</f>
        <v>51625.328894531231</v>
      </c>
      <c r="K43" s="14">
        <f ca="1">K42*K$38</f>
        <v>137490.93365624995</v>
      </c>
      <c r="N43" s="14">
        <f ca="1">N42*N$38</f>
        <v>140073.85582031243</v>
      </c>
      <c r="Q43" s="14">
        <f ca="1">Q42*Q$38</f>
        <v>147102.25669335941</v>
      </c>
    </row>
    <row r="44" spans="4:17" x14ac:dyDescent="0.2">
      <c r="D44" t="s">
        <v>58</v>
      </c>
      <c r="E44" s="21">
        <f ca="1">SUM(E39:E43)</f>
        <v>288761.6633343749</v>
      </c>
      <c r="H44" s="21">
        <f ca="1">SUM(H39:H43)</f>
        <v>245838.48467578122</v>
      </c>
      <c r="K44" s="21">
        <f ca="1">SUM(K39:K43)</f>
        <v>654728.27990624984</v>
      </c>
      <c r="N44" s="21">
        <f ca="1">SUM(N39:N43)</f>
        <v>667028.08863281237</v>
      </c>
      <c r="Q44" s="21">
        <f ca="1">SUM(Q39:Q43)</f>
        <v>684229.10184960952</v>
      </c>
    </row>
    <row r="45" spans="4:17" x14ac:dyDescent="0.2">
      <c r="D45" t="s">
        <v>72</v>
      </c>
      <c r="E45" s="21">
        <f>Sheet1!D14</f>
        <v>135</v>
      </c>
      <c r="H45" s="21">
        <f>Sheet1!G14</f>
        <v>135</v>
      </c>
      <c r="K45" s="21">
        <f>Sheet1!J14</f>
        <v>175</v>
      </c>
      <c r="N45" s="21">
        <f>Sheet1!M14</f>
        <v>175</v>
      </c>
      <c r="Q45" s="21">
        <f>Sheet1!P14</f>
        <v>175</v>
      </c>
    </row>
    <row r="46" spans="4:17" x14ac:dyDescent="0.2">
      <c r="D46" t="s">
        <v>73</v>
      </c>
      <c r="E46" s="21">
        <f>E45*E29</f>
        <v>6750</v>
      </c>
      <c r="H46" s="21">
        <f>H45*H29</f>
        <v>7425</v>
      </c>
      <c r="K46" s="21">
        <f>K45*K29</f>
        <v>17500</v>
      </c>
      <c r="N46" s="21">
        <f>N45*N29</f>
        <v>18666.666666666668</v>
      </c>
      <c r="Q46" s="21">
        <f>Q45*Q29</f>
        <v>17500</v>
      </c>
    </row>
    <row r="47" spans="4:17" x14ac:dyDescent="0.2">
      <c r="D47" t="s">
        <v>59</v>
      </c>
      <c r="E47" s="21">
        <f ca="1">E32+E39+E$46</f>
        <v>128873.5</v>
      </c>
      <c r="H47" s="21">
        <f ca="1">H32+H39+H$46</f>
        <v>130170.625</v>
      </c>
      <c r="K47" s="21">
        <f ca="1">K32+K39+K$46</f>
        <v>316747.5</v>
      </c>
      <c r="N47" s="21">
        <f ca="1">N32+N39+N$46</f>
        <v>343940.00000000006</v>
      </c>
      <c r="Q47" s="21">
        <f ca="1">Q32+Q39+Q$46</f>
        <v>330972.5</v>
      </c>
    </row>
    <row r="48" spans="4:17" x14ac:dyDescent="0.2">
      <c r="D48" t="s">
        <v>60</v>
      </c>
      <c r="E48" s="21">
        <f ca="1">E33+E40+E$46</f>
        <v>131926.58749999999</v>
      </c>
      <c r="H48" s="21">
        <f ca="1">H33+H40+H$46</f>
        <v>133239.265625</v>
      </c>
      <c r="K48" s="21">
        <f ca="1">K33+K40+K$46</f>
        <v>324228.68749999994</v>
      </c>
      <c r="N48" s="21">
        <f ca="1">N33+N40+N$46</f>
        <v>352071.83333333331</v>
      </c>
      <c r="Q48" s="21">
        <f ca="1">Q33+Q40+Q$46</f>
        <v>340396.3125</v>
      </c>
    </row>
    <row r="49" spans="4:17" x14ac:dyDescent="0.2">
      <c r="D49" t="s">
        <v>61</v>
      </c>
      <c r="E49" s="21">
        <f ca="1">E34+E41+E$46</f>
        <v>135056.00218749998</v>
      </c>
      <c r="H49" s="21">
        <f ca="1">H34+H41+H$46</f>
        <v>136384.62226562499</v>
      </c>
      <c r="K49" s="21">
        <f ca="1">K34+K41+K$46</f>
        <v>331896.90468749992</v>
      </c>
      <c r="N49" s="21">
        <f ca="1">N34+N41+N$46</f>
        <v>360406.96249999997</v>
      </c>
      <c r="Q49" s="21">
        <f ca="1">Q34+Q41+Q$46</f>
        <v>350115.23281249998</v>
      </c>
    </row>
    <row r="50" spans="4:17" x14ac:dyDescent="0.2">
      <c r="D50" t="s">
        <v>62</v>
      </c>
      <c r="E50" s="21">
        <f ca="1">E35+E42+E$46</f>
        <v>138263.65224218747</v>
      </c>
      <c r="H50" s="21">
        <f ca="1">H35+H42+H$46</f>
        <v>139608.6128222656</v>
      </c>
      <c r="K50" s="21">
        <f ca="1">K35+K42+K$46</f>
        <v>339756.82730468735</v>
      </c>
      <c r="N50" s="21">
        <f ca="1">N35+N42+N$46</f>
        <v>368950.46989583323</v>
      </c>
      <c r="Q50" s="21">
        <f ca="1">Q35+Q42+Q$46</f>
        <v>360138.87035156245</v>
      </c>
    </row>
    <row r="51" spans="4:17" x14ac:dyDescent="0.2">
      <c r="D51" t="s">
        <v>63</v>
      </c>
      <c r="E51" s="21">
        <f ca="1">E36+E43+E$46</f>
        <v>141551.49354824217</v>
      </c>
      <c r="H51" s="21">
        <f ca="1">H36+H43+H$46</f>
        <v>142913.20314282223</v>
      </c>
      <c r="K51" s="21">
        <f ca="1">K36+K43+K$46</f>
        <v>347813.24798730452</v>
      </c>
      <c r="N51" s="21">
        <f ca="1">N36+N43+N$46</f>
        <v>377707.5649765624</v>
      </c>
      <c r="Q51" s="21">
        <f ca="1">Q36+Q43+Q$46</f>
        <v>370477.15845605463</v>
      </c>
    </row>
    <row r="52" spans="4:17" x14ac:dyDescent="0.2">
      <c r="D52" t="s">
        <v>41</v>
      </c>
      <c r="E52" s="21">
        <f ca="1">SUM(E47:E51)</f>
        <v>675671.23547792959</v>
      </c>
      <c r="H52" s="21">
        <f ca="1">SUM(H47:H51)</f>
        <v>682316.3288557129</v>
      </c>
      <c r="K52" s="21">
        <f ca="1">SUM(K47:K51)</f>
        <v>1660443.1674794918</v>
      </c>
      <c r="N52" s="21">
        <f ca="1">SUM(N47:N51)</f>
        <v>1803076.8307057288</v>
      </c>
      <c r="Q52" s="21">
        <f ca="1">SUM(Q47:Q51)</f>
        <v>1752100.0741201169</v>
      </c>
    </row>
    <row r="59" spans="4:17" x14ac:dyDescent="0.2">
      <c r="G59" t="str">
        <f ca="1">CELL("address",I61)</f>
        <v>$I$61</v>
      </c>
      <c r="I59" s="7" t="s">
        <v>5</v>
      </c>
      <c r="J59" s="15"/>
      <c r="K59" s="15"/>
      <c r="L59" s="15"/>
      <c r="M59" s="3"/>
    </row>
    <row r="60" spans="4:17" x14ac:dyDescent="0.2">
      <c r="G60" t="str">
        <f ca="1">CELL("address",M69)</f>
        <v>$M$69</v>
      </c>
      <c r="I60" s="8" t="s">
        <v>0</v>
      </c>
      <c r="J60" s="11" t="s">
        <v>22</v>
      </c>
      <c r="K60" s="11" t="s">
        <v>23</v>
      </c>
      <c r="L60" s="11" t="s">
        <v>24</v>
      </c>
      <c r="M60" s="18" t="s">
        <v>25</v>
      </c>
    </row>
    <row r="61" spans="4:17" x14ac:dyDescent="0.2">
      <c r="G61" t="str">
        <f ca="1">G59&amp;":"&amp;G60</f>
        <v>$I$61:$M$69</v>
      </c>
      <c r="I61" s="9" t="s">
        <v>1</v>
      </c>
      <c r="J61" s="13">
        <v>740000</v>
      </c>
      <c r="K61" s="13">
        <v>5035</v>
      </c>
      <c r="L61" s="13">
        <v>7900</v>
      </c>
      <c r="M61" s="16">
        <v>1275</v>
      </c>
    </row>
    <row r="62" spans="4:17" x14ac:dyDescent="0.2">
      <c r="I62" s="4" t="s">
        <v>2</v>
      </c>
      <c r="J62" s="13">
        <v>1120000</v>
      </c>
      <c r="K62" s="13">
        <v>6790</v>
      </c>
      <c r="L62" s="13">
        <v>10600</v>
      </c>
      <c r="M62" s="16">
        <v>1590</v>
      </c>
    </row>
    <row r="63" spans="4:17" x14ac:dyDescent="0.2">
      <c r="I63" s="4" t="s">
        <v>3</v>
      </c>
      <c r="J63" s="13">
        <v>1370000</v>
      </c>
      <c r="K63" s="13">
        <v>7020</v>
      </c>
      <c r="L63" s="13">
        <v>11110</v>
      </c>
      <c r="M63" s="16">
        <v>1700</v>
      </c>
    </row>
    <row r="64" spans="4:17" x14ac:dyDescent="0.2">
      <c r="I64" s="4" t="s">
        <v>4</v>
      </c>
      <c r="J64" s="13">
        <v>1595000</v>
      </c>
      <c r="K64" s="13">
        <v>6750</v>
      </c>
      <c r="L64" s="13">
        <v>10580</v>
      </c>
      <c r="M64" s="16">
        <v>1735</v>
      </c>
    </row>
    <row r="65" spans="3:13" x14ac:dyDescent="0.2">
      <c r="I65" s="4" t="s">
        <v>6</v>
      </c>
      <c r="J65" s="13">
        <v>2170000</v>
      </c>
      <c r="K65" s="13">
        <v>8750</v>
      </c>
      <c r="L65" s="13">
        <v>14200</v>
      </c>
      <c r="M65" s="16">
        <v>1920</v>
      </c>
    </row>
    <row r="66" spans="3:13" x14ac:dyDescent="0.2">
      <c r="I66" s="4" t="s">
        <v>7</v>
      </c>
      <c r="J66" s="13">
        <v>2781600</v>
      </c>
      <c r="K66" s="13">
        <v>10450</v>
      </c>
      <c r="L66" s="13">
        <v>16950</v>
      </c>
      <c r="M66" s="16">
        <v>2375</v>
      </c>
    </row>
    <row r="67" spans="3:13" x14ac:dyDescent="0.2">
      <c r="C67" s="1"/>
      <c r="D67" s="1"/>
      <c r="E67" s="1"/>
      <c r="I67" s="4" t="s">
        <v>8</v>
      </c>
      <c r="J67" s="13">
        <v>3985000</v>
      </c>
      <c r="K67" s="13">
        <v>13025</v>
      </c>
      <c r="L67" s="13">
        <v>20500</v>
      </c>
      <c r="M67" s="16">
        <v>2890</v>
      </c>
    </row>
    <row r="68" spans="3:13" x14ac:dyDescent="0.2">
      <c r="I68" s="4" t="s">
        <v>9</v>
      </c>
      <c r="J68" s="13">
        <v>5185000</v>
      </c>
      <c r="K68" s="13" t="e">
        <f>NA()</f>
        <v>#N/A</v>
      </c>
      <c r="L68" s="13">
        <v>26250</v>
      </c>
      <c r="M68" s="16">
        <v>2970</v>
      </c>
    </row>
    <row r="69" spans="3:13" x14ac:dyDescent="0.2">
      <c r="I69" s="5" t="s">
        <v>19</v>
      </c>
      <c r="J69" s="17"/>
      <c r="K69" s="17"/>
      <c r="L69" s="17"/>
      <c r="M69" s="6"/>
    </row>
    <row r="72" spans="3:13" x14ac:dyDescent="0.2">
      <c r="C72" s="2"/>
      <c r="D72" s="2"/>
      <c r="E72" s="2"/>
      <c r="G72" t="str">
        <f ca="1">CELL("address",I74)</f>
        <v>$I$74</v>
      </c>
      <c r="I72" s="7" t="s">
        <v>11</v>
      </c>
      <c r="J72" s="15"/>
      <c r="K72" s="15"/>
      <c r="L72" s="15"/>
      <c r="M72" s="3"/>
    </row>
    <row r="73" spans="3:13" x14ac:dyDescent="0.2">
      <c r="C73" s="2"/>
      <c r="D73" s="2"/>
      <c r="E73" s="2"/>
      <c r="G73" t="str">
        <f ca="1">CELL("address",M82)</f>
        <v>$M$82</v>
      </c>
      <c r="I73" s="8" t="s">
        <v>0</v>
      </c>
      <c r="J73" s="11" t="s">
        <v>22</v>
      </c>
      <c r="K73" s="11" t="s">
        <v>23</v>
      </c>
      <c r="L73" s="11" t="s">
        <v>24</v>
      </c>
      <c r="M73" s="18" t="s">
        <v>25</v>
      </c>
    </row>
    <row r="74" spans="3:13" x14ac:dyDescent="0.2">
      <c r="G74" t="str">
        <f ca="1">G72&amp;":"&amp;G73</f>
        <v>$I$74:$M$82</v>
      </c>
      <c r="I74" s="9" t="s">
        <v>12</v>
      </c>
      <c r="J74" s="13">
        <v>528000</v>
      </c>
      <c r="K74" s="13">
        <f>L74/2</f>
        <v>3412.5</v>
      </c>
      <c r="L74" s="13">
        <v>6825</v>
      </c>
      <c r="M74" s="16">
        <v>770</v>
      </c>
    </row>
    <row r="75" spans="3:13" x14ac:dyDescent="0.2">
      <c r="I75" s="4" t="s">
        <v>13</v>
      </c>
      <c r="J75" s="13">
        <v>707500</v>
      </c>
      <c r="K75" s="13">
        <f>L75/2</f>
        <v>3887.5</v>
      </c>
      <c r="L75" s="13">
        <v>7775</v>
      </c>
      <c r="M75" s="16">
        <v>1175</v>
      </c>
    </row>
    <row r="76" spans="3:13" x14ac:dyDescent="0.2">
      <c r="I76" s="4" t="s">
        <v>14</v>
      </c>
      <c r="J76" s="13">
        <v>834000</v>
      </c>
      <c r="K76" s="13">
        <f>L76/2</f>
        <v>3897.5</v>
      </c>
      <c r="L76" s="13">
        <v>7795</v>
      </c>
      <c r="M76" s="16">
        <v>1285</v>
      </c>
    </row>
    <row r="77" spans="3:13" x14ac:dyDescent="0.2">
      <c r="I77" s="4" t="s">
        <v>4</v>
      </c>
      <c r="J77" s="13">
        <v>1558500</v>
      </c>
      <c r="K77" s="13">
        <f>L77/2</f>
        <v>5287.5</v>
      </c>
      <c r="L77" s="13">
        <v>10575</v>
      </c>
      <c r="M77" s="16">
        <v>1730</v>
      </c>
    </row>
    <row r="78" spans="3:13" x14ac:dyDescent="0.2">
      <c r="I78" s="4" t="s">
        <v>19</v>
      </c>
      <c r="J78" s="13"/>
      <c r="K78" s="13"/>
      <c r="L78" s="13"/>
      <c r="M78" s="16"/>
    </row>
    <row r="79" spans="3:13" x14ac:dyDescent="0.2">
      <c r="I79" s="4" t="s">
        <v>19</v>
      </c>
      <c r="J79" s="13"/>
      <c r="K79" s="13"/>
      <c r="L79" s="13"/>
      <c r="M79" s="16"/>
    </row>
    <row r="80" spans="3:13" x14ac:dyDescent="0.2">
      <c r="I80" s="4" t="s">
        <v>19</v>
      </c>
      <c r="J80" s="13"/>
      <c r="K80" s="13"/>
      <c r="L80" s="13"/>
      <c r="M80" s="16"/>
    </row>
    <row r="81" spans="7:13" x14ac:dyDescent="0.2">
      <c r="I81" s="4" t="s">
        <v>19</v>
      </c>
      <c r="J81" s="13"/>
      <c r="K81" s="13"/>
      <c r="L81" s="13"/>
      <c r="M81" s="16"/>
    </row>
    <row r="82" spans="7:13" x14ac:dyDescent="0.2">
      <c r="I82" s="5" t="s">
        <v>19</v>
      </c>
      <c r="J82" s="17"/>
      <c r="K82" s="17"/>
      <c r="L82" s="17"/>
      <c r="M82" s="6"/>
    </row>
    <row r="85" spans="7:13" x14ac:dyDescent="0.2">
      <c r="G85" t="str">
        <f ca="1">CELL("address",I87)</f>
        <v>$I$87</v>
      </c>
      <c r="I85" s="7" t="s">
        <v>16</v>
      </c>
      <c r="J85" s="15"/>
      <c r="K85" s="15"/>
      <c r="L85" s="15"/>
      <c r="M85" s="3"/>
    </row>
    <row r="86" spans="7:13" x14ac:dyDescent="0.2">
      <c r="G86" t="str">
        <f ca="1">CELL("address",M95)</f>
        <v>$M$95</v>
      </c>
      <c r="I86" s="8" t="s">
        <v>0</v>
      </c>
      <c r="J86" s="11" t="s">
        <v>22</v>
      </c>
      <c r="K86" s="11" t="s">
        <v>23</v>
      </c>
      <c r="L86" s="11" t="s">
        <v>24</v>
      </c>
      <c r="M86" s="18" t="s">
        <v>25</v>
      </c>
    </row>
    <row r="87" spans="7:13" x14ac:dyDescent="0.2">
      <c r="G87" t="str">
        <f ca="1">G85&amp;":"&amp;G86</f>
        <v>$I$87:$M$95</v>
      </c>
      <c r="I87" s="9" t="s">
        <v>17</v>
      </c>
      <c r="J87" s="13">
        <v>395000</v>
      </c>
      <c r="K87" s="13">
        <v>4260</v>
      </c>
      <c r="L87" s="13">
        <v>7100</v>
      </c>
      <c r="M87" s="16">
        <v>1240</v>
      </c>
    </row>
    <row r="88" spans="7:13" x14ac:dyDescent="0.2">
      <c r="I88" s="4" t="s">
        <v>14</v>
      </c>
      <c r="J88" s="13">
        <v>550000</v>
      </c>
      <c r="K88" s="13">
        <v>4578</v>
      </c>
      <c r="L88" s="13">
        <v>7630</v>
      </c>
      <c r="M88" s="16">
        <v>1250</v>
      </c>
    </row>
    <row r="89" spans="7:13" x14ac:dyDescent="0.2">
      <c r="I89" s="4" t="s">
        <v>18</v>
      </c>
      <c r="J89" s="13">
        <v>835000</v>
      </c>
      <c r="K89" s="13">
        <v>5500</v>
      </c>
      <c r="L89" s="13">
        <v>9250</v>
      </c>
      <c r="M89" s="16">
        <v>1600</v>
      </c>
    </row>
    <row r="90" spans="7:13" x14ac:dyDescent="0.2">
      <c r="I90" s="4" t="s">
        <v>4</v>
      </c>
      <c r="J90" s="13">
        <v>1062000</v>
      </c>
      <c r="K90" s="13">
        <v>6228</v>
      </c>
      <c r="L90" s="13">
        <v>10380</v>
      </c>
      <c r="M90" s="16">
        <v>1625</v>
      </c>
    </row>
    <row r="91" spans="7:13" x14ac:dyDescent="0.2">
      <c r="I91" s="4" t="s">
        <v>26</v>
      </c>
      <c r="J91" s="13">
        <v>1600000</v>
      </c>
      <c r="K91" s="13">
        <v>7878</v>
      </c>
      <c r="L91" s="13">
        <v>13130</v>
      </c>
      <c r="M91" s="16">
        <v>1950</v>
      </c>
    </row>
    <row r="92" spans="7:13" x14ac:dyDescent="0.2">
      <c r="I92" s="4" t="s">
        <v>92</v>
      </c>
      <c r="J92" s="13">
        <v>1975000</v>
      </c>
      <c r="K92" s="13">
        <v>9900</v>
      </c>
      <c r="L92" s="13">
        <v>16500</v>
      </c>
      <c r="M92" s="16">
        <v>2450</v>
      </c>
    </row>
    <row r="93" spans="7:13" x14ac:dyDescent="0.2">
      <c r="I93" s="4" t="s">
        <v>19</v>
      </c>
      <c r="J93" s="13"/>
      <c r="K93" s="13"/>
      <c r="L93" s="13"/>
      <c r="M93" s="16"/>
    </row>
    <row r="94" spans="7:13" x14ac:dyDescent="0.2">
      <c r="I94" s="4" t="s">
        <v>19</v>
      </c>
      <c r="J94" s="13"/>
      <c r="K94" s="13"/>
      <c r="L94" s="13"/>
      <c r="M94" s="16"/>
    </row>
    <row r="95" spans="7:13" x14ac:dyDescent="0.2">
      <c r="I95" s="5" t="s">
        <v>19</v>
      </c>
      <c r="J95" s="17"/>
      <c r="K95" s="17"/>
      <c r="L95" s="17"/>
      <c r="M95" s="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Technology</dc:creator>
  <cp:lastModifiedBy>Jan Havlíček</cp:lastModifiedBy>
  <dcterms:created xsi:type="dcterms:W3CDTF">2000-11-04T21:42:33Z</dcterms:created>
  <dcterms:modified xsi:type="dcterms:W3CDTF">2023-09-17T16:15:39Z</dcterms:modified>
</cp:coreProperties>
</file>