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99F07463-5B02-4D37-A8E3-8E067D46DC69}" xr6:coauthVersionLast="47" xr6:coauthVersionMax="47" xr10:uidLastSave="{00000000-0000-0000-0000-000000000000}"/>
  <bookViews>
    <workbookView xWindow="-120" yWindow="-120" windowWidth="38640" windowHeight="15720"/>
  </bookViews>
  <sheets>
    <sheet name="Companies" sheetId="1" r:id="rId1"/>
    <sheet name="Mergers" sheetId="4"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s>
  <definedNames>
    <definedName name="_xlnm.Print_Titles" localSheetId="0">Companies!$6:$6</definedName>
  </definedNames>
  <calcPr calcId="0" fullCalcOnLoad="1"/>
</workbook>
</file>

<file path=xl/calcChain.xml><?xml version="1.0" encoding="utf-8"?>
<calcChain xmlns="http://schemas.openxmlformats.org/spreadsheetml/2006/main">
  <c r="E7" i="1" l="1"/>
  <c r="F7" i="1"/>
  <c r="G7" i="1"/>
  <c r="H7" i="1"/>
  <c r="I7" i="1"/>
  <c r="J7" i="1"/>
  <c r="K7" i="1"/>
  <c r="L7" i="1"/>
  <c r="M7" i="1"/>
  <c r="N7" i="1"/>
  <c r="O7" i="1"/>
  <c r="R7" i="1"/>
  <c r="S7" i="1"/>
  <c r="F8" i="1"/>
  <c r="G8" i="1"/>
  <c r="H8" i="1"/>
  <c r="I8" i="1"/>
  <c r="J8" i="1"/>
  <c r="K8" i="1"/>
  <c r="L8" i="1"/>
  <c r="M8" i="1"/>
  <c r="N8" i="1"/>
  <c r="O8" i="1"/>
  <c r="R8" i="1"/>
  <c r="S8" i="1"/>
  <c r="G9" i="1"/>
  <c r="S9" i="1"/>
  <c r="E10" i="1"/>
  <c r="F10" i="1"/>
  <c r="G10" i="1"/>
  <c r="H10" i="1"/>
  <c r="I10" i="1"/>
  <c r="J10" i="1"/>
  <c r="K10" i="1"/>
  <c r="L10" i="1"/>
  <c r="M10" i="1"/>
  <c r="N10" i="1"/>
  <c r="O10" i="1"/>
  <c r="R10" i="1"/>
  <c r="S10" i="1"/>
  <c r="F11" i="1"/>
  <c r="G11" i="1"/>
  <c r="J11" i="1"/>
  <c r="N11" i="1"/>
  <c r="O11" i="1"/>
  <c r="R11" i="1"/>
  <c r="S11" i="1"/>
  <c r="F12" i="1"/>
  <c r="G12" i="1"/>
  <c r="H12" i="1"/>
  <c r="I12" i="1"/>
  <c r="J12" i="1"/>
  <c r="K12" i="1"/>
  <c r="L12" i="1"/>
  <c r="M12" i="1"/>
  <c r="N12" i="1"/>
  <c r="O12" i="1"/>
  <c r="R12" i="1"/>
  <c r="S12" i="1"/>
  <c r="F13" i="1"/>
  <c r="G13" i="1"/>
  <c r="H13" i="1"/>
  <c r="I13" i="1"/>
  <c r="J13" i="1"/>
  <c r="K13" i="1"/>
  <c r="L13" i="1"/>
  <c r="M13" i="1"/>
  <c r="N13" i="1"/>
  <c r="O13" i="1"/>
  <c r="R13" i="1"/>
  <c r="S13" i="1"/>
  <c r="F14" i="1"/>
  <c r="G14" i="1"/>
  <c r="H14" i="1"/>
  <c r="I14" i="1"/>
  <c r="J14" i="1"/>
  <c r="K14" i="1"/>
  <c r="L14" i="1"/>
  <c r="M14" i="1"/>
  <c r="N14" i="1"/>
  <c r="O14" i="1"/>
  <c r="R14" i="1"/>
  <c r="S14" i="1"/>
  <c r="F15" i="1"/>
  <c r="G15" i="1"/>
  <c r="H15" i="1"/>
  <c r="I15" i="1"/>
  <c r="J15" i="1"/>
  <c r="K15" i="1"/>
  <c r="L15" i="1"/>
  <c r="M15" i="1"/>
  <c r="N15" i="1"/>
  <c r="O15" i="1"/>
  <c r="R15" i="1"/>
  <c r="S15" i="1"/>
  <c r="F16" i="1"/>
  <c r="G16" i="1"/>
  <c r="H16" i="1"/>
  <c r="I16" i="1"/>
  <c r="J16" i="1"/>
  <c r="K16" i="1"/>
  <c r="L16" i="1"/>
  <c r="M16" i="1"/>
  <c r="N16" i="1"/>
  <c r="O16" i="1"/>
  <c r="R16" i="1"/>
  <c r="S16" i="1"/>
  <c r="F17" i="1"/>
  <c r="G17" i="1"/>
  <c r="H17" i="1"/>
  <c r="K17" i="1"/>
  <c r="L17" i="1"/>
  <c r="O17" i="1"/>
  <c r="R17" i="1"/>
  <c r="S17" i="1"/>
  <c r="F18" i="1"/>
  <c r="G18" i="1"/>
  <c r="H18" i="1"/>
  <c r="I18" i="1"/>
  <c r="J18" i="1"/>
  <c r="K18" i="1"/>
  <c r="L18" i="1"/>
  <c r="M18" i="1"/>
  <c r="N18" i="1"/>
  <c r="O18" i="1"/>
  <c r="R18" i="1"/>
  <c r="S18" i="1"/>
  <c r="F19" i="1"/>
  <c r="G19" i="1"/>
  <c r="H19" i="1"/>
  <c r="I19" i="1"/>
  <c r="J19" i="1"/>
  <c r="K19" i="1"/>
  <c r="L19" i="1"/>
  <c r="M19" i="1"/>
  <c r="O19" i="1"/>
  <c r="R19" i="1"/>
  <c r="S19" i="1"/>
  <c r="F20" i="1"/>
  <c r="G20" i="1"/>
  <c r="H20" i="1"/>
  <c r="I20" i="1"/>
  <c r="J20" i="1"/>
  <c r="K20" i="1"/>
  <c r="L20" i="1"/>
  <c r="M20" i="1"/>
  <c r="N20" i="1"/>
  <c r="O20" i="1"/>
  <c r="R20" i="1"/>
  <c r="S20" i="1"/>
  <c r="E21" i="1"/>
  <c r="F21" i="1"/>
  <c r="G21" i="1"/>
  <c r="H21" i="1"/>
  <c r="I21" i="1"/>
  <c r="J21" i="1"/>
  <c r="K21" i="1"/>
  <c r="L21" i="1"/>
  <c r="M21" i="1"/>
  <c r="N21" i="1"/>
  <c r="O21" i="1"/>
  <c r="R21" i="1"/>
  <c r="S21" i="1"/>
  <c r="F22" i="1"/>
  <c r="G22" i="1"/>
  <c r="H22" i="1"/>
  <c r="I22" i="1"/>
  <c r="J22" i="1"/>
  <c r="K22" i="1"/>
  <c r="L22" i="1"/>
  <c r="M22" i="1"/>
  <c r="N22" i="1"/>
  <c r="O22" i="1"/>
  <c r="R22" i="1"/>
  <c r="S22" i="1"/>
  <c r="F23" i="1"/>
  <c r="G23" i="1"/>
  <c r="H23" i="1"/>
  <c r="I23" i="1"/>
  <c r="J23" i="1"/>
  <c r="K23" i="1"/>
  <c r="L23" i="1"/>
  <c r="M23" i="1"/>
  <c r="N23" i="1"/>
  <c r="O23" i="1"/>
  <c r="R23" i="1"/>
  <c r="S23" i="1"/>
  <c r="F24" i="1"/>
  <c r="G24" i="1"/>
  <c r="H24" i="1"/>
  <c r="I24" i="1"/>
  <c r="J24" i="1"/>
  <c r="K24" i="1"/>
  <c r="L24" i="1"/>
  <c r="M24" i="1"/>
  <c r="N24" i="1"/>
  <c r="O24" i="1"/>
  <c r="R24" i="1"/>
  <c r="S24" i="1"/>
  <c r="F25" i="1"/>
  <c r="G25" i="1"/>
  <c r="H25" i="1"/>
  <c r="I25" i="1"/>
  <c r="J25" i="1"/>
  <c r="K25" i="1"/>
  <c r="L25" i="1"/>
  <c r="M25" i="1"/>
  <c r="N25" i="1"/>
  <c r="O25" i="1"/>
  <c r="R25" i="1"/>
  <c r="S25" i="1"/>
  <c r="F26" i="1"/>
  <c r="G26" i="1"/>
  <c r="H26" i="1"/>
  <c r="J26" i="1"/>
  <c r="K26" i="1"/>
  <c r="L26" i="1"/>
  <c r="O26" i="1"/>
  <c r="R26" i="1"/>
  <c r="S26" i="1"/>
  <c r="F27" i="1"/>
  <c r="G27" i="1"/>
  <c r="H27" i="1"/>
  <c r="I27" i="1"/>
  <c r="J27" i="1"/>
  <c r="K27" i="1"/>
  <c r="L27" i="1"/>
  <c r="M27" i="1"/>
  <c r="N27" i="1"/>
  <c r="O27" i="1"/>
  <c r="R27" i="1"/>
  <c r="S27" i="1"/>
  <c r="F28" i="1"/>
  <c r="G28" i="1"/>
  <c r="H28" i="1"/>
  <c r="I28" i="1"/>
  <c r="J28" i="1"/>
  <c r="K28" i="1"/>
  <c r="L28" i="1"/>
  <c r="M28" i="1"/>
  <c r="N28" i="1"/>
  <c r="O28" i="1"/>
  <c r="R28" i="1"/>
  <c r="S28" i="1"/>
  <c r="R29" i="1"/>
  <c r="S29" i="1"/>
  <c r="F30" i="1"/>
  <c r="G30" i="1"/>
  <c r="H30" i="1"/>
  <c r="I30" i="1"/>
  <c r="J30" i="1"/>
  <c r="K30" i="1"/>
  <c r="L30" i="1"/>
  <c r="M30" i="1"/>
  <c r="N30" i="1"/>
  <c r="O30" i="1"/>
  <c r="R30" i="1"/>
  <c r="S30" i="1"/>
  <c r="F31" i="1"/>
  <c r="G31" i="1"/>
  <c r="H31" i="1"/>
  <c r="K31" i="1"/>
  <c r="L31" i="1"/>
  <c r="O31" i="1"/>
  <c r="R31" i="1"/>
  <c r="S31" i="1"/>
  <c r="F32" i="1"/>
  <c r="G32" i="1"/>
  <c r="H32" i="1"/>
  <c r="I32" i="1"/>
  <c r="J32" i="1"/>
  <c r="K32" i="1"/>
  <c r="L32" i="1"/>
  <c r="M32" i="1"/>
  <c r="N32" i="1"/>
  <c r="O32" i="1"/>
  <c r="R32" i="1"/>
  <c r="S32" i="1"/>
  <c r="G33" i="1"/>
  <c r="H33" i="1"/>
  <c r="I33" i="1"/>
  <c r="J33" i="1"/>
  <c r="K33" i="1"/>
  <c r="L33" i="1"/>
  <c r="M33" i="1"/>
  <c r="N33" i="1"/>
  <c r="O33" i="1"/>
  <c r="R33" i="1"/>
  <c r="S33" i="1"/>
  <c r="F34" i="1"/>
  <c r="G34" i="1"/>
  <c r="H34" i="1"/>
  <c r="I34" i="1"/>
  <c r="J34" i="1"/>
  <c r="K34" i="1"/>
  <c r="L34" i="1"/>
  <c r="M34" i="1"/>
  <c r="N34" i="1"/>
  <c r="O34" i="1"/>
  <c r="R34" i="1"/>
  <c r="S34" i="1"/>
  <c r="F35" i="1"/>
  <c r="G35" i="1"/>
  <c r="H35" i="1"/>
  <c r="I35" i="1"/>
  <c r="J35" i="1"/>
  <c r="K35" i="1"/>
  <c r="L35" i="1"/>
  <c r="M35" i="1"/>
  <c r="O35" i="1"/>
  <c r="R35" i="1"/>
  <c r="S35" i="1"/>
  <c r="G36" i="1"/>
  <c r="F37" i="1"/>
  <c r="G37" i="1"/>
  <c r="H37" i="1"/>
  <c r="I37" i="1"/>
  <c r="J37" i="1"/>
  <c r="K37" i="1"/>
  <c r="L37" i="1"/>
  <c r="M37" i="1"/>
  <c r="N37" i="1"/>
  <c r="O37" i="1"/>
  <c r="R37" i="1"/>
  <c r="S37" i="1"/>
  <c r="F38" i="1"/>
  <c r="G38" i="1"/>
  <c r="H38" i="1"/>
  <c r="I38" i="1"/>
  <c r="J38" i="1"/>
  <c r="K38" i="1"/>
  <c r="L38" i="1"/>
  <c r="M38" i="1"/>
  <c r="N38" i="1"/>
  <c r="O38" i="1"/>
  <c r="R38" i="1"/>
  <c r="S38" i="1"/>
  <c r="F39" i="1"/>
  <c r="G39" i="1"/>
  <c r="H39" i="1"/>
  <c r="I39" i="1"/>
  <c r="J39" i="1"/>
  <c r="K39" i="1"/>
  <c r="L39" i="1"/>
  <c r="M39" i="1"/>
  <c r="N39" i="1"/>
  <c r="O39" i="1"/>
  <c r="R39" i="1"/>
  <c r="S39" i="1"/>
  <c r="F40" i="1"/>
  <c r="G40" i="1"/>
  <c r="H40" i="1"/>
  <c r="I40" i="1"/>
  <c r="J40" i="1"/>
  <c r="K40" i="1"/>
  <c r="L40" i="1"/>
  <c r="M40" i="1"/>
  <c r="N40" i="1"/>
  <c r="O40" i="1"/>
  <c r="R40" i="1"/>
  <c r="S40" i="1"/>
  <c r="F42" i="1"/>
  <c r="G42" i="1"/>
  <c r="H42" i="1"/>
  <c r="I42" i="1"/>
  <c r="J42" i="1"/>
  <c r="K42" i="1"/>
  <c r="L42" i="1"/>
  <c r="M42" i="1"/>
  <c r="N42" i="1"/>
  <c r="O42" i="1"/>
  <c r="R42" i="1"/>
  <c r="S42" i="1"/>
  <c r="F43" i="1"/>
  <c r="G43" i="1"/>
  <c r="H43" i="1"/>
  <c r="I43" i="1"/>
  <c r="J43" i="1"/>
  <c r="K43" i="1"/>
  <c r="L43" i="1"/>
  <c r="M43" i="1"/>
  <c r="N43" i="1"/>
  <c r="O43" i="1"/>
  <c r="R43" i="1"/>
  <c r="S43" i="1"/>
  <c r="E5" i="4"/>
  <c r="E9" i="4"/>
  <c r="E10" i="4"/>
  <c r="B14" i="4"/>
</calcChain>
</file>

<file path=xl/comments1.xml><?xml version="1.0" encoding="utf-8"?>
<comments xmlns="http://schemas.openxmlformats.org/spreadsheetml/2006/main">
  <authors>
    <author>James Whitehead</author>
  </authors>
  <commentList>
    <comment ref="R6" authorId="0" shapeId="0">
      <text>
        <r>
          <rPr>
            <b/>
            <sz val="8"/>
            <color indexed="81"/>
            <rFont val="Tahoma"/>
          </rPr>
          <t>James Whitehead:</t>
        </r>
        <r>
          <rPr>
            <sz val="8"/>
            <color indexed="81"/>
            <rFont val="Tahoma"/>
          </rPr>
          <t xml:space="preserve">
This is for every employee and not just the consultants</t>
        </r>
      </text>
    </comment>
    <comment ref="Q27" authorId="0" shapeId="0">
      <text>
        <r>
          <rPr>
            <b/>
            <sz val="8"/>
            <color indexed="81"/>
            <rFont val="Tahoma"/>
          </rPr>
          <t>James Whitehead:</t>
        </r>
        <r>
          <rPr>
            <sz val="8"/>
            <color indexed="81"/>
            <rFont val="Tahoma"/>
          </rPr>
          <t xml:space="preserve">
Reported an 11/13 that 1,100 employees will be eliminated in cost cutting measures.</t>
        </r>
      </text>
    </comment>
    <comment ref="H39" authorId="0" shapeId="0">
      <text>
        <r>
          <rPr>
            <b/>
            <sz val="8"/>
            <color indexed="81"/>
            <rFont val="Tahoma"/>
          </rPr>
          <t>James Whitehead:</t>
        </r>
        <r>
          <rPr>
            <sz val="8"/>
            <color indexed="81"/>
            <rFont val="Tahoma"/>
          </rPr>
          <t xml:space="preserve">
As of March '00</t>
        </r>
      </text>
    </comment>
    <comment ref="I39" authorId="0" shapeId="0">
      <text>
        <r>
          <rPr>
            <b/>
            <sz val="8"/>
            <color indexed="81"/>
            <rFont val="Tahoma"/>
          </rPr>
          <t>James Whitehead:</t>
        </r>
        <r>
          <rPr>
            <sz val="8"/>
            <color indexed="81"/>
            <rFont val="Tahoma"/>
          </rPr>
          <t xml:space="preserve">
As of March '99</t>
        </r>
      </text>
    </comment>
  </commentList>
</comments>
</file>

<file path=xl/sharedStrings.xml><?xml version="1.0" encoding="utf-8"?>
<sst xmlns="http://schemas.openxmlformats.org/spreadsheetml/2006/main" count="219" uniqueCount="179">
  <si>
    <t>Technology Consulting Companies</t>
  </si>
  <si>
    <t>*All $ in millions</t>
  </si>
  <si>
    <t>Company</t>
  </si>
  <si>
    <t>Web page</t>
  </si>
  <si>
    <t>Stock Symbol</t>
  </si>
  <si>
    <t>EPS Last 12 mo.</t>
  </si>
  <si>
    <t>P/E</t>
  </si>
  <si>
    <t>% Change</t>
  </si>
  <si>
    <t>Location</t>
  </si>
  <si>
    <t># Employees</t>
  </si>
  <si>
    <t>Specialty</t>
  </si>
  <si>
    <t>Clients</t>
  </si>
  <si>
    <t>What Management Known For</t>
  </si>
  <si>
    <t>DJI</t>
  </si>
  <si>
    <t>Yahoo</t>
  </si>
  <si>
    <t>Hoovers</t>
  </si>
  <si>
    <t>Agency.com</t>
  </si>
  <si>
    <t>http://www.agency.com</t>
  </si>
  <si>
    <t>ACOM</t>
  </si>
  <si>
    <t>New York, NY</t>
  </si>
  <si>
    <t>Answerthink</t>
  </si>
  <si>
    <t>http://www.answerthink.com</t>
  </si>
  <si>
    <t>ANSR</t>
  </si>
  <si>
    <t>Miami, FL</t>
  </si>
  <si>
    <t>http://www.bah.com</t>
  </si>
  <si>
    <t>Private</t>
  </si>
  <si>
    <t xml:space="preserve">Cambridge Technology </t>
  </si>
  <si>
    <t>http://www.ctp.com</t>
  </si>
  <si>
    <t>CATP</t>
  </si>
  <si>
    <t>Cambridge, MA</t>
  </si>
  <si>
    <t>Circle.com</t>
  </si>
  <si>
    <t>http://www.circle.com</t>
  </si>
  <si>
    <t>CIRC</t>
  </si>
  <si>
    <t>Baltimore, MD</t>
  </si>
  <si>
    <t>Computer Horizons</t>
  </si>
  <si>
    <t>http://www.computerhorizons.com</t>
  </si>
  <si>
    <t xml:space="preserve">CHRZ </t>
  </si>
  <si>
    <t>Mountain Lakes, NJ</t>
  </si>
  <si>
    <t>Computer Sciences</t>
  </si>
  <si>
    <t>http://www.csc.com</t>
  </si>
  <si>
    <t>CSC</t>
  </si>
  <si>
    <t>El Segundo, CA</t>
  </si>
  <si>
    <t>Computer Task Group</t>
  </si>
  <si>
    <t>http://www.ctg.com</t>
  </si>
  <si>
    <t xml:space="preserve">CTG </t>
  </si>
  <si>
    <t>Buffalo, NY</t>
  </si>
  <si>
    <t>Cysive, Inc</t>
  </si>
  <si>
    <t>http://www.cysive.com</t>
  </si>
  <si>
    <t>CYSV</t>
  </si>
  <si>
    <t>Reston, VA</t>
  </si>
  <si>
    <t>Diamond Technology Partners</t>
  </si>
  <si>
    <t>http://www.diamtech.com</t>
  </si>
  <si>
    <t>DTPI</t>
  </si>
  <si>
    <t>Chicago, IL</t>
  </si>
  <si>
    <t>Digitas</t>
  </si>
  <si>
    <t>http://www.digitas.com</t>
  </si>
  <si>
    <t>DTAS</t>
  </si>
  <si>
    <t>N/A</t>
  </si>
  <si>
    <t>Boston, MA</t>
  </si>
  <si>
    <t>EDS</t>
  </si>
  <si>
    <t>http://www.eds.com</t>
  </si>
  <si>
    <t>Plano, TX</t>
  </si>
  <si>
    <t xml:space="preserve">iGATE </t>
  </si>
  <si>
    <t>http://www.igatecapital.com</t>
  </si>
  <si>
    <t>IGTE</t>
  </si>
  <si>
    <t>Oakdale, PA</t>
  </si>
  <si>
    <t xml:space="preserve">iXL Enterprises </t>
  </si>
  <si>
    <t>http://www.ixl.com</t>
  </si>
  <si>
    <t>IIXL</t>
  </si>
  <si>
    <t>Atlanta, GA</t>
  </si>
  <si>
    <t>X</t>
  </si>
  <si>
    <t>http://www.k2design.com</t>
  </si>
  <si>
    <t xml:space="preserve">KTWO </t>
  </si>
  <si>
    <t xml:space="preserve">                  </t>
  </si>
  <si>
    <t>Keane</t>
  </si>
  <si>
    <t>http://www.keane.com</t>
  </si>
  <si>
    <t>KEA</t>
  </si>
  <si>
    <t>Lante</t>
  </si>
  <si>
    <t>http://www.lante.com</t>
  </si>
  <si>
    <t>LNTE</t>
  </si>
  <si>
    <t>Leapnet, Inc.</t>
  </si>
  <si>
    <t>http://www.leapnet.com</t>
  </si>
  <si>
    <t>LEAP</t>
  </si>
  <si>
    <t>Luminant</t>
  </si>
  <si>
    <t>http://www.luminant.com</t>
  </si>
  <si>
    <t>LUMT</t>
  </si>
  <si>
    <t>Dallas, TX</t>
  </si>
  <si>
    <t xml:space="preserve">marchFIRST </t>
  </si>
  <si>
    <t>http://www.marchfirst.com/home.asp</t>
  </si>
  <si>
    <t>MRCH</t>
  </si>
  <si>
    <t xml:space="preserve">Build business brands, models, and systems through such services as application hosting, e-commerce computing design, software development, and network infrastructure implementation. </t>
  </si>
  <si>
    <t>Modem Media</t>
  </si>
  <si>
    <t>http://www.modemmedia.com</t>
  </si>
  <si>
    <t>MMPT</t>
  </si>
  <si>
    <t>Norwalk, CT</t>
  </si>
  <si>
    <t xml:space="preserve">                   </t>
  </si>
  <si>
    <t>Noblestar</t>
  </si>
  <si>
    <t xml:space="preserve">http://www.noblestar.com </t>
  </si>
  <si>
    <t>Organic</t>
  </si>
  <si>
    <t>http://www.organic.com</t>
  </si>
  <si>
    <t>OGNC</t>
  </si>
  <si>
    <t>San Francisco, CA</t>
  </si>
  <si>
    <t>PEC Solutions</t>
  </si>
  <si>
    <t>http://www.pec.com</t>
  </si>
  <si>
    <t>PECS</t>
  </si>
  <si>
    <t>Fairfax, VA</t>
  </si>
  <si>
    <t>Perot Systems</t>
  </si>
  <si>
    <t>http://www.perotsystems.com</t>
  </si>
  <si>
    <t>PER</t>
  </si>
  <si>
    <t>Proxicom</t>
  </si>
  <si>
    <t>http://www.proxicom.com</t>
  </si>
  <si>
    <t>PXCM</t>
  </si>
  <si>
    <t>Rare Medium Group</t>
  </si>
  <si>
    <t>http://www.raremedium.com</t>
  </si>
  <si>
    <t>RRRR</t>
  </si>
  <si>
    <t>Razorfish</t>
  </si>
  <si>
    <t>http://www.razorfish.com/</t>
  </si>
  <si>
    <t>RAZF</t>
  </si>
  <si>
    <t>Red Sky Interactive</t>
  </si>
  <si>
    <t xml:space="preserve">Renaissance Worldwide </t>
  </si>
  <si>
    <t>http://www.rens.com</t>
  </si>
  <si>
    <t>REGI</t>
  </si>
  <si>
    <t>Waltham, MA</t>
  </si>
  <si>
    <t>Assist clients in design, implementation and/or support of IT applications, management consulting and technology integration solutions to improve client business performance, technology solutions to the public sector, primarily in the areas of strategy, systems integration and electronic solutions.</t>
  </si>
  <si>
    <t>Sapient</t>
  </si>
  <si>
    <t>http://www.sapient.com</t>
  </si>
  <si>
    <t>SAPE</t>
  </si>
  <si>
    <t>Scient Corp.</t>
  </si>
  <si>
    <t>http://www.scient.com</t>
  </si>
  <si>
    <t>SCNT</t>
  </si>
  <si>
    <t>Technology Solutions</t>
  </si>
  <si>
    <t>http://www.techsol.com</t>
  </si>
  <si>
    <t xml:space="preserve">TSCC </t>
  </si>
  <si>
    <t>THINK New Ideas</t>
  </si>
  <si>
    <t>U.S. Interactive</t>
  </si>
  <si>
    <t>http://www.usinteractive.com</t>
  </si>
  <si>
    <t>USIT</t>
  </si>
  <si>
    <t>King of Prussia, PA</t>
  </si>
  <si>
    <t>Viant</t>
  </si>
  <si>
    <t>http://www.viant.com</t>
  </si>
  <si>
    <t>VIAN</t>
  </si>
  <si>
    <t>Zefer</t>
  </si>
  <si>
    <t>http://www.zefer.com</t>
  </si>
  <si>
    <t xml:space="preserve">e-business strategy, interactive marketing and branding and technology architecture and integration. </t>
  </si>
  <si>
    <t>Works primarily with the military</t>
  </si>
  <si>
    <t>delivering rapid end-to-end business solutions, usually on a fixed-time, fixed-price basis.digital business strategies, e-commerce technical solutions consulting, Internet user experience design, advanced software application integration, custom software solutions, network solutions, enterprise resource solutions, change management consulting, and integrated  management consulting</t>
  </si>
  <si>
    <t>Growth Rate</t>
  </si>
  <si>
    <t>HP &amp; Pricewaterhouse Coopers</t>
  </si>
  <si>
    <t>EY &amp; Cap Gemini</t>
  </si>
  <si>
    <t>Total 18,000 consultants</t>
  </si>
  <si>
    <t>Diamon &amp; Cluster</t>
  </si>
  <si>
    <t xml:space="preserve">$930 million </t>
  </si>
  <si>
    <t>$11 billion</t>
  </si>
  <si>
    <t>$17 - $18 billion</t>
  </si>
  <si>
    <t>Total 900 consultants</t>
  </si>
  <si>
    <t>HP</t>
  </si>
  <si>
    <t>Strategic minded management e-consultants</t>
  </si>
  <si>
    <t>Roots in advertising, tend to focus on web design and branding issues. designing creative, content, interface and information architecture elements of Internet resources such as Web sites; programming, technical architecture development and systems integration to implement complex information technology systems such as electronic commerce platforms; and planning and executing online marketing strategies that build audiences and develop brand awareness of Internet resources.</t>
  </si>
  <si>
    <t>Roots in advertising, tend to focus on web design and branding issues.</t>
  </si>
  <si>
    <t xml:space="preserve">Roots in advertising, tend to focus on web design and branding issues. Strategic consulting, Web design, and integration with enterprise resource planning and legacy systems. </t>
  </si>
  <si>
    <t>Experience implementing complex enterprise systems, focus on B2B exchanges and supply chain restructuring. Web development firm, offering such services as strategic consulting, Web site design, and application integration.</t>
  </si>
  <si>
    <t xml:space="preserve">Experience implementing complex enterprise systems, focus on B2B exchanges and supply chain restructuring. </t>
  </si>
  <si>
    <t>Experience implementing complex enterprise systems, focus on B2B exchanges and supply chain restructuring. Internet and operational consulting, creative design, software implementation, systems design, and technology development.targets such industries as financial services, communications, energy services, manufacturing, government, and health care.</t>
  </si>
  <si>
    <t>Revenue per Employee</t>
  </si>
  <si>
    <t>1998 Operating Income*</t>
  </si>
  <si>
    <t>1999 Operating Income*</t>
  </si>
  <si>
    <t>Gross Profit Margins*</t>
  </si>
  <si>
    <t xml:space="preserve">1998 Revenue* </t>
  </si>
  <si>
    <t xml:space="preserve">1999 Revenue* </t>
  </si>
  <si>
    <t>K2 Digital</t>
  </si>
  <si>
    <t>Booz-Allen &amp; Hamilton (Aestix)</t>
  </si>
  <si>
    <t>McLean, VA &amp; London</t>
  </si>
  <si>
    <t xml:space="preserve">Diamond </t>
  </si>
  <si>
    <t>Price as of 11/27/00</t>
  </si>
  <si>
    <t>Market Cap per Employee</t>
  </si>
  <si>
    <t>Free Cash Flow*</t>
  </si>
  <si>
    <t>Market Cap*</t>
  </si>
  <si>
    <t>i2 Technologies</t>
  </si>
  <si>
    <t>ITWO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</si>
</sst>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43" formatCode="_(* #,##0.00_);_(* \(#,##0.00\);_(* &quot;-&quot;??_);_(@_)"/>
    <numFmt numFmtId="164" formatCode="0.0%"/>
    <numFmt numFmtId="165" formatCode="_(* #,##0_);_(* \(#,##0\);_(* &quot;-&quot;??_);_(@_)"/>
    <numFmt numFmtId="167" formatCode="_(&quot;$&quot;* #,##0_);_(&quot;$&quot;* \(#,##0\);_(&quot;$&quot;* &quot;-&quot;??_);_(@_)"/>
    <numFmt numFmtId="168" formatCode="_(&quot;$&quot;* #,##0.000_);_(&quot;$&quot;* \(#,##0.000\);_(&quot;$&quot;* &quot;-&quot;??_);_(@_)"/>
  </numFmts>
  <fonts count="8" x14ac:knownFonts="1">
    <font>
      <sz val="10"/>
      <name val="Arial"/>
    </font>
    <font>
      <sz val="10"/>
      <name val="Arial"/>
    </font>
    <font>
      <b/>
      <sz val="18"/>
      <name val="Arial"/>
      <family val="2"/>
    </font>
    <font>
      <b/>
      <u/>
      <sz val="10"/>
      <name val="Arial"/>
      <family val="2"/>
    </font>
    <font>
      <i/>
      <sz val="10"/>
      <name val="Arial"/>
      <family val="2"/>
    </font>
    <font>
      <b/>
      <sz val="8"/>
      <color indexed="81"/>
      <name val="Tahoma"/>
    </font>
    <font>
      <sz val="8"/>
      <color indexed="81"/>
      <name val="Tahoma"/>
    </font>
    <font>
      <sz val="10"/>
      <color indexed="12"/>
      <name val="Arial"/>
      <family val="2"/>
    </font>
  </fonts>
  <fills count="2">
    <fill>
      <patternFill patternType="none"/>
    </fill>
    <fill>
      <patternFill patternType="gray125"/>
    </fill>
  </fills>
  <borders count="1">
    <border>
      <left/>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40">
    <xf numFmtId="0" fontId="0" fillId="0" borderId="0" xfId="0"/>
    <xf numFmtId="0" fontId="0" fillId="0" borderId="0" xfId="0" applyAlignment="1">
      <alignment horizontal="right"/>
    </xf>
    <xf numFmtId="44" fontId="0" fillId="0" borderId="0" xfId="2" applyFont="1" applyAlignment="1">
      <alignment horizontal="right"/>
    </xf>
    <xf numFmtId="164" fontId="0" fillId="0" borderId="0" xfId="3" applyNumberFormat="1" applyFont="1" applyAlignment="1">
      <alignment horizontal="right"/>
    </xf>
    <xf numFmtId="165" fontId="0" fillId="0" borderId="0" xfId="1" applyNumberFormat="1" applyFont="1"/>
    <xf numFmtId="0" fontId="0" fillId="0" borderId="0" xfId="0" applyAlignment="1">
      <alignment wrapText="1"/>
    </xf>
    <xf numFmtId="0" fontId="0" fillId="0" borderId="0" xfId="0" applyAlignment="1">
      <alignment horizontal="center"/>
    </xf>
    <xf numFmtId="9" fontId="0" fillId="0" borderId="0" xfId="3" applyFont="1" applyAlignment="1">
      <alignment horizontal="right"/>
    </xf>
    <xf numFmtId="44" fontId="0" fillId="0" borderId="0" xfId="2" applyFont="1"/>
    <xf numFmtId="40" fontId="0" fillId="0" borderId="0" xfId="1" applyNumberFormat="1" applyFont="1"/>
    <xf numFmtId="0" fontId="0" fillId="0" borderId="0" xfId="0" applyAlignment="1">
      <alignment horizontal="left"/>
    </xf>
    <xf numFmtId="0" fontId="2" fillId="0" borderId="0" xfId="0" applyFont="1" applyAlignment="1">
      <alignment horizontal="center"/>
    </xf>
    <xf numFmtId="44" fontId="2" fillId="0" borderId="0" xfId="2" applyFont="1" applyAlignment="1">
      <alignment horizontal="center"/>
    </xf>
    <xf numFmtId="40" fontId="2" fillId="0" borderId="0" xfId="0" applyNumberFormat="1" applyFont="1" applyAlignment="1">
      <alignment horizontal="center"/>
    </xf>
    <xf numFmtId="0" fontId="3" fillId="0" borderId="0" xfId="0" applyFont="1" applyAlignment="1">
      <alignment horizontal="center"/>
    </xf>
    <xf numFmtId="44" fontId="3" fillId="0" borderId="0" xfId="2" applyFont="1" applyAlignment="1">
      <alignment horizontal="center" wrapText="1"/>
    </xf>
    <xf numFmtId="40" fontId="3" fillId="0" borderId="0" xfId="1" applyNumberFormat="1" applyFont="1" applyAlignment="1">
      <alignment horizontal="center" wrapText="1"/>
    </xf>
    <xf numFmtId="40" fontId="3" fillId="0" borderId="0" xfId="1" applyNumberFormat="1" applyFont="1" applyAlignment="1">
      <alignment horizontal="center"/>
    </xf>
    <xf numFmtId="0" fontId="3" fillId="0" borderId="0" xfId="0" applyFont="1" applyAlignment="1">
      <alignment horizontal="center" wrapText="1"/>
    </xf>
    <xf numFmtId="9" fontId="3" fillId="0" borderId="0" xfId="3" applyFont="1" applyAlignment="1">
      <alignment horizontal="center" wrapText="1"/>
    </xf>
    <xf numFmtId="164" fontId="3" fillId="0" borderId="0" xfId="3" applyNumberFormat="1" applyFont="1" applyAlignment="1">
      <alignment horizontal="center" wrapText="1"/>
    </xf>
    <xf numFmtId="165" fontId="3" fillId="0" borderId="0" xfId="1" applyNumberFormat="1" applyFont="1" applyAlignment="1">
      <alignment horizontal="center"/>
    </xf>
    <xf numFmtId="10" fontId="0" fillId="0" borderId="0" xfId="3" applyNumberFormat="1" applyFont="1" applyAlignment="1">
      <alignment horizontal="right"/>
    </xf>
    <xf numFmtId="43" fontId="0" fillId="0" borderId="0" xfId="1" applyFont="1" applyAlignment="1">
      <alignment horizontal="right"/>
    </xf>
    <xf numFmtId="9" fontId="0" fillId="0" borderId="0" xfId="3" applyNumberFormat="1" applyFont="1" applyAlignment="1">
      <alignment horizontal="right"/>
    </xf>
    <xf numFmtId="0" fontId="4" fillId="0" borderId="0" xfId="0" applyFont="1"/>
    <xf numFmtId="40" fontId="2" fillId="0" borderId="0" xfId="2" applyNumberFormat="1" applyFont="1" applyAlignment="1">
      <alignment horizontal="center"/>
    </xf>
    <xf numFmtId="40" fontId="0" fillId="0" borderId="0" xfId="2" applyNumberFormat="1" applyFont="1" applyAlignment="1">
      <alignment horizontal="right"/>
    </xf>
    <xf numFmtId="40" fontId="3" fillId="0" borderId="0" xfId="2" applyNumberFormat="1" applyFont="1" applyAlignment="1">
      <alignment horizontal="center" wrapText="1"/>
    </xf>
    <xf numFmtId="167" fontId="0" fillId="0" borderId="0" xfId="2" applyNumberFormat="1" applyFont="1"/>
    <xf numFmtId="165" fontId="3" fillId="0" borderId="0" xfId="1" applyNumberFormat="1" applyFont="1" applyAlignment="1">
      <alignment horizontal="center" wrapText="1" shrinkToFit="1"/>
    </xf>
    <xf numFmtId="168" fontId="0" fillId="0" borderId="0" xfId="2" applyNumberFormat="1" applyFont="1" applyAlignment="1">
      <alignment horizontal="right"/>
    </xf>
    <xf numFmtId="0" fontId="0" fillId="0" borderId="0" xfId="0" applyAlignment="1"/>
    <xf numFmtId="9" fontId="0" fillId="0" borderId="0" xfId="3" applyFont="1" applyFill="1" applyAlignment="1">
      <alignment horizontal="left"/>
    </xf>
    <xf numFmtId="49" fontId="0" fillId="0" borderId="0" xfId="2" applyNumberFormat="1" applyFont="1" applyFill="1" applyAlignment="1"/>
    <xf numFmtId="44" fontId="0" fillId="0" borderId="0" xfId="2" applyFont="1" applyFill="1" applyAlignment="1">
      <alignment horizontal="right"/>
    </xf>
    <xf numFmtId="9" fontId="7" fillId="0" borderId="0" xfId="3" applyFont="1" applyFill="1" applyAlignment="1">
      <alignment horizontal="right"/>
    </xf>
    <xf numFmtId="9" fontId="0" fillId="0" borderId="0" xfId="3" applyFont="1" applyFill="1" applyAlignment="1">
      <alignment horizontal="right"/>
    </xf>
    <xf numFmtId="49" fontId="0" fillId="0" borderId="0" xfId="2" applyNumberFormat="1" applyFont="1" applyFill="1" applyAlignment="1">
      <alignment horizontal="left"/>
    </xf>
    <xf numFmtId="40" fontId="2" fillId="0" borderId="0" xfId="2" applyNumberFormat="1" applyFont="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21" Type="http://schemas.openxmlformats.org/officeDocument/2006/relationships/externalLink" Target="externalLinks/externalLink19.xml"/><Relationship Id="rId34" Type="http://schemas.openxmlformats.org/officeDocument/2006/relationships/externalLink" Target="externalLinks/externalLink32.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externalLink" Target="externalLinks/externalLink30.xml"/><Relationship Id="rId37" Type="http://schemas.openxmlformats.org/officeDocument/2006/relationships/sharedStrings" Target="sharedStrings.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styles" Target="styles.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externalLink" Target="externalLinks/externalLink29.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theme" Target="theme/theme1.xml"/><Relationship Id="rId8" Type="http://schemas.openxmlformats.org/officeDocument/2006/relationships/externalLink" Target="externalLinks/externalLink6.xml"/><Relationship Id="rId3"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vli/source/repos/enron_xls/edrm/Agency_co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havli/source/repos/enron_xls/edrm/Electronic%20Dat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havli/source/repos/enron_xls/edrm/IGat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havli/source/repos/enron_xls/edrm/IX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havli/source/repos/enron_xls/edrm/K2%20Digital.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havli/source/repos/enron_xls/edrm/Kean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havli/source/repos/enron_xls/edrm/Lante.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havli/source/repos/enron_xls/edrm/Leapnet.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havli/source/repos/enron_xls/edrm/Luminant.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havli/source/repos/enron_xls/edrm/Marchfirst.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havli/source/repos/enron_xls/edrm/Modem%20Medi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avli/source/repos/enron_xls/edrm/Answerthink.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havli/source/repos/enron_xls/edrm/Organic.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havli/source/repos/enron_xls/edrm/Pec%20Solutions.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havli/source/repos/enron_xls/edrm/Perot%20System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havli/source/repos/enron_xls/edrm/Proxicom.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havli/source/repos/enron_xls/edrm/Rare%20Medium.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havli/source/repos/enron_xls/edrm/Razorfish.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havli/source/repos/enron_xls/edrm/Renaissance.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havli/source/repos/enron_xls/edrm/Sapien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havli/source/repos/enron_xls/edrm/Scient.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havli/source/repos/enron_xls/edrm/Tech%20Solution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havli/source/repos/enron_xls/edrm/Cambridge%20Tech.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havli/source/repos/enron_xls/edrm/US%20Interactive.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havli/source/repos/enron_xls/edrm/Viant.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havli/source/repos/enron_xls/edrm/I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havli/source/repos/enron_xls/edrm/Computer%20Horizon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havli/source/repos/enron_xls/edrm/Computer%20Scienc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havli/source/repos/enron_xls/edrm/Computer%20Task%20Group.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havli/source/repos/enron_xls/edrm/Cysiv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havli/source/repos/enron_xls/edrm/Diamond.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havli/source/repos/enron_xls/edrm/Digita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Other Profile Information"/>
    </sheetNames>
    <sheetDataSet>
      <sheetData sheetId="0">
        <row r="37">
          <cell r="B37">
            <v>0.6</v>
          </cell>
        </row>
        <row r="55">
          <cell r="B55">
            <v>87.8</v>
          </cell>
          <cell r="C55">
            <v>26.5</v>
          </cell>
        </row>
        <row r="57">
          <cell r="B57">
            <v>42.2</v>
          </cell>
        </row>
        <row r="80">
          <cell r="B80">
            <v>-12.9</v>
          </cell>
          <cell r="C80">
            <v>-2.5</v>
          </cell>
        </row>
      </sheetData>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Other Profile Information"/>
    </sheetNames>
    <sheetDataSet>
      <sheetData sheetId="0">
        <row r="37">
          <cell r="B37">
            <v>1856.7</v>
          </cell>
        </row>
        <row r="55">
          <cell r="B55">
            <v>18534.2</v>
          </cell>
          <cell r="C55">
            <v>16891</v>
          </cell>
        </row>
        <row r="57">
          <cell r="B57">
            <v>4799.3999999999996</v>
          </cell>
        </row>
        <row r="80">
          <cell r="B80">
            <v>420.9</v>
          </cell>
          <cell r="C80">
            <v>743.4</v>
          </cell>
        </row>
      </sheetData>
      <sheetData sheetId="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Other Profile Information"/>
    </sheetNames>
    <sheetDataSet>
      <sheetData sheetId="0">
        <row r="37">
          <cell r="B37">
            <v>44.1</v>
          </cell>
        </row>
        <row r="55">
          <cell r="B55">
            <v>471.5</v>
          </cell>
          <cell r="C55">
            <v>390.9</v>
          </cell>
        </row>
        <row r="57">
          <cell r="B57">
            <v>154.69999999999999</v>
          </cell>
        </row>
        <row r="80">
          <cell r="B80">
            <v>36.200000000000003</v>
          </cell>
          <cell r="C80">
            <v>33.4</v>
          </cell>
        </row>
      </sheetData>
      <sheetData sheetId="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Other Profile Information"/>
    </sheetNames>
    <sheetDataSet>
      <sheetData sheetId="0">
        <row r="37">
          <cell r="B37">
            <v>-60.2</v>
          </cell>
        </row>
        <row r="55">
          <cell r="B55">
            <v>218.3</v>
          </cell>
          <cell r="C55">
            <v>64.8</v>
          </cell>
        </row>
        <row r="57">
          <cell r="B57">
            <v>92.6</v>
          </cell>
        </row>
        <row r="80">
          <cell r="B80">
            <v>-91.2</v>
          </cell>
          <cell r="C80">
            <v>-58</v>
          </cell>
        </row>
      </sheetData>
      <sheetData sheetId="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Other Profile Information"/>
    </sheetNames>
    <sheetDataSet>
      <sheetData sheetId="0">
        <row r="37">
          <cell r="B37">
            <v>1.1000000000000001</v>
          </cell>
        </row>
        <row r="55">
          <cell r="B55">
            <v>5.9</v>
          </cell>
          <cell r="C55">
            <v>6.4</v>
          </cell>
        </row>
        <row r="57">
          <cell r="B57">
            <v>1.5</v>
          </cell>
        </row>
        <row r="80">
          <cell r="B80">
            <v>0.7</v>
          </cell>
          <cell r="C80">
            <v>-1.7</v>
          </cell>
        </row>
      </sheetData>
      <sheetData sheetId="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Other Profile Information"/>
    </sheetNames>
    <sheetDataSet>
      <sheetData sheetId="0">
        <row r="37">
          <cell r="B37">
            <v>104.6</v>
          </cell>
        </row>
        <row r="55">
          <cell r="B55">
            <v>1041.0999999999999</v>
          </cell>
          <cell r="C55">
            <v>1076.2</v>
          </cell>
        </row>
        <row r="57">
          <cell r="B57">
            <v>360.7</v>
          </cell>
        </row>
        <row r="80">
          <cell r="B80">
            <v>73.099999999999994</v>
          </cell>
          <cell r="C80">
            <v>96.3</v>
          </cell>
        </row>
      </sheetData>
      <sheetData sheetId="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Other Profile Information"/>
    </sheetNames>
    <sheetDataSet>
      <sheetData sheetId="0">
        <row r="37">
          <cell r="B37">
            <v>-1.8</v>
          </cell>
        </row>
        <row r="55">
          <cell r="B55">
            <v>33</v>
          </cell>
          <cell r="C55">
            <v>15.4</v>
          </cell>
        </row>
        <row r="57">
          <cell r="B57">
            <v>16.2</v>
          </cell>
        </row>
        <row r="80">
          <cell r="B80">
            <v>-3.6</v>
          </cell>
          <cell r="C80">
            <v>1.6</v>
          </cell>
        </row>
      </sheetData>
      <sheetData sheetId="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Other Profile Information"/>
    </sheetNames>
    <sheetDataSet>
      <sheetData sheetId="0">
        <row r="37">
          <cell r="B37">
            <v>0.9</v>
          </cell>
        </row>
        <row r="55">
          <cell r="B55">
            <v>36.299999999999997</v>
          </cell>
          <cell r="C55">
            <v>35.9</v>
          </cell>
        </row>
        <row r="57">
          <cell r="B57">
            <v>14.6</v>
          </cell>
        </row>
        <row r="80">
          <cell r="B80">
            <v>0.3</v>
          </cell>
          <cell r="C80">
            <v>-18.3</v>
          </cell>
        </row>
      </sheetData>
      <sheetData sheetId="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Other Profile Information"/>
    </sheetNames>
    <sheetDataSet>
      <sheetData sheetId="0">
        <row r="37">
          <cell r="B37">
            <v>-12.4</v>
          </cell>
        </row>
        <row r="55">
          <cell r="B55">
            <v>52.1</v>
          </cell>
        </row>
        <row r="57">
          <cell r="B57">
            <v>24.3</v>
          </cell>
        </row>
        <row r="80">
          <cell r="B80">
            <v>-45.1</v>
          </cell>
        </row>
      </sheetData>
      <sheetData sheetId="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Other Profile Information"/>
    </sheetNames>
    <sheetDataSet>
      <sheetData sheetId="0">
        <row r="37">
          <cell r="B37">
            <v>37.200000000000003</v>
          </cell>
        </row>
        <row r="55">
          <cell r="B55">
            <v>480.9</v>
          </cell>
          <cell r="C55">
            <v>307.60000000000002</v>
          </cell>
        </row>
        <row r="57">
          <cell r="B57">
            <v>218.6</v>
          </cell>
        </row>
        <row r="80">
          <cell r="B80">
            <v>30.3</v>
          </cell>
          <cell r="C80">
            <v>18.8</v>
          </cell>
        </row>
      </sheetData>
      <sheetData sheetId="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Other Profile Information"/>
    </sheetNames>
    <sheetDataSet>
      <sheetData sheetId="0">
        <row r="37">
          <cell r="B37">
            <v>9.5</v>
          </cell>
        </row>
        <row r="55">
          <cell r="B55">
            <v>74</v>
          </cell>
          <cell r="C55">
            <v>42.5</v>
          </cell>
        </row>
        <row r="57">
          <cell r="B57">
            <v>44.5</v>
          </cell>
        </row>
        <row r="80">
          <cell r="B80">
            <v>3</v>
          </cell>
          <cell r="C80">
            <v>-3.2</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Other Profile Information"/>
    </sheetNames>
    <sheetDataSet>
      <sheetData sheetId="0">
        <row r="37">
          <cell r="B37">
            <v>13.6</v>
          </cell>
        </row>
        <row r="55">
          <cell r="B55">
            <v>260.5</v>
          </cell>
          <cell r="C55">
            <v>102.7</v>
          </cell>
        </row>
        <row r="57">
          <cell r="B57">
            <v>116.4</v>
          </cell>
        </row>
        <row r="80">
          <cell r="B80">
            <v>3.2</v>
          </cell>
          <cell r="C80">
            <v>-28.9</v>
          </cell>
        </row>
      </sheetData>
      <sheetData sheetId="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Other Profile Information"/>
    </sheetNames>
    <sheetDataSet>
      <sheetData sheetId="0">
        <row r="37">
          <cell r="B37">
            <v>-34.9</v>
          </cell>
        </row>
        <row r="55">
          <cell r="B55">
            <v>77.8</v>
          </cell>
          <cell r="C55">
            <v>27.7</v>
          </cell>
        </row>
        <row r="57">
          <cell r="B57">
            <v>35.5</v>
          </cell>
        </row>
        <row r="80">
          <cell r="B80">
            <v>-38.9</v>
          </cell>
          <cell r="C80">
            <v>-2.8</v>
          </cell>
        </row>
      </sheetData>
      <sheetData sheetId="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Other Profile Information"/>
    </sheetNames>
    <sheetDataSet>
      <sheetData sheetId="0">
        <row r="37">
          <cell r="B37">
            <v>6.2</v>
          </cell>
        </row>
        <row r="55">
          <cell r="B55">
            <v>53.2</v>
          </cell>
        </row>
        <row r="57">
          <cell r="B57">
            <v>23.4</v>
          </cell>
        </row>
        <row r="80">
          <cell r="B80">
            <v>5.6</v>
          </cell>
        </row>
      </sheetData>
      <sheetData sheetId="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Other Profile Information"/>
    </sheetNames>
    <sheetDataSet>
      <sheetData sheetId="0">
        <row r="37">
          <cell r="B37">
            <v>102.9</v>
          </cell>
        </row>
        <row r="55">
          <cell r="B55">
            <v>1151.5999999999999</v>
          </cell>
          <cell r="C55">
            <v>993.6</v>
          </cell>
        </row>
        <row r="57">
          <cell r="B57">
            <v>303.3</v>
          </cell>
        </row>
        <row r="80">
          <cell r="B80">
            <v>75.5</v>
          </cell>
          <cell r="C80">
            <v>40.5</v>
          </cell>
        </row>
      </sheetData>
      <sheetData sheetId="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Other Profile Information"/>
    </sheetNames>
    <sheetDataSet>
      <sheetData sheetId="0">
        <row r="37">
          <cell r="B37">
            <v>0.4</v>
          </cell>
        </row>
        <row r="55">
          <cell r="B55">
            <v>82.7</v>
          </cell>
          <cell r="C55">
            <v>42.4</v>
          </cell>
        </row>
        <row r="57">
          <cell r="B57">
            <v>40.4</v>
          </cell>
        </row>
        <row r="80">
          <cell r="B80">
            <v>0.9</v>
          </cell>
          <cell r="C80">
            <v>-20.6</v>
          </cell>
        </row>
      </sheetData>
      <sheetData sheetId="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Other Profile Information"/>
    </sheetNames>
    <sheetDataSet>
      <sheetData sheetId="0">
        <row r="37">
          <cell r="B37">
            <v>-67.3</v>
          </cell>
        </row>
        <row r="55">
          <cell r="B55">
            <v>36.700000000000003</v>
          </cell>
          <cell r="C55">
            <v>4.7</v>
          </cell>
        </row>
        <row r="57">
          <cell r="B57">
            <v>17</v>
          </cell>
        </row>
        <row r="80">
          <cell r="B80">
            <v>-93.3</v>
          </cell>
          <cell r="C80">
            <v>-19.7</v>
          </cell>
        </row>
      </sheetData>
      <sheetData sheetId="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Other Profile Information"/>
    </sheetNames>
    <sheetDataSet>
      <sheetData sheetId="0">
        <row r="37">
          <cell r="B37">
            <v>-7.7</v>
          </cell>
        </row>
        <row r="55">
          <cell r="B55">
            <v>170.2</v>
          </cell>
          <cell r="C55">
            <v>13.8</v>
          </cell>
        </row>
        <row r="57">
          <cell r="B57">
            <v>92.5</v>
          </cell>
        </row>
        <row r="80">
          <cell r="B80">
            <v>-14.5</v>
          </cell>
          <cell r="C80">
            <v>0</v>
          </cell>
        </row>
      </sheetData>
      <sheetData sheetId="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Other Profile Information"/>
    </sheetNames>
    <sheetDataSet>
      <sheetData sheetId="0">
        <row r="37">
          <cell r="B37">
            <v>14.4</v>
          </cell>
        </row>
        <row r="55">
          <cell r="B55">
            <v>742.6</v>
          </cell>
          <cell r="C55">
            <v>776.3</v>
          </cell>
        </row>
        <row r="57">
          <cell r="B57">
            <v>236.4</v>
          </cell>
        </row>
        <row r="80">
          <cell r="B80">
            <v>-5.3</v>
          </cell>
          <cell r="C80">
            <v>-31.3</v>
          </cell>
        </row>
      </sheetData>
      <sheetData sheetId="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Other Profile Information"/>
    </sheetNames>
    <sheetDataSet>
      <sheetData sheetId="0">
        <row r="37">
          <cell r="B37">
            <v>40.6</v>
          </cell>
        </row>
        <row r="55">
          <cell r="B55">
            <v>276.8</v>
          </cell>
          <cell r="C55">
            <v>160.4</v>
          </cell>
        </row>
        <row r="57">
          <cell r="B57">
            <v>150.19999999999999</v>
          </cell>
        </row>
        <row r="80">
          <cell r="B80">
            <v>30.3</v>
          </cell>
          <cell r="C80">
            <v>13.7</v>
          </cell>
        </row>
      </sheetData>
      <sheetData sheetId="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Other Profile Information"/>
    </sheetNames>
    <sheetDataSet>
      <sheetData sheetId="0">
        <row r="37">
          <cell r="B37">
            <v>2.7</v>
          </cell>
        </row>
        <row r="55">
          <cell r="B55">
            <v>155.69999999999999</v>
          </cell>
          <cell r="C55">
            <v>20.7</v>
          </cell>
        </row>
        <row r="57">
          <cell r="B57">
            <v>104.2</v>
          </cell>
        </row>
        <row r="80">
          <cell r="B80">
            <v>-16</v>
          </cell>
          <cell r="C80">
            <v>-11.7</v>
          </cell>
        </row>
      </sheetData>
      <sheetData sheetId="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Other Profile Information"/>
    </sheetNames>
    <sheetDataSet>
      <sheetData sheetId="0">
        <row r="37">
          <cell r="B37">
            <v>-3.1</v>
          </cell>
        </row>
        <row r="55">
          <cell r="B55">
            <v>156.30000000000001</v>
          </cell>
          <cell r="C55">
            <v>189.4</v>
          </cell>
        </row>
        <row r="57">
          <cell r="B57">
            <v>59.4</v>
          </cell>
        </row>
        <row r="80">
          <cell r="B80">
            <v>-11.6</v>
          </cell>
          <cell r="C80">
            <v>4.5</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Other Profile Information"/>
    </sheetNames>
    <sheetDataSet>
      <sheetData sheetId="0">
        <row r="37">
          <cell r="B37">
            <v>18.7</v>
          </cell>
        </row>
        <row r="55">
          <cell r="B55">
            <v>628.1</v>
          </cell>
          <cell r="C55">
            <v>612</v>
          </cell>
        </row>
        <row r="57">
          <cell r="B57">
            <v>145.30000000000001</v>
          </cell>
        </row>
        <row r="80">
          <cell r="B80">
            <v>2.1</v>
          </cell>
          <cell r="C80">
            <v>51.9</v>
          </cell>
        </row>
      </sheetData>
      <sheetData sheetId="1"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Other Profile Information"/>
    </sheetNames>
    <sheetDataSet>
      <sheetData sheetId="0">
        <row r="37">
          <cell r="B37">
            <v>-3.2</v>
          </cell>
        </row>
        <row r="55">
          <cell r="B55">
            <v>35.299999999999997</v>
          </cell>
          <cell r="C55">
            <v>13.6</v>
          </cell>
        </row>
        <row r="57">
          <cell r="B57">
            <v>17.3</v>
          </cell>
        </row>
        <row r="80">
          <cell r="B80">
            <v>-14.4</v>
          </cell>
          <cell r="C80">
            <v>-8.4</v>
          </cell>
        </row>
      </sheetData>
      <sheetData sheetId="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Other Profile Information"/>
    </sheetNames>
    <sheetDataSet>
      <sheetData sheetId="0">
        <row r="37">
          <cell r="B37">
            <v>3.4</v>
          </cell>
        </row>
        <row r="55">
          <cell r="B55">
            <v>61.3</v>
          </cell>
          <cell r="C55">
            <v>20</v>
          </cell>
        </row>
        <row r="57">
          <cell r="B57">
            <v>34.700000000000003</v>
          </cell>
        </row>
        <row r="80">
          <cell r="B80">
            <v>1.4</v>
          </cell>
          <cell r="C80">
            <v>-6.5</v>
          </cell>
        </row>
      </sheetData>
      <sheetData sheetId="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Other Profile Information"/>
    </sheetNames>
    <sheetDataSet>
      <sheetData sheetId="0">
        <row r="37">
          <cell r="B37">
            <v>40.299999999999997</v>
          </cell>
        </row>
        <row r="55">
          <cell r="B55">
            <v>571.1</v>
          </cell>
          <cell r="C55">
            <v>361.9</v>
          </cell>
        </row>
        <row r="57">
          <cell r="B57">
            <v>444</v>
          </cell>
        </row>
        <row r="80">
          <cell r="B80">
            <v>23.5</v>
          </cell>
          <cell r="C80">
            <v>20</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Other Profile Information"/>
    </sheetNames>
    <sheetDataSet>
      <sheetData sheetId="0">
        <row r="37">
          <cell r="B37">
            <v>26.3</v>
          </cell>
        </row>
        <row r="55">
          <cell r="B55">
            <v>534.6</v>
          </cell>
          <cell r="C55">
            <v>514.9</v>
          </cell>
        </row>
        <row r="57">
          <cell r="B57">
            <v>174.8</v>
          </cell>
        </row>
        <row r="80">
          <cell r="B80">
            <v>14.6</v>
          </cell>
          <cell r="C80">
            <v>43.6</v>
          </cell>
        </row>
      </sheetData>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Other Profile Information"/>
    </sheetNames>
    <sheetDataSet>
      <sheetData sheetId="0">
        <row r="37">
          <cell r="B37">
            <v>948.6</v>
          </cell>
        </row>
        <row r="55">
          <cell r="C55">
            <v>7660</v>
          </cell>
          <cell r="D55">
            <v>6600.8</v>
          </cell>
        </row>
        <row r="57">
          <cell r="C57">
            <v>1686.2</v>
          </cell>
        </row>
        <row r="80">
          <cell r="C80">
            <v>341.2</v>
          </cell>
          <cell r="D80">
            <v>260.39999999999998</v>
          </cell>
        </row>
      </sheetData>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Other Profile Information"/>
    </sheetNames>
    <sheetDataSet>
      <sheetData sheetId="0">
        <row r="37">
          <cell r="B37">
            <v>25.2</v>
          </cell>
        </row>
        <row r="55">
          <cell r="B55">
            <v>472</v>
          </cell>
          <cell r="C55">
            <v>467.8</v>
          </cell>
        </row>
        <row r="57">
          <cell r="B57">
            <v>164.2</v>
          </cell>
        </row>
        <row r="80">
          <cell r="B80">
            <v>16.7</v>
          </cell>
          <cell r="C80">
            <v>24</v>
          </cell>
        </row>
      </sheetData>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Other Profile Information"/>
    </sheetNames>
    <sheetDataSet>
      <sheetData sheetId="0">
        <row r="37">
          <cell r="B37">
            <v>-6.2</v>
          </cell>
        </row>
        <row r="55">
          <cell r="B55">
            <v>25.3</v>
          </cell>
          <cell r="C55">
            <v>9.1</v>
          </cell>
        </row>
        <row r="57">
          <cell r="B57">
            <v>16.600000000000001</v>
          </cell>
        </row>
        <row r="80">
          <cell r="B80">
            <v>-6.4</v>
          </cell>
          <cell r="C80">
            <v>0.8</v>
          </cell>
        </row>
      </sheetData>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Other Profile Information"/>
    </sheetNames>
    <sheetDataSet>
      <sheetData sheetId="0">
        <row r="37">
          <cell r="B37">
            <v>20.2</v>
          </cell>
        </row>
        <row r="55">
          <cell r="C55">
            <v>82.4</v>
          </cell>
          <cell r="D55">
            <v>58.4</v>
          </cell>
        </row>
        <row r="57">
          <cell r="C57">
            <v>40.1</v>
          </cell>
        </row>
        <row r="80">
          <cell r="C80">
            <v>9.8000000000000007</v>
          </cell>
          <cell r="D80">
            <v>6</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Other Profile Information"/>
    </sheetNames>
    <sheetDataSet>
      <sheetData sheetId="0">
        <row r="37">
          <cell r="B37">
            <v>6.3</v>
          </cell>
        </row>
        <row r="55">
          <cell r="B55">
            <v>187</v>
          </cell>
        </row>
        <row r="57">
          <cell r="B57">
            <v>92</v>
          </cell>
        </row>
        <row r="80">
          <cell r="B80">
            <v>-37.6</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Z46"/>
  <sheetViews>
    <sheetView tabSelected="1" workbookViewId="0">
      <pane xSplit="3" ySplit="6" topLeftCell="M7" activePane="bottomRight" state="frozen"/>
      <selection pane="topRight" activeCell="D1" sqref="D1"/>
      <selection pane="bottomLeft" activeCell="A7" sqref="A7"/>
      <selection pane="bottomRight" activeCell="M50" sqref="M50"/>
    </sheetView>
  </sheetViews>
  <sheetFormatPr defaultRowHeight="12.75" x14ac:dyDescent="0.2"/>
  <cols>
    <col min="1" max="1" width="30.140625" customWidth="1"/>
    <col min="2" max="2" width="8" hidden="1" customWidth="1"/>
    <col min="3" max="3" width="14.7109375" customWidth="1"/>
    <col min="4" max="4" width="11.140625" style="8" bestFit="1" customWidth="1"/>
    <col min="5" max="5" width="9.85546875" style="9" customWidth="1"/>
    <col min="6" max="6" width="8.7109375" style="9" customWidth="1"/>
    <col min="7" max="7" width="7" style="1" customWidth="1"/>
    <col min="8" max="8" width="12.7109375" style="1" customWidth="1"/>
    <col min="9" max="9" width="13" style="1" customWidth="1"/>
    <col min="10" max="10" width="14.140625" style="7" customWidth="1"/>
    <col min="11" max="12" width="10.28515625" style="2" customWidth="1"/>
    <col min="13" max="13" width="13.42578125" style="2" customWidth="1"/>
    <col min="14" max="14" width="9.28515625" style="3" hidden="1" customWidth="1"/>
    <col min="15" max="15" width="10" style="27" customWidth="1"/>
    <col min="16" max="16" width="12.42578125" style="2" customWidth="1"/>
    <col min="17" max="19" width="13.5703125" style="4" customWidth="1"/>
    <col min="20" max="20" width="19.7109375" bestFit="1" customWidth="1"/>
    <col min="21" max="21" width="46.42578125" style="32" hidden="1" customWidth="1"/>
    <col min="22" max="23" width="14.7109375" style="5" hidden="1" customWidth="1"/>
    <col min="24" max="24" width="3.5703125" style="6" hidden="1" customWidth="1"/>
    <col min="25" max="25" width="6.28515625" style="6" hidden="1" customWidth="1"/>
    <col min="26" max="26" width="7.5703125" hidden="1" customWidth="1"/>
  </cols>
  <sheetData>
    <row r="1" spans="1:26" ht="14.25" customHeight="1" x14ac:dyDescent="0.35">
      <c r="A1" s="39" t="s">
        <v>0</v>
      </c>
      <c r="B1" s="39"/>
      <c r="C1" s="39"/>
      <c r="D1" s="39"/>
      <c r="E1" s="39"/>
      <c r="F1" s="26"/>
      <c r="G1" s="26"/>
      <c r="H1" s="26"/>
      <c r="J1" s="33"/>
      <c r="K1" s="34"/>
      <c r="L1" s="35"/>
      <c r="M1" s="36"/>
    </row>
    <row r="2" spans="1:26" ht="12.75" customHeight="1" x14ac:dyDescent="0.35">
      <c r="A2" s="39"/>
      <c r="B2" s="39"/>
      <c r="C2" s="39"/>
      <c r="D2" s="39"/>
      <c r="E2" s="39"/>
      <c r="F2" s="26"/>
      <c r="G2" s="26"/>
      <c r="H2" s="26"/>
      <c r="J2" s="37"/>
      <c r="K2" s="38"/>
      <c r="L2" s="35"/>
      <c r="M2" s="35"/>
    </row>
    <row r="3" spans="1:26" x14ac:dyDescent="0.2">
      <c r="A3" s="39"/>
      <c r="B3" s="39"/>
      <c r="C3" s="39"/>
      <c r="D3" s="39"/>
      <c r="E3" s="39"/>
    </row>
    <row r="4" spans="1:26" x14ac:dyDescent="0.2">
      <c r="H4" s="10" t="s">
        <v>1</v>
      </c>
    </row>
    <row r="5" spans="1:26" ht="6" customHeight="1" x14ac:dyDescent="0.35">
      <c r="A5" s="11"/>
      <c r="B5" s="11"/>
      <c r="C5" s="11"/>
      <c r="D5" s="12"/>
      <c r="E5" s="13"/>
      <c r="F5" s="13"/>
    </row>
    <row r="6" spans="1:26" s="6" customFormat="1" ht="38.25" x14ac:dyDescent="0.2">
      <c r="A6" s="14" t="s">
        <v>2</v>
      </c>
      <c r="B6" s="14" t="s">
        <v>3</v>
      </c>
      <c r="C6" s="14" t="s">
        <v>4</v>
      </c>
      <c r="D6" s="15" t="s">
        <v>173</v>
      </c>
      <c r="E6" s="16" t="s">
        <v>5</v>
      </c>
      <c r="F6" s="17" t="s">
        <v>6</v>
      </c>
      <c r="G6" s="14" t="s">
        <v>6</v>
      </c>
      <c r="H6" s="18" t="s">
        <v>168</v>
      </c>
      <c r="I6" s="18" t="s">
        <v>167</v>
      </c>
      <c r="J6" s="19" t="s">
        <v>146</v>
      </c>
      <c r="K6" s="15" t="s">
        <v>166</v>
      </c>
      <c r="L6" s="15" t="s">
        <v>165</v>
      </c>
      <c r="M6" s="15" t="s">
        <v>164</v>
      </c>
      <c r="N6" s="20" t="s">
        <v>7</v>
      </c>
      <c r="O6" s="28" t="s">
        <v>175</v>
      </c>
      <c r="P6" s="15" t="s">
        <v>176</v>
      </c>
      <c r="Q6" s="21" t="s">
        <v>9</v>
      </c>
      <c r="R6" s="30" t="s">
        <v>163</v>
      </c>
      <c r="S6" s="30" t="s">
        <v>174</v>
      </c>
      <c r="T6" s="14" t="s">
        <v>8</v>
      </c>
      <c r="U6" s="14" t="s">
        <v>10</v>
      </c>
      <c r="V6" s="18" t="s">
        <v>11</v>
      </c>
      <c r="W6" s="18" t="s">
        <v>12</v>
      </c>
      <c r="X6" s="6" t="s">
        <v>13</v>
      </c>
      <c r="Y6" s="6" t="s">
        <v>14</v>
      </c>
      <c r="Z6" s="6" t="s">
        <v>15</v>
      </c>
    </row>
    <row r="7" spans="1:26" x14ac:dyDescent="0.2">
      <c r="A7" t="s">
        <v>16</v>
      </c>
      <c r="B7" t="s">
        <v>17</v>
      </c>
      <c r="C7" t="s">
        <v>18</v>
      </c>
      <c r="D7" s="8">
        <v>6.125</v>
      </c>
      <c r="E7" s="9">
        <f>-0.4</f>
        <v>-0.4</v>
      </c>
      <c r="F7" s="9">
        <f>D7/E7</f>
        <v>-15.3125</v>
      </c>
      <c r="G7" s="1" t="str">
        <f>IF(F7&gt;=0,F7,"N/A")</f>
        <v>N/A</v>
      </c>
      <c r="H7" s="2">
        <f>[1]Financials!$B$55</f>
        <v>87.8</v>
      </c>
      <c r="I7" s="2">
        <f>[1]Financials!$C$55</f>
        <v>26.5</v>
      </c>
      <c r="J7" s="22">
        <f>(H7-I7)/I7</f>
        <v>2.313207547169811</v>
      </c>
      <c r="K7" s="2">
        <f>[1]Financials!$B$57</f>
        <v>42.2</v>
      </c>
      <c r="L7" s="2">
        <f>[1]Financials!$B$80</f>
        <v>-12.9</v>
      </c>
      <c r="M7" s="2">
        <f>[1]Financials!$C$80</f>
        <v>-2.5</v>
      </c>
      <c r="N7" s="7">
        <f>(L7-M7)/M7</f>
        <v>4.16</v>
      </c>
      <c r="O7" s="27">
        <f>[1]Financials!$B$37</f>
        <v>0.6</v>
      </c>
      <c r="P7" s="2">
        <v>218.1</v>
      </c>
      <c r="Q7" s="4">
        <v>1100</v>
      </c>
      <c r="R7" s="29">
        <f>H7/Q7*1000000</f>
        <v>79818.181818181809</v>
      </c>
      <c r="S7" s="29">
        <f>P7/Q7*1000000</f>
        <v>198272.72727272726</v>
      </c>
      <c r="T7" t="s">
        <v>19</v>
      </c>
      <c r="U7" s="32" t="s">
        <v>157</v>
      </c>
    </row>
    <row r="8" spans="1:26" x14ac:dyDescent="0.2">
      <c r="A8" t="s">
        <v>20</v>
      </c>
      <c r="B8" t="s">
        <v>21</v>
      </c>
      <c r="C8" t="s">
        <v>22</v>
      </c>
      <c r="D8" s="8">
        <v>8.375</v>
      </c>
      <c r="E8" s="9">
        <v>0.38</v>
      </c>
      <c r="F8" s="9">
        <f>D8/E8</f>
        <v>22.039473684210527</v>
      </c>
      <c r="G8" s="23">
        <f>IF(F8&gt;=0,F8,"N/A")</f>
        <v>22.039473684210527</v>
      </c>
      <c r="H8" s="2">
        <f>[2]Financials!$B$55</f>
        <v>260.5</v>
      </c>
      <c r="I8" s="2">
        <f>[2]Financials!$C$55</f>
        <v>102.7</v>
      </c>
      <c r="J8" s="22">
        <f>(H8-I8)/I8</f>
        <v>1.5365141187925999</v>
      </c>
      <c r="K8" s="2">
        <f>[2]Financials!$B$57</f>
        <v>116.4</v>
      </c>
      <c r="L8" s="2">
        <f>[2]Financials!$B$80</f>
        <v>3.2</v>
      </c>
      <c r="M8" s="2">
        <f>[2]Financials!$C$80</f>
        <v>-28.9</v>
      </c>
      <c r="N8" s="24">
        <f>(L8-M8)/M8</f>
        <v>-1.1107266435986161</v>
      </c>
      <c r="O8" s="27">
        <f>[2]Financials!$B$37</f>
        <v>13.6</v>
      </c>
      <c r="P8" s="2">
        <v>369.8</v>
      </c>
      <c r="Q8" s="4">
        <v>1650</v>
      </c>
      <c r="R8" s="29">
        <f>H8/Q8*1000000</f>
        <v>157878.78787878787</v>
      </c>
      <c r="S8" s="29">
        <f>P8/Q8*1000000</f>
        <v>224121.21212121213</v>
      </c>
      <c r="T8" t="s">
        <v>23</v>
      </c>
      <c r="U8" s="32" t="s">
        <v>143</v>
      </c>
    </row>
    <row r="9" spans="1:26" x14ac:dyDescent="0.2">
      <c r="A9" t="s">
        <v>170</v>
      </c>
      <c r="B9" t="s">
        <v>24</v>
      </c>
      <c r="C9" s="25" t="s">
        <v>25</v>
      </c>
      <c r="G9" s="23">
        <f t="shared" ref="G9:G43" si="0">IF(F9&gt;=0,F9,"N/A")</f>
        <v>0</v>
      </c>
      <c r="H9" s="2"/>
      <c r="I9" s="2"/>
      <c r="J9" s="22"/>
      <c r="N9" s="7"/>
      <c r="Q9" s="4">
        <v>150</v>
      </c>
      <c r="R9" s="29"/>
      <c r="S9" s="29">
        <f>P9/Q9*1000000</f>
        <v>0</v>
      </c>
      <c r="T9" t="s">
        <v>171</v>
      </c>
      <c r="U9" s="32" t="s">
        <v>144</v>
      </c>
    </row>
    <row r="10" spans="1:26" x14ac:dyDescent="0.2">
      <c r="A10" t="s">
        <v>26</v>
      </c>
      <c r="B10" t="s">
        <v>27</v>
      </c>
      <c r="C10" t="s">
        <v>28</v>
      </c>
      <c r="D10" s="8">
        <v>2.75</v>
      </c>
      <c r="E10" s="9">
        <f>-0.36</f>
        <v>-0.36</v>
      </c>
      <c r="F10" s="9">
        <f>D10/E10</f>
        <v>-7.6388888888888893</v>
      </c>
      <c r="G10" s="23" t="str">
        <f t="shared" si="0"/>
        <v>N/A</v>
      </c>
      <c r="H10" s="2">
        <f>[3]Financials!$B$55</f>
        <v>628.1</v>
      </c>
      <c r="I10" s="2">
        <f>[3]Financials!$C$55</f>
        <v>612</v>
      </c>
      <c r="J10" s="22">
        <f>(H10-I10)/I10</f>
        <v>2.6307189542483699E-2</v>
      </c>
      <c r="K10" s="2">
        <f>[3]Financials!$B$57</f>
        <v>145.30000000000001</v>
      </c>
      <c r="L10" s="2">
        <f>[3]Financials!$B$80</f>
        <v>2.1</v>
      </c>
      <c r="M10" s="2">
        <f>[3]Financials!$C$80</f>
        <v>51.9</v>
      </c>
      <c r="N10" s="7">
        <f>(L10-M10)/M10</f>
        <v>-0.95953757225433522</v>
      </c>
      <c r="O10" s="27">
        <f>[3]Financials!$B$37</f>
        <v>18.7</v>
      </c>
      <c r="P10" s="2">
        <v>173.5</v>
      </c>
      <c r="Q10" s="4">
        <v>4200</v>
      </c>
      <c r="R10" s="29">
        <f t="shared" ref="R10:R35" si="1">H10/Q10*1000000</f>
        <v>149547.61904761905</v>
      </c>
      <c r="S10" s="29">
        <f t="shared" ref="S10:S28" si="2">P10/Q10*1000000</f>
        <v>41309.523809523809</v>
      </c>
      <c r="T10" t="s">
        <v>29</v>
      </c>
      <c r="U10" s="32" t="s">
        <v>145</v>
      </c>
    </row>
    <row r="11" spans="1:26" x14ac:dyDescent="0.2">
      <c r="A11" t="s">
        <v>30</v>
      </c>
      <c r="B11" t="s">
        <v>31</v>
      </c>
      <c r="C11" t="s">
        <v>32</v>
      </c>
      <c r="D11" s="8">
        <v>0.93799999999999994</v>
      </c>
      <c r="E11" s="9">
        <v>-0.83</v>
      </c>
      <c r="F11" s="9">
        <f>D11/E11</f>
        <v>-1.1301204819277109</v>
      </c>
      <c r="G11" s="23" t="str">
        <f t="shared" si="0"/>
        <v>N/A</v>
      </c>
      <c r="H11" s="2">
        <v>35.72</v>
      </c>
      <c r="I11" s="2">
        <v>13.51</v>
      </c>
      <c r="J11" s="22">
        <f>(H11-I11)/I11</f>
        <v>1.6439674315321984</v>
      </c>
      <c r="K11" s="2">
        <v>-17.600000000000001</v>
      </c>
      <c r="L11" s="2">
        <v>-14.39</v>
      </c>
      <c r="M11" s="31">
        <v>-2E-3</v>
      </c>
      <c r="N11" s="7">
        <f>(L11-M11)/M11</f>
        <v>7194</v>
      </c>
      <c r="O11" s="27">
        <f>L11+4.82</f>
        <v>-9.57</v>
      </c>
      <c r="P11" s="2">
        <v>21.3</v>
      </c>
      <c r="Q11" s="4">
        <v>550</v>
      </c>
      <c r="R11" s="29">
        <f t="shared" si="1"/>
        <v>64945.454545454544</v>
      </c>
      <c r="S11" s="29">
        <f t="shared" si="2"/>
        <v>38727.272727272728</v>
      </c>
      <c r="T11" t="s">
        <v>33</v>
      </c>
    </row>
    <row r="12" spans="1:26" x14ac:dyDescent="0.2">
      <c r="A12" t="s">
        <v>34</v>
      </c>
      <c r="B12" t="s">
        <v>35</v>
      </c>
      <c r="C12" t="s">
        <v>36</v>
      </c>
      <c r="D12" s="8">
        <v>4</v>
      </c>
      <c r="E12" s="9">
        <v>-0.27</v>
      </c>
      <c r="F12" s="9">
        <f>D12/E12</f>
        <v>-14.814814814814813</v>
      </c>
      <c r="G12" s="23" t="str">
        <f t="shared" si="0"/>
        <v>N/A</v>
      </c>
      <c r="H12" s="2">
        <f>[4]Financials!$B$55</f>
        <v>534.6</v>
      </c>
      <c r="I12" s="2">
        <f>[4]Financials!$C$55</f>
        <v>514.9</v>
      </c>
      <c r="J12" s="22">
        <f>(H12-I12)/I12</f>
        <v>3.8259856282773445E-2</v>
      </c>
      <c r="K12" s="2">
        <f>[4]Financials!$B$57</f>
        <v>174.8</v>
      </c>
      <c r="L12" s="2">
        <f>[4]Financials!$B$80</f>
        <v>14.6</v>
      </c>
      <c r="M12" s="2">
        <f>[4]Financials!$C$80</f>
        <v>43.6</v>
      </c>
      <c r="N12" s="7">
        <f>(L12-M12)/M12</f>
        <v>-0.66513761467889909</v>
      </c>
      <c r="O12" s="27">
        <f>[4]Financials!$B$37</f>
        <v>26.3</v>
      </c>
      <c r="P12" s="2">
        <v>126.6</v>
      </c>
      <c r="Q12" s="4">
        <v>4149</v>
      </c>
      <c r="R12" s="29">
        <f t="shared" si="1"/>
        <v>128850.32537960955</v>
      </c>
      <c r="S12" s="29">
        <f t="shared" si="2"/>
        <v>30513.37671728127</v>
      </c>
      <c r="T12" t="s">
        <v>37</v>
      </c>
    </row>
    <row r="13" spans="1:26" x14ac:dyDescent="0.2">
      <c r="A13" t="s">
        <v>38</v>
      </c>
      <c r="B13" t="s">
        <v>39</v>
      </c>
      <c r="C13" t="s">
        <v>40</v>
      </c>
      <c r="D13" s="8">
        <v>74.063000000000002</v>
      </c>
      <c r="E13" s="9">
        <v>2.52</v>
      </c>
      <c r="F13" s="9">
        <f>D13/E13</f>
        <v>29.390079365079366</v>
      </c>
      <c r="G13" s="23">
        <f t="shared" si="0"/>
        <v>29.390079365079366</v>
      </c>
      <c r="H13" s="2">
        <f>[5]Financials!$C$55</f>
        <v>7660</v>
      </c>
      <c r="I13" s="2">
        <f>[5]Financials!$D$55</f>
        <v>6600.8</v>
      </c>
      <c r="J13" s="22">
        <f>(H13-I13)/I13</f>
        <v>0.16046539813355953</v>
      </c>
      <c r="K13" s="2">
        <f>[5]Financials!$C$57</f>
        <v>1686.2</v>
      </c>
      <c r="L13" s="2">
        <f>[5]Financials!$C$80</f>
        <v>341.2</v>
      </c>
      <c r="M13" s="2">
        <f>[5]Financials!$D$80</f>
        <v>260.39999999999998</v>
      </c>
      <c r="N13" s="7">
        <f>(L13-M13)/M13</f>
        <v>0.31029185867895553</v>
      </c>
      <c r="O13" s="27">
        <f>[5]Financials!$B$37</f>
        <v>948.6</v>
      </c>
      <c r="P13" s="2">
        <v>12500</v>
      </c>
      <c r="Q13" s="4">
        <v>58000</v>
      </c>
      <c r="R13" s="29">
        <f t="shared" si="1"/>
        <v>132068.96551724136</v>
      </c>
      <c r="S13" s="29">
        <f t="shared" si="2"/>
        <v>215517.24137931032</v>
      </c>
      <c r="T13" t="s">
        <v>41</v>
      </c>
    </row>
    <row r="14" spans="1:26" x14ac:dyDescent="0.2">
      <c r="A14" t="s">
        <v>42</v>
      </c>
      <c r="B14" t="s">
        <v>43</v>
      </c>
      <c r="C14" t="s">
        <v>44</v>
      </c>
      <c r="D14" s="8">
        <v>3.75</v>
      </c>
      <c r="E14" s="9">
        <v>-0.23</v>
      </c>
      <c r="F14" s="9">
        <f>D14/E14</f>
        <v>-16.304347826086957</v>
      </c>
      <c r="G14" s="23" t="str">
        <f t="shared" si="0"/>
        <v>N/A</v>
      </c>
      <c r="H14" s="2">
        <f>[6]Financials!$B$55</f>
        <v>472</v>
      </c>
      <c r="I14" s="2">
        <f>[6]Financials!$C$55</f>
        <v>467.8</v>
      </c>
      <c r="J14" s="22">
        <f>(H14-I14)/I14</f>
        <v>8.9781958101752633E-3</v>
      </c>
      <c r="K14" s="2">
        <f>[6]Financials!$B$57</f>
        <v>164.2</v>
      </c>
      <c r="L14" s="2">
        <f>[6]Financials!$B$80</f>
        <v>16.7</v>
      </c>
      <c r="M14" s="2">
        <f>[6]Financials!$C$80</f>
        <v>24</v>
      </c>
      <c r="N14" s="7">
        <f t="shared" ref="N14:N43" si="3">(L14-M14)/M14</f>
        <v>-0.3041666666666667</v>
      </c>
      <c r="O14" s="27">
        <f>[6]Financials!$B$37</f>
        <v>25.2</v>
      </c>
      <c r="P14" s="2">
        <v>78.3</v>
      </c>
      <c r="Q14" s="4">
        <v>5200</v>
      </c>
      <c r="R14" s="29">
        <f t="shared" si="1"/>
        <v>90769.230769230766</v>
      </c>
      <c r="S14" s="29">
        <f t="shared" si="2"/>
        <v>15057.692307692307</v>
      </c>
      <c r="T14" t="s">
        <v>45</v>
      </c>
    </row>
    <row r="15" spans="1:26" x14ac:dyDescent="0.2">
      <c r="A15" t="s">
        <v>46</v>
      </c>
      <c r="B15" t="s">
        <v>47</v>
      </c>
      <c r="C15" t="s">
        <v>48</v>
      </c>
      <c r="D15" s="8">
        <v>7.375</v>
      </c>
      <c r="E15" s="9">
        <v>0.1</v>
      </c>
      <c r="F15" s="9">
        <f t="shared" ref="F15:F38" si="4">D15/E15</f>
        <v>73.75</v>
      </c>
      <c r="G15" s="23">
        <f t="shared" si="0"/>
        <v>73.75</v>
      </c>
      <c r="H15" s="2">
        <f>[7]Financials!$B$55</f>
        <v>25.3</v>
      </c>
      <c r="I15" s="2">
        <f>[7]Financials!$C$55</f>
        <v>9.1</v>
      </c>
      <c r="J15" s="22">
        <f t="shared" ref="J15:J43" si="5">(H15-I15)/I15</f>
        <v>1.7802197802197806</v>
      </c>
      <c r="K15" s="2">
        <f>[7]Financials!$B$57</f>
        <v>16.600000000000001</v>
      </c>
      <c r="L15" s="2">
        <f>[7]Financials!$B$80</f>
        <v>-6.4</v>
      </c>
      <c r="M15" s="2">
        <f>[7]Financials!$C$80</f>
        <v>0.8</v>
      </c>
      <c r="N15" s="7">
        <f t="shared" si="3"/>
        <v>-9</v>
      </c>
      <c r="O15" s="27">
        <f>[7]Financials!$B$37</f>
        <v>-6.2</v>
      </c>
      <c r="P15" s="2">
        <v>206.4</v>
      </c>
      <c r="Q15" s="4">
        <v>183</v>
      </c>
      <c r="R15" s="29">
        <f t="shared" si="1"/>
        <v>138251.36612021856</v>
      </c>
      <c r="S15" s="29">
        <f t="shared" si="2"/>
        <v>1127868.8524590163</v>
      </c>
      <c r="T15" t="s">
        <v>49</v>
      </c>
    </row>
    <row r="16" spans="1:26" x14ac:dyDescent="0.2">
      <c r="A16" t="s">
        <v>50</v>
      </c>
      <c r="B16" t="s">
        <v>51</v>
      </c>
      <c r="C16" t="s">
        <v>52</v>
      </c>
      <c r="D16" s="8">
        <v>34.81</v>
      </c>
      <c r="E16" s="9">
        <v>0.87</v>
      </c>
      <c r="F16" s="9">
        <f>D16/E16</f>
        <v>40.011494252873568</v>
      </c>
      <c r="G16" s="23">
        <f t="shared" si="0"/>
        <v>40.011494252873568</v>
      </c>
      <c r="H16" s="2">
        <f>[8]Financials!$C$55</f>
        <v>82.4</v>
      </c>
      <c r="I16" s="2">
        <f>[8]Financials!$D$55</f>
        <v>58.4</v>
      </c>
      <c r="J16" s="22">
        <f t="shared" si="5"/>
        <v>0.41095890410958918</v>
      </c>
      <c r="K16" s="2">
        <f>[8]Financials!$C$57</f>
        <v>40.1</v>
      </c>
      <c r="L16" s="2">
        <f>[8]Financials!$C$80</f>
        <v>9.8000000000000007</v>
      </c>
      <c r="M16" s="2">
        <f>[8]Financials!$D$80</f>
        <v>6</v>
      </c>
      <c r="N16" s="2">
        <f>[8]Financials!$D$80</f>
        <v>6</v>
      </c>
      <c r="O16" s="27">
        <f>[8]Financials!$B$37</f>
        <v>20.2</v>
      </c>
      <c r="P16" s="2">
        <v>863</v>
      </c>
      <c r="Q16" s="4">
        <v>576</v>
      </c>
      <c r="R16" s="29">
        <f t="shared" si="1"/>
        <v>143055.55555555556</v>
      </c>
      <c r="S16" s="29">
        <f t="shared" si="2"/>
        <v>1498263.8888888888</v>
      </c>
      <c r="T16" t="s">
        <v>53</v>
      </c>
      <c r="U16" s="32" t="s">
        <v>156</v>
      </c>
    </row>
    <row r="17" spans="1:26" x14ac:dyDescent="0.2">
      <c r="A17" t="s">
        <v>54</v>
      </c>
      <c r="B17" t="s">
        <v>55</v>
      </c>
      <c r="C17" t="s">
        <v>56</v>
      </c>
      <c r="D17" s="8">
        <v>6</v>
      </c>
      <c r="E17" s="9">
        <v>-0.55000000000000004</v>
      </c>
      <c r="F17" s="9">
        <f t="shared" si="4"/>
        <v>-10.909090909090908</v>
      </c>
      <c r="G17" s="23" t="str">
        <f t="shared" si="0"/>
        <v>N/A</v>
      </c>
      <c r="H17" s="2">
        <f>[9]Financials!$B$55</f>
        <v>187</v>
      </c>
      <c r="I17" s="2" t="s">
        <v>57</v>
      </c>
      <c r="J17" s="22"/>
      <c r="K17" s="2">
        <f>[9]Financials!$B$57</f>
        <v>92</v>
      </c>
      <c r="L17" s="2">
        <f>[9]Financials!$B$80</f>
        <v>-37.6</v>
      </c>
      <c r="M17" s="2" t="s">
        <v>57</v>
      </c>
      <c r="N17" s="7"/>
      <c r="O17" s="27">
        <f>[9]Financials!$B$37</f>
        <v>6.3</v>
      </c>
      <c r="P17" s="2">
        <v>345.6</v>
      </c>
      <c r="Q17" s="4">
        <v>1240</v>
      </c>
      <c r="R17" s="29">
        <f t="shared" si="1"/>
        <v>150806.45161290324</v>
      </c>
      <c r="S17" s="29">
        <f t="shared" si="2"/>
        <v>278709.67741935485</v>
      </c>
      <c r="T17" t="s">
        <v>58</v>
      </c>
    </row>
    <row r="18" spans="1:26" x14ac:dyDescent="0.2">
      <c r="A18" t="s">
        <v>59</v>
      </c>
      <c r="B18" t="s">
        <v>60</v>
      </c>
      <c r="C18" t="s">
        <v>59</v>
      </c>
      <c r="D18" s="8">
        <v>51.18</v>
      </c>
      <c r="E18" s="9">
        <v>1.82</v>
      </c>
      <c r="F18" s="9">
        <f t="shared" si="4"/>
        <v>28.12087912087912</v>
      </c>
      <c r="G18" s="23">
        <f t="shared" si="0"/>
        <v>28.12087912087912</v>
      </c>
      <c r="H18" s="2">
        <f>[10]Financials!$B$55</f>
        <v>18534.2</v>
      </c>
      <c r="I18" s="2">
        <f>[10]Financials!$C$55</f>
        <v>16891</v>
      </c>
      <c r="J18" s="22">
        <f t="shared" si="5"/>
        <v>9.7282576520040298E-2</v>
      </c>
      <c r="K18" s="2">
        <f>[10]Financials!$B$57</f>
        <v>4799.3999999999996</v>
      </c>
      <c r="L18" s="2">
        <f>[10]Financials!$B$80</f>
        <v>420.9</v>
      </c>
      <c r="M18" s="2">
        <f>[10]Financials!$C$80</f>
        <v>743.4</v>
      </c>
      <c r="N18" s="7">
        <f t="shared" si="3"/>
        <v>-0.43381759483454402</v>
      </c>
      <c r="O18" s="27">
        <f>[10]Financials!$B$37</f>
        <v>1856.7</v>
      </c>
      <c r="P18" s="2">
        <v>23900</v>
      </c>
      <c r="Q18" s="4">
        <v>121000</v>
      </c>
      <c r="R18" s="29">
        <f t="shared" si="1"/>
        <v>153175.20661157023</v>
      </c>
      <c r="S18" s="29">
        <f t="shared" si="2"/>
        <v>197520.66115702479</v>
      </c>
      <c r="T18" t="s">
        <v>61</v>
      </c>
    </row>
    <row r="19" spans="1:26" x14ac:dyDescent="0.2">
      <c r="A19" t="s">
        <v>177</v>
      </c>
      <c r="C19" t="s">
        <v>178</v>
      </c>
      <c r="D19" s="8">
        <v>113.188</v>
      </c>
      <c r="E19" s="9">
        <v>-5.33</v>
      </c>
      <c r="F19" s="9">
        <f>D19/E19</f>
        <v>-21.236022514071294</v>
      </c>
      <c r="G19" s="23" t="str">
        <f t="shared" si="0"/>
        <v>N/A</v>
      </c>
      <c r="H19" s="2">
        <f>[32]Financials!$B$55</f>
        <v>571.1</v>
      </c>
      <c r="I19" s="2">
        <f>[32]Financials!$C$55</f>
        <v>361.9</v>
      </c>
      <c r="J19" s="22">
        <f t="shared" si="5"/>
        <v>0.57806023763470593</v>
      </c>
      <c r="K19" s="2">
        <f>[32]Financials!$B$57</f>
        <v>444</v>
      </c>
      <c r="L19" s="2">
        <f>[32]Financials!$B$80</f>
        <v>23.5</v>
      </c>
      <c r="M19" s="2">
        <f>[32]Financials!$C$80</f>
        <v>20</v>
      </c>
      <c r="O19" s="2">
        <f>[32]Financials!$B$37</f>
        <v>40.299999999999997</v>
      </c>
      <c r="P19" s="2">
        <v>22800</v>
      </c>
      <c r="Q19" s="4">
        <v>2800</v>
      </c>
      <c r="R19" s="29">
        <f t="shared" si="1"/>
        <v>203964.28571428571</v>
      </c>
      <c r="S19" s="29">
        <f>P19/Q19*1000000</f>
        <v>8142857.1428571427</v>
      </c>
      <c r="T19" t="s">
        <v>86</v>
      </c>
    </row>
    <row r="20" spans="1:26" x14ac:dyDescent="0.2">
      <c r="A20" t="s">
        <v>62</v>
      </c>
      <c r="B20" t="s">
        <v>63</v>
      </c>
      <c r="C20" t="s">
        <v>64</v>
      </c>
      <c r="D20" s="8">
        <v>4.3129999999999997</v>
      </c>
      <c r="E20" s="9">
        <v>0.14000000000000001</v>
      </c>
      <c r="F20" s="9">
        <f>D20/E20</f>
        <v>30.807142857142853</v>
      </c>
      <c r="G20" s="23">
        <f t="shared" si="0"/>
        <v>30.807142857142853</v>
      </c>
      <c r="H20" s="2">
        <f>[11]Financials!$B$55</f>
        <v>471.5</v>
      </c>
      <c r="I20" s="2">
        <f>[11]Financials!$C$55</f>
        <v>390.9</v>
      </c>
      <c r="J20" s="22">
        <f t="shared" si="5"/>
        <v>0.20619084164748025</v>
      </c>
      <c r="K20" s="2">
        <f>[11]Financials!$B$57</f>
        <v>154.69999999999999</v>
      </c>
      <c r="L20" s="2">
        <f>[11]Financials!$B$80</f>
        <v>36.200000000000003</v>
      </c>
      <c r="M20" s="2">
        <f>[11]Financials!$C$80</f>
        <v>33.4</v>
      </c>
      <c r="N20" s="7">
        <f t="shared" si="3"/>
        <v>8.3832335329341451E-2</v>
      </c>
      <c r="O20" s="27">
        <f>[11]Financials!$B$37</f>
        <v>44.1</v>
      </c>
      <c r="P20" s="2">
        <v>217.2</v>
      </c>
      <c r="Q20" s="4">
        <v>5400</v>
      </c>
      <c r="R20" s="29">
        <f t="shared" si="1"/>
        <v>87314.814814814818</v>
      </c>
      <c r="S20" s="29">
        <f t="shared" si="2"/>
        <v>40222.222222222219</v>
      </c>
      <c r="T20" t="s">
        <v>65</v>
      </c>
    </row>
    <row r="21" spans="1:26" x14ac:dyDescent="0.2">
      <c r="A21" t="s">
        <v>66</v>
      </c>
      <c r="B21" t="s">
        <v>67</v>
      </c>
      <c r="C21" t="s">
        <v>68</v>
      </c>
      <c r="D21" s="8">
        <v>1.0629999999999999</v>
      </c>
      <c r="E21" s="9">
        <f>-2.06</f>
        <v>-2.06</v>
      </c>
      <c r="F21" s="9">
        <f t="shared" si="4"/>
        <v>-0.5160194174757281</v>
      </c>
      <c r="G21" s="23" t="str">
        <f t="shared" si="0"/>
        <v>N/A</v>
      </c>
      <c r="H21" s="2">
        <f>[12]Financials!$B$55</f>
        <v>218.3</v>
      </c>
      <c r="I21" s="2">
        <f>[12]Financials!$C$55</f>
        <v>64.8</v>
      </c>
      <c r="J21" s="22">
        <f t="shared" si="5"/>
        <v>2.3688271604938271</v>
      </c>
      <c r="K21" s="2">
        <f>[12]Financials!$B$57</f>
        <v>92.6</v>
      </c>
      <c r="L21" s="2">
        <f>[12]Financials!$B$80</f>
        <v>-91.2</v>
      </c>
      <c r="M21" s="2">
        <f>[12]Financials!$C$80</f>
        <v>-58</v>
      </c>
      <c r="N21" s="7">
        <f t="shared" si="3"/>
        <v>0.57241379310344831</v>
      </c>
      <c r="O21" s="27">
        <f>[12]Financials!$B$37</f>
        <v>-60.2</v>
      </c>
      <c r="P21" s="2">
        <v>80.5</v>
      </c>
      <c r="Q21" s="4">
        <v>2399</v>
      </c>
      <c r="R21" s="29">
        <f t="shared" si="1"/>
        <v>90996.248436848691</v>
      </c>
      <c r="S21" s="29">
        <f t="shared" si="2"/>
        <v>33555.648186744475</v>
      </c>
      <c r="T21" t="s">
        <v>69</v>
      </c>
      <c r="U21" s="32" t="s">
        <v>160</v>
      </c>
      <c r="X21" s="6" t="s">
        <v>70</v>
      </c>
      <c r="Y21" s="6" t="s">
        <v>70</v>
      </c>
      <c r="Z21" s="6" t="s">
        <v>70</v>
      </c>
    </row>
    <row r="22" spans="1:26" x14ac:dyDescent="0.2">
      <c r="A22" t="s">
        <v>169</v>
      </c>
      <c r="B22" t="s">
        <v>71</v>
      </c>
      <c r="C22" t="s">
        <v>72</v>
      </c>
      <c r="D22" s="8">
        <v>1.625</v>
      </c>
      <c r="E22" s="9">
        <v>-0.2</v>
      </c>
      <c r="F22" s="9">
        <f t="shared" si="4"/>
        <v>-8.125</v>
      </c>
      <c r="G22" s="23" t="str">
        <f t="shared" si="0"/>
        <v>N/A</v>
      </c>
      <c r="H22" s="2">
        <f>[13]Financials!$B$55</f>
        <v>5.9</v>
      </c>
      <c r="I22" s="2">
        <f>[13]Financials!$C$55</f>
        <v>6.4</v>
      </c>
      <c r="J22" s="22">
        <f t="shared" si="5"/>
        <v>-7.8125E-2</v>
      </c>
      <c r="K22" s="2">
        <f>[13]Financials!$B$57</f>
        <v>1.5</v>
      </c>
      <c r="L22" s="2">
        <f>[13]Financials!$B$80</f>
        <v>0.7</v>
      </c>
      <c r="M22" s="2">
        <f>[13]Financials!$C$80</f>
        <v>-1.7</v>
      </c>
      <c r="N22" s="7">
        <f t="shared" si="3"/>
        <v>-1.411764705882353</v>
      </c>
      <c r="O22" s="27">
        <f>[13]Financials!$B$37</f>
        <v>1.1000000000000001</v>
      </c>
      <c r="P22" s="2">
        <v>5.62</v>
      </c>
      <c r="Q22" s="4">
        <v>60</v>
      </c>
      <c r="R22" s="29">
        <f t="shared" si="1"/>
        <v>98333.333333333343</v>
      </c>
      <c r="S22" s="29">
        <f t="shared" si="2"/>
        <v>93666.666666666657</v>
      </c>
      <c r="T22" t="s">
        <v>19</v>
      </c>
      <c r="U22" s="32" t="s">
        <v>73</v>
      </c>
    </row>
    <row r="23" spans="1:26" x14ac:dyDescent="0.2">
      <c r="A23" t="s">
        <v>74</v>
      </c>
      <c r="B23" t="s">
        <v>75</v>
      </c>
      <c r="C23" t="s">
        <v>76</v>
      </c>
      <c r="D23" s="8">
        <v>12.39</v>
      </c>
      <c r="E23" s="9">
        <v>0.26</v>
      </c>
      <c r="F23" s="9">
        <f t="shared" si="4"/>
        <v>47.653846153846153</v>
      </c>
      <c r="G23" s="23">
        <f t="shared" si="0"/>
        <v>47.653846153846153</v>
      </c>
      <c r="H23" s="2">
        <f>[14]Financials!$B$55</f>
        <v>1041.0999999999999</v>
      </c>
      <c r="I23" s="2">
        <f>[14]Financials!$C$55</f>
        <v>1076.2</v>
      </c>
      <c r="J23" s="22">
        <f t="shared" si="5"/>
        <v>-3.261475562163179E-2</v>
      </c>
      <c r="K23" s="2">
        <f>[14]Financials!$B$57</f>
        <v>360.7</v>
      </c>
      <c r="L23" s="2">
        <f>[14]Financials!$B$80</f>
        <v>73.099999999999994</v>
      </c>
      <c r="M23" s="2">
        <f>[14]Financials!$C$80</f>
        <v>96.3</v>
      </c>
      <c r="N23" s="7">
        <f t="shared" si="3"/>
        <v>-0.240913811007269</v>
      </c>
      <c r="O23" s="27">
        <f>[14]Financials!$B$37</f>
        <v>104.6</v>
      </c>
      <c r="P23" s="2">
        <v>854.2</v>
      </c>
      <c r="Q23" s="4">
        <v>8981</v>
      </c>
      <c r="R23" s="29">
        <f t="shared" si="1"/>
        <v>115922.50306201982</v>
      </c>
      <c r="S23" s="29">
        <f t="shared" si="2"/>
        <v>95111.902906135176</v>
      </c>
      <c r="T23" t="s">
        <v>58</v>
      </c>
    </row>
    <row r="24" spans="1:26" x14ac:dyDescent="0.2">
      <c r="A24" t="s">
        <v>77</v>
      </c>
      <c r="B24" t="s">
        <v>78</v>
      </c>
      <c r="C24" t="s">
        <v>79</v>
      </c>
      <c r="D24" s="8">
        <v>2.0630000000000002</v>
      </c>
      <c r="E24" s="9">
        <v>-0.33</v>
      </c>
      <c r="F24" s="9">
        <f t="shared" si="4"/>
        <v>-6.2515151515151519</v>
      </c>
      <c r="G24" s="23" t="str">
        <f t="shared" si="0"/>
        <v>N/A</v>
      </c>
      <c r="H24" s="2">
        <f>[15]Financials!$B$55</f>
        <v>33</v>
      </c>
      <c r="I24" s="2">
        <f>[15]Financials!$C$55</f>
        <v>15.4</v>
      </c>
      <c r="J24" s="22">
        <f t="shared" si="5"/>
        <v>1.142857142857143</v>
      </c>
      <c r="K24" s="2">
        <f>[15]Financials!$B$57</f>
        <v>16.2</v>
      </c>
      <c r="L24" s="2">
        <f>[15]Financials!$B$80</f>
        <v>-3.6</v>
      </c>
      <c r="M24" s="2">
        <f>[15]Financials!$C$80</f>
        <v>1.6</v>
      </c>
      <c r="N24" s="7">
        <f t="shared" si="3"/>
        <v>-3.25</v>
      </c>
      <c r="O24" s="27">
        <f>[15]Financials!$B$37</f>
        <v>-1.8</v>
      </c>
      <c r="P24" s="2">
        <v>82.1</v>
      </c>
      <c r="Q24" s="4">
        <v>345</v>
      </c>
      <c r="R24" s="29">
        <f t="shared" si="1"/>
        <v>95652.173913043487</v>
      </c>
      <c r="S24" s="29">
        <f t="shared" si="2"/>
        <v>237971.0144927536</v>
      </c>
      <c r="T24" t="s">
        <v>53</v>
      </c>
      <c r="U24" s="32" t="s">
        <v>161</v>
      </c>
    </row>
    <row r="25" spans="1:26" x14ac:dyDescent="0.2">
      <c r="A25" t="s">
        <v>80</v>
      </c>
      <c r="B25" t="s">
        <v>81</v>
      </c>
      <c r="C25" t="s">
        <v>82</v>
      </c>
      <c r="D25" s="8">
        <v>1.2809999999999999</v>
      </c>
      <c r="E25" s="9">
        <v>-0.81</v>
      </c>
      <c r="F25" s="9">
        <f t="shared" si="4"/>
        <v>-1.5814814814814813</v>
      </c>
      <c r="G25" s="23" t="str">
        <f t="shared" si="0"/>
        <v>N/A</v>
      </c>
      <c r="H25" s="2">
        <f>[16]Financials!$B$55</f>
        <v>36.299999999999997</v>
      </c>
      <c r="I25" s="2">
        <f>[16]Financials!$C$55</f>
        <v>35.9</v>
      </c>
      <c r="J25" s="22">
        <f t="shared" si="5"/>
        <v>1.1142061281337007E-2</v>
      </c>
      <c r="K25" s="2">
        <f>[16]Financials!$B$57</f>
        <v>14.6</v>
      </c>
      <c r="L25" s="2">
        <f>[16]Financials!$B$80</f>
        <v>0.3</v>
      </c>
      <c r="M25" s="2">
        <f>[16]Financials!$C$80</f>
        <v>-18.3</v>
      </c>
      <c r="N25" s="7">
        <f t="shared" si="3"/>
        <v>-1.0163934426229508</v>
      </c>
      <c r="O25" s="27">
        <f>[16]Financials!$B$37</f>
        <v>0.9</v>
      </c>
      <c r="P25" s="2">
        <v>37.1</v>
      </c>
      <c r="Q25" s="4">
        <v>242</v>
      </c>
      <c r="R25" s="29">
        <f t="shared" si="1"/>
        <v>150000</v>
      </c>
      <c r="S25" s="29">
        <f t="shared" si="2"/>
        <v>153305.78512396695</v>
      </c>
      <c r="T25" t="s">
        <v>53</v>
      </c>
    </row>
    <row r="26" spans="1:26" x14ac:dyDescent="0.2">
      <c r="A26" t="s">
        <v>83</v>
      </c>
      <c r="B26" t="s">
        <v>84</v>
      </c>
      <c r="C26" t="s">
        <v>85</v>
      </c>
      <c r="D26" s="8">
        <v>0.93799999999999994</v>
      </c>
      <c r="E26" s="9">
        <v>-4.46</v>
      </c>
      <c r="F26" s="9">
        <f t="shared" si="4"/>
        <v>-0.21031390134529146</v>
      </c>
      <c r="G26" s="23" t="str">
        <f t="shared" si="0"/>
        <v>N/A</v>
      </c>
      <c r="H26" s="2">
        <f>[17]Financials!$B$55</f>
        <v>52.1</v>
      </c>
      <c r="I26" s="2">
        <v>9.2200000000000006</v>
      </c>
      <c r="J26" s="22">
        <f t="shared" si="5"/>
        <v>4.6507592190889371</v>
      </c>
      <c r="K26" s="2">
        <f>[17]Financials!$B$57</f>
        <v>24.3</v>
      </c>
      <c r="L26" s="2">
        <f>[17]Financials!$B$80</f>
        <v>-45.1</v>
      </c>
      <c r="M26" s="31">
        <v>1E-3</v>
      </c>
      <c r="N26" s="7"/>
      <c r="O26" s="27">
        <f>[17]Financials!$B$37</f>
        <v>-12.4</v>
      </c>
      <c r="P26" s="2">
        <v>25.4</v>
      </c>
      <c r="Q26" s="4">
        <v>879</v>
      </c>
      <c r="R26" s="29">
        <f t="shared" si="1"/>
        <v>59271.899886234358</v>
      </c>
      <c r="S26" s="29">
        <f t="shared" si="2"/>
        <v>28896.473265073946</v>
      </c>
      <c r="T26" t="s">
        <v>86</v>
      </c>
    </row>
    <row r="27" spans="1:26" x14ac:dyDescent="0.2">
      <c r="A27" t="s">
        <v>87</v>
      </c>
      <c r="B27" t="s">
        <v>88</v>
      </c>
      <c r="C27" t="s">
        <v>89</v>
      </c>
      <c r="D27" s="8">
        <v>1.75</v>
      </c>
      <c r="E27" s="9">
        <v>-6.46</v>
      </c>
      <c r="F27" s="9">
        <f>D27/E27</f>
        <v>-0.27089783281733748</v>
      </c>
      <c r="G27" s="23" t="str">
        <f t="shared" si="0"/>
        <v>N/A</v>
      </c>
      <c r="H27" s="2">
        <f>[18]Financials!$B$55</f>
        <v>480.9</v>
      </c>
      <c r="I27" s="2">
        <f>[18]Financials!$C$55</f>
        <v>307.60000000000002</v>
      </c>
      <c r="J27" s="22">
        <f t="shared" si="5"/>
        <v>0.56339401820546142</v>
      </c>
      <c r="K27" s="2">
        <f>[18]Financials!$B$57</f>
        <v>218.6</v>
      </c>
      <c r="L27" s="2">
        <f>[18]Financials!$B$80</f>
        <v>30.3</v>
      </c>
      <c r="M27" s="2">
        <f>[18]Financials!$C$80</f>
        <v>18.8</v>
      </c>
      <c r="N27" s="7">
        <f t="shared" si="3"/>
        <v>0.61170212765957444</v>
      </c>
      <c r="O27" s="27">
        <f>[18]Financials!$B$37</f>
        <v>37.200000000000003</v>
      </c>
      <c r="P27" s="2">
        <v>262.89999999999998</v>
      </c>
      <c r="Q27" s="4">
        <v>9400</v>
      </c>
      <c r="R27" s="29">
        <f t="shared" si="1"/>
        <v>51159.574468085106</v>
      </c>
      <c r="S27" s="29">
        <f t="shared" si="2"/>
        <v>27968.085106382976</v>
      </c>
      <c r="T27" t="s">
        <v>53</v>
      </c>
      <c r="U27" s="32" t="s">
        <v>90</v>
      </c>
      <c r="X27" s="6" t="s">
        <v>70</v>
      </c>
      <c r="Y27" s="6" t="s">
        <v>70</v>
      </c>
    </row>
    <row r="28" spans="1:26" x14ac:dyDescent="0.2">
      <c r="A28" t="s">
        <v>91</v>
      </c>
      <c r="B28" t="s">
        <v>92</v>
      </c>
      <c r="C28" t="s">
        <v>93</v>
      </c>
      <c r="D28" s="8">
        <v>5.5629999999999997</v>
      </c>
      <c r="E28" s="9">
        <v>-0.45</v>
      </c>
      <c r="F28" s="9">
        <f t="shared" si="4"/>
        <v>-12.362222222222222</v>
      </c>
      <c r="G28" s="23" t="str">
        <f t="shared" si="0"/>
        <v>N/A</v>
      </c>
      <c r="H28" s="2">
        <f>[19]Financials!$B$55</f>
        <v>74</v>
      </c>
      <c r="I28" s="2">
        <f>[19]Financials!$C$55</f>
        <v>42.5</v>
      </c>
      <c r="J28" s="22">
        <f t="shared" si="5"/>
        <v>0.74117647058823533</v>
      </c>
      <c r="K28" s="2">
        <f>[19]Financials!$B$57</f>
        <v>44.5</v>
      </c>
      <c r="L28" s="2">
        <f>[19]Financials!$B$80</f>
        <v>3</v>
      </c>
      <c r="M28" s="2">
        <f>[19]Financials!$C$80</f>
        <v>-3.2</v>
      </c>
      <c r="N28" s="7">
        <f t="shared" si="3"/>
        <v>-1.9375</v>
      </c>
      <c r="O28" s="27">
        <f>[19]Financials!$B$37</f>
        <v>9.5</v>
      </c>
      <c r="P28" s="2">
        <v>136.30000000000001</v>
      </c>
      <c r="Q28" s="4">
        <v>750</v>
      </c>
      <c r="R28" s="29">
        <f t="shared" si="1"/>
        <v>98666.666666666672</v>
      </c>
      <c r="S28" s="29">
        <f t="shared" si="2"/>
        <v>181733.33333333337</v>
      </c>
      <c r="T28" t="s">
        <v>94</v>
      </c>
      <c r="U28" s="32" t="s">
        <v>95</v>
      </c>
    </row>
    <row r="29" spans="1:26" x14ac:dyDescent="0.2">
      <c r="A29" t="s">
        <v>96</v>
      </c>
      <c r="B29" t="s">
        <v>97</v>
      </c>
      <c r="C29" s="25" t="s">
        <v>25</v>
      </c>
      <c r="G29" s="23"/>
      <c r="H29" s="2"/>
      <c r="I29" s="2"/>
      <c r="J29" s="22"/>
      <c r="N29" s="7"/>
      <c r="Q29" s="4">
        <v>400</v>
      </c>
      <c r="R29" s="29">
        <f t="shared" si="1"/>
        <v>0</v>
      </c>
      <c r="S29" s="29">
        <f>P29/Q29*1000000</f>
        <v>0</v>
      </c>
    </row>
    <row r="30" spans="1:26" x14ac:dyDescent="0.2">
      <c r="A30" t="s">
        <v>98</v>
      </c>
      <c r="B30" t="s">
        <v>99</v>
      </c>
      <c r="C30" t="s">
        <v>100</v>
      </c>
      <c r="D30" s="8">
        <v>3.1880000000000002</v>
      </c>
      <c r="E30" s="9">
        <v>-1.31</v>
      </c>
      <c r="F30" s="9">
        <f t="shared" si="4"/>
        <v>-2.4335877862595421</v>
      </c>
      <c r="G30" s="23" t="str">
        <f t="shared" si="0"/>
        <v>N/A</v>
      </c>
      <c r="H30" s="2">
        <f>[20]Financials!$B$55</f>
        <v>77.8</v>
      </c>
      <c r="I30" s="2">
        <f>[20]Financials!$C$55</f>
        <v>27.7</v>
      </c>
      <c r="J30" s="22">
        <f t="shared" si="5"/>
        <v>1.8086642599277978</v>
      </c>
      <c r="K30" s="2">
        <f>[20]Financials!$B$57</f>
        <v>35.5</v>
      </c>
      <c r="L30" s="2">
        <f>[20]Financials!$B$80</f>
        <v>-38.9</v>
      </c>
      <c r="M30" s="2">
        <f>[20]Financials!$C$80</f>
        <v>-2.8</v>
      </c>
      <c r="N30" s="7">
        <f t="shared" si="3"/>
        <v>12.892857142857144</v>
      </c>
      <c r="O30" s="27">
        <f>[20]Financials!$B$37</f>
        <v>-34.9</v>
      </c>
      <c r="P30" s="2">
        <v>281.39999999999998</v>
      </c>
      <c r="Q30" s="4">
        <v>821</v>
      </c>
      <c r="R30" s="29">
        <f t="shared" si="1"/>
        <v>94762.484774665034</v>
      </c>
      <c r="S30" s="29">
        <f t="shared" ref="S30:S43" si="6">P30/Q30*1000000</f>
        <v>342752.74056029232</v>
      </c>
      <c r="T30" t="s">
        <v>101</v>
      </c>
      <c r="U30" s="32" t="s">
        <v>158</v>
      </c>
    </row>
    <row r="31" spans="1:26" x14ac:dyDescent="0.2">
      <c r="A31" t="s">
        <v>102</v>
      </c>
      <c r="B31" t="s">
        <v>103</v>
      </c>
      <c r="C31" t="s">
        <v>104</v>
      </c>
      <c r="D31" s="8">
        <v>7.125</v>
      </c>
      <c r="E31" s="9">
        <v>0.28999999999999998</v>
      </c>
      <c r="F31" s="9">
        <f t="shared" si="4"/>
        <v>24.568965517241381</v>
      </c>
      <c r="G31" s="23">
        <f t="shared" si="0"/>
        <v>24.568965517241381</v>
      </c>
      <c r="H31" s="2">
        <f>[21]Financials!$B$55</f>
        <v>53.2</v>
      </c>
      <c r="I31" s="2" t="s">
        <v>57</v>
      </c>
      <c r="J31" s="22"/>
      <c r="K31" s="2">
        <f>[21]Financials!$B$57</f>
        <v>23.4</v>
      </c>
      <c r="L31" s="2">
        <f>[21]Financials!$B$80</f>
        <v>5.6</v>
      </c>
      <c r="M31" s="2" t="s">
        <v>57</v>
      </c>
      <c r="N31" s="7"/>
      <c r="O31" s="27">
        <f>[21]Financials!$B$37</f>
        <v>6.2</v>
      </c>
      <c r="P31" s="2">
        <v>158.9</v>
      </c>
      <c r="Q31" s="4">
        <v>429</v>
      </c>
      <c r="R31" s="29">
        <f t="shared" si="1"/>
        <v>124009.32400932402</v>
      </c>
      <c r="S31" s="29">
        <f t="shared" si="6"/>
        <v>370396.27039627044</v>
      </c>
      <c r="T31" t="s">
        <v>105</v>
      </c>
    </row>
    <row r="32" spans="1:26" x14ac:dyDescent="0.2">
      <c r="A32" t="s">
        <v>106</v>
      </c>
      <c r="B32" t="s">
        <v>107</v>
      </c>
      <c r="C32" t="s">
        <v>108</v>
      </c>
      <c r="D32" s="8">
        <v>10.875</v>
      </c>
      <c r="E32" s="9">
        <v>0.76</v>
      </c>
      <c r="F32" s="9">
        <f t="shared" si="4"/>
        <v>14.309210526315789</v>
      </c>
      <c r="G32" s="23">
        <f t="shared" si="0"/>
        <v>14.309210526315789</v>
      </c>
      <c r="H32" s="2">
        <f>[22]Financials!$B$55</f>
        <v>1151.5999999999999</v>
      </c>
      <c r="I32" s="2">
        <f>[22]Financials!$C$55</f>
        <v>993.6</v>
      </c>
      <c r="J32" s="22">
        <f t="shared" si="5"/>
        <v>0.15901771336553933</v>
      </c>
      <c r="K32" s="2">
        <f>[22]Financials!$B$57</f>
        <v>303.3</v>
      </c>
      <c r="L32" s="2">
        <f>[22]Financials!$B$80</f>
        <v>75.5</v>
      </c>
      <c r="M32" s="2">
        <f>[22]Financials!$C$80</f>
        <v>40.5</v>
      </c>
      <c r="N32" s="7">
        <f t="shared" si="3"/>
        <v>0.86419753086419748</v>
      </c>
      <c r="O32" s="27">
        <f>[22]Financials!$B$37</f>
        <v>102.9</v>
      </c>
      <c r="P32" s="2">
        <v>1050</v>
      </c>
      <c r="Q32" s="4">
        <v>7000</v>
      </c>
      <c r="R32" s="29">
        <f t="shared" si="1"/>
        <v>164514.28571428571</v>
      </c>
      <c r="S32" s="29">
        <f t="shared" si="6"/>
        <v>150000</v>
      </c>
      <c r="T32" t="s">
        <v>86</v>
      </c>
    </row>
    <row r="33" spans="1:25" x14ac:dyDescent="0.2">
      <c r="A33" t="s">
        <v>109</v>
      </c>
      <c r="B33" t="s">
        <v>110</v>
      </c>
      <c r="C33" t="s">
        <v>111</v>
      </c>
      <c r="D33" s="8">
        <v>7.25</v>
      </c>
      <c r="E33" s="9">
        <v>0</v>
      </c>
      <c r="F33" s="9">
        <v>0</v>
      </c>
      <c r="G33" s="23">
        <f t="shared" si="0"/>
        <v>0</v>
      </c>
      <c r="H33" s="2">
        <f>[23]Financials!$B$55</f>
        <v>82.7</v>
      </c>
      <c r="I33" s="2">
        <f>[23]Financials!$C$55</f>
        <v>42.4</v>
      </c>
      <c r="J33" s="22">
        <f t="shared" si="5"/>
        <v>0.95047169811320764</v>
      </c>
      <c r="K33" s="2">
        <f>[23]Financials!$B$57</f>
        <v>40.4</v>
      </c>
      <c r="L33" s="2">
        <f>[23]Financials!$B$80</f>
        <v>0.9</v>
      </c>
      <c r="M33" s="2">
        <f>[23]Financials!$C$80</f>
        <v>-20.6</v>
      </c>
      <c r="N33" s="7">
        <f t="shared" si="3"/>
        <v>-1.0436893203883495</v>
      </c>
      <c r="O33" s="27">
        <f>[23]Financials!$B$37</f>
        <v>0.4</v>
      </c>
      <c r="P33" s="2">
        <v>410.7</v>
      </c>
      <c r="Q33" s="4">
        <v>692</v>
      </c>
      <c r="R33" s="29">
        <f t="shared" si="1"/>
        <v>119508.67052023122</v>
      </c>
      <c r="S33" s="29">
        <f t="shared" si="6"/>
        <v>593497.10982658959</v>
      </c>
      <c r="T33" t="s">
        <v>49</v>
      </c>
      <c r="U33" s="32" t="s">
        <v>161</v>
      </c>
    </row>
    <row r="34" spans="1:25" x14ac:dyDescent="0.2">
      <c r="A34" t="s">
        <v>112</v>
      </c>
      <c r="B34" t="s">
        <v>113</v>
      </c>
      <c r="C34" t="s">
        <v>114</v>
      </c>
      <c r="D34" s="8">
        <v>3.375</v>
      </c>
      <c r="E34" s="9">
        <v>-2.77</v>
      </c>
      <c r="F34" s="9">
        <f t="shared" si="4"/>
        <v>-1.2184115523465704</v>
      </c>
      <c r="G34" s="23" t="str">
        <f t="shared" si="0"/>
        <v>N/A</v>
      </c>
      <c r="H34" s="2">
        <f>[24]Financials!$B$55</f>
        <v>36.700000000000003</v>
      </c>
      <c r="I34" s="2">
        <f>[24]Financials!$C$55</f>
        <v>4.7</v>
      </c>
      <c r="J34" s="22">
        <f t="shared" si="5"/>
        <v>6.8085106382978724</v>
      </c>
      <c r="K34" s="2">
        <f>[24]Financials!$B$57</f>
        <v>17</v>
      </c>
      <c r="L34" s="2">
        <f>[24]Financials!$B$80</f>
        <v>-93.3</v>
      </c>
      <c r="M34" s="2">
        <f>[24]Financials!$C$80</f>
        <v>-19.7</v>
      </c>
      <c r="N34" s="7">
        <f t="shared" si="3"/>
        <v>3.7360406091370555</v>
      </c>
      <c r="O34" s="27">
        <f>[24]Financials!$B$37</f>
        <v>-67.3</v>
      </c>
      <c r="P34" s="2">
        <v>214.9</v>
      </c>
      <c r="Q34" s="4">
        <v>728</v>
      </c>
      <c r="R34" s="29">
        <f t="shared" si="1"/>
        <v>50412.087912087911</v>
      </c>
      <c r="S34" s="29">
        <f t="shared" si="6"/>
        <v>295192.30769230769</v>
      </c>
      <c r="T34" t="s">
        <v>19</v>
      </c>
      <c r="U34" s="32" t="s">
        <v>158</v>
      </c>
    </row>
    <row r="35" spans="1:25" x14ac:dyDescent="0.2">
      <c r="A35" t="s">
        <v>115</v>
      </c>
      <c r="B35" t="s">
        <v>116</v>
      </c>
      <c r="C35" t="s">
        <v>117</v>
      </c>
      <c r="D35" s="8">
        <v>3.5</v>
      </c>
      <c r="E35" s="9">
        <v>-0.12</v>
      </c>
      <c r="F35" s="9">
        <f t="shared" si="4"/>
        <v>-29.166666666666668</v>
      </c>
      <c r="G35" s="23" t="str">
        <f t="shared" si="0"/>
        <v>N/A</v>
      </c>
      <c r="H35" s="2">
        <f>[25]Financials!$B$55</f>
        <v>170.2</v>
      </c>
      <c r="I35" s="2">
        <f>[25]Financials!$C$55</f>
        <v>13.8</v>
      </c>
      <c r="J35" s="22">
        <f t="shared" si="5"/>
        <v>11.33333333333333</v>
      </c>
      <c r="K35" s="2">
        <f>[25]Financials!$B$57</f>
        <v>92.5</v>
      </c>
      <c r="L35" s="2">
        <f>[25]Financials!$B$80</f>
        <v>-14.5</v>
      </c>
      <c r="M35" s="2">
        <f>[25]Financials!$C$80</f>
        <v>0</v>
      </c>
      <c r="N35" s="7"/>
      <c r="O35" s="27">
        <f>[25]Financials!$B$37</f>
        <v>-7.7</v>
      </c>
      <c r="P35" s="2">
        <v>344</v>
      </c>
      <c r="Q35" s="4">
        <v>1355</v>
      </c>
      <c r="R35" s="29">
        <f t="shared" si="1"/>
        <v>125608.85608856087</v>
      </c>
      <c r="S35" s="29">
        <f t="shared" si="6"/>
        <v>253874.53874538746</v>
      </c>
      <c r="T35" t="s">
        <v>19</v>
      </c>
      <c r="U35" s="32" t="s">
        <v>159</v>
      </c>
      <c r="X35" s="6" t="s">
        <v>70</v>
      </c>
      <c r="Y35" s="6" t="s">
        <v>70</v>
      </c>
    </row>
    <row r="36" spans="1:25" x14ac:dyDescent="0.2">
      <c r="A36" t="s">
        <v>118</v>
      </c>
      <c r="C36" s="25" t="s">
        <v>25</v>
      </c>
      <c r="G36" s="23">
        <f t="shared" si="0"/>
        <v>0</v>
      </c>
      <c r="H36" s="2"/>
      <c r="I36" s="2"/>
      <c r="J36" s="22"/>
      <c r="N36" s="7"/>
      <c r="R36" s="29"/>
      <c r="S36" s="29"/>
      <c r="T36" t="s">
        <v>101</v>
      </c>
      <c r="U36" s="32" t="s">
        <v>95</v>
      </c>
    </row>
    <row r="37" spans="1:25" x14ac:dyDescent="0.2">
      <c r="A37" t="s">
        <v>119</v>
      </c>
      <c r="B37" t="s">
        <v>120</v>
      </c>
      <c r="C37" t="s">
        <v>121</v>
      </c>
      <c r="D37" s="8">
        <v>0.81299999999999994</v>
      </c>
      <c r="E37" s="9">
        <v>-0.28999999999999998</v>
      </c>
      <c r="F37" s="9">
        <f t="shared" si="4"/>
        <v>-2.8034482758620691</v>
      </c>
      <c r="G37" s="23" t="str">
        <f t="shared" si="0"/>
        <v>N/A</v>
      </c>
      <c r="H37" s="2">
        <f>[26]Financials!$B$55</f>
        <v>742.6</v>
      </c>
      <c r="I37" s="2">
        <f>[26]Financials!$C$55</f>
        <v>776.3</v>
      </c>
      <c r="J37" s="22">
        <f t="shared" si="5"/>
        <v>-4.3411052428184896E-2</v>
      </c>
      <c r="K37" s="2">
        <f>[26]Financials!$B$57</f>
        <v>236.4</v>
      </c>
      <c r="L37" s="2">
        <f>[26]Financials!$B$80</f>
        <v>-5.3</v>
      </c>
      <c r="M37" s="2">
        <f>[26]Financials!$C$80</f>
        <v>-31.3</v>
      </c>
      <c r="N37" s="7">
        <f t="shared" si="3"/>
        <v>-0.83067092651757191</v>
      </c>
      <c r="O37" s="27">
        <f>[26]Financials!$B$37</f>
        <v>14.4</v>
      </c>
      <c r="P37" s="2">
        <v>45.6</v>
      </c>
      <c r="Q37" s="4">
        <v>4900</v>
      </c>
      <c r="R37" s="29">
        <f>H37/Q37*1000000</f>
        <v>151551.02040816325</v>
      </c>
      <c r="S37" s="29">
        <f t="shared" si="6"/>
        <v>9306.1224489795914</v>
      </c>
      <c r="T37" t="s">
        <v>122</v>
      </c>
      <c r="U37" s="32" t="s">
        <v>123</v>
      </c>
      <c r="X37" s="6" t="s">
        <v>70</v>
      </c>
      <c r="Y37" s="6" t="s">
        <v>70</v>
      </c>
    </row>
    <row r="38" spans="1:25" x14ac:dyDescent="0.2">
      <c r="A38" t="s">
        <v>124</v>
      </c>
      <c r="B38" t="s">
        <v>125</v>
      </c>
      <c r="C38" t="s">
        <v>126</v>
      </c>
      <c r="D38" s="8">
        <v>18.375</v>
      </c>
      <c r="E38" s="9">
        <v>0.37</v>
      </c>
      <c r="F38" s="9">
        <f t="shared" si="4"/>
        <v>49.662162162162161</v>
      </c>
      <c r="G38" s="23">
        <f t="shared" si="0"/>
        <v>49.662162162162161</v>
      </c>
      <c r="H38" s="2">
        <f>[27]Financials!$B$55</f>
        <v>276.8</v>
      </c>
      <c r="I38" s="2">
        <f>[27]Financials!$C$55</f>
        <v>160.4</v>
      </c>
      <c r="J38" s="22">
        <f t="shared" si="5"/>
        <v>0.72568578553615959</v>
      </c>
      <c r="K38" s="2">
        <f>[27]Financials!$B$57</f>
        <v>150.19999999999999</v>
      </c>
      <c r="L38" s="2">
        <f>[27]Financials!$B$80</f>
        <v>30.3</v>
      </c>
      <c r="M38" s="2">
        <f>[27]Financials!$C$80</f>
        <v>13.7</v>
      </c>
      <c r="N38" s="7">
        <f t="shared" si="3"/>
        <v>1.2116788321167884</v>
      </c>
      <c r="O38" s="27">
        <f>[27]Financials!$B$37</f>
        <v>40.6</v>
      </c>
      <c r="P38" s="2">
        <v>2460</v>
      </c>
      <c r="Q38" s="4">
        <v>2100</v>
      </c>
      <c r="R38" s="29">
        <f>H38/Q38*1000000</f>
        <v>131809.52380952382</v>
      </c>
      <c r="S38" s="29">
        <f t="shared" si="6"/>
        <v>1171428.5714285716</v>
      </c>
      <c r="T38" t="s">
        <v>29</v>
      </c>
      <c r="U38" s="32" t="s">
        <v>162</v>
      </c>
      <c r="X38" s="6" t="s">
        <v>70</v>
      </c>
      <c r="Y38" s="6" t="s">
        <v>70</v>
      </c>
    </row>
    <row r="39" spans="1:25" x14ac:dyDescent="0.2">
      <c r="A39" t="s">
        <v>127</v>
      </c>
      <c r="B39" t="s">
        <v>128</v>
      </c>
      <c r="C39" t="s">
        <v>129</v>
      </c>
      <c r="D39" s="8">
        <v>8.1880000000000006</v>
      </c>
      <c r="E39" s="9">
        <v>0.11</v>
      </c>
      <c r="F39" s="9">
        <f>D39/E39</f>
        <v>74.436363636363637</v>
      </c>
      <c r="G39" s="23">
        <f t="shared" si="0"/>
        <v>74.436363636363637</v>
      </c>
      <c r="H39" s="2">
        <f>[28]Financials!$B$55</f>
        <v>155.69999999999999</v>
      </c>
      <c r="I39" s="2">
        <f>[28]Financials!$C$55</f>
        <v>20.7</v>
      </c>
      <c r="J39" s="22">
        <f t="shared" si="5"/>
        <v>6.5217391304347831</v>
      </c>
      <c r="K39" s="2">
        <f>[28]Financials!$B$57</f>
        <v>104.2</v>
      </c>
      <c r="L39" s="2">
        <f>[28]Financials!$B$80</f>
        <v>-16</v>
      </c>
      <c r="M39" s="2">
        <f>[28]Financials!$C$80</f>
        <v>-11.7</v>
      </c>
      <c r="N39" s="7">
        <f t="shared" si="3"/>
        <v>0.3675213675213676</v>
      </c>
      <c r="O39" s="27">
        <f>[28]Financials!$B$37</f>
        <v>2.7</v>
      </c>
      <c r="P39" s="2">
        <v>602.4</v>
      </c>
      <c r="Q39" s="4">
        <v>1180</v>
      </c>
      <c r="R39" s="29">
        <f>H39/Q39*1000000</f>
        <v>131949.15254237287</v>
      </c>
      <c r="S39" s="29">
        <f t="shared" si="6"/>
        <v>510508.47457627114</v>
      </c>
      <c r="T39" t="s">
        <v>101</v>
      </c>
      <c r="U39" s="32" t="s">
        <v>156</v>
      </c>
    </row>
    <row r="40" spans="1:25" x14ac:dyDescent="0.2">
      <c r="A40" t="s">
        <v>130</v>
      </c>
      <c r="B40" t="s">
        <v>131</v>
      </c>
      <c r="C40" t="s">
        <v>132</v>
      </c>
      <c r="D40" s="8">
        <v>2</v>
      </c>
      <c r="E40" s="9">
        <v>-0.27</v>
      </c>
      <c r="F40" s="9">
        <f>D40/E40</f>
        <v>-7.4074074074074066</v>
      </c>
      <c r="G40" s="23" t="str">
        <f t="shared" si="0"/>
        <v>N/A</v>
      </c>
      <c r="H40" s="2">
        <f>[29]Financials!$B$55</f>
        <v>156.30000000000001</v>
      </c>
      <c r="I40" s="2">
        <f>[29]Financials!$C$55</f>
        <v>189.4</v>
      </c>
      <c r="J40" s="22">
        <f t="shared" si="5"/>
        <v>-0.17476240760295667</v>
      </c>
      <c r="K40" s="2">
        <f>[29]Financials!$B$57</f>
        <v>59.4</v>
      </c>
      <c r="L40" s="2">
        <f>[29]Financials!$B$80</f>
        <v>-11.6</v>
      </c>
      <c r="M40" s="2">
        <f>[29]Financials!$C$80</f>
        <v>4.5</v>
      </c>
      <c r="N40" s="7">
        <f t="shared" si="3"/>
        <v>-3.5777777777777779</v>
      </c>
      <c r="O40" s="27">
        <f>[29]Financials!$B$37</f>
        <v>-3.1</v>
      </c>
      <c r="P40" s="2">
        <v>88.8</v>
      </c>
      <c r="Q40" s="4">
        <v>698</v>
      </c>
      <c r="R40" s="29">
        <f>H40/Q40*1000000</f>
        <v>223925.50143266475</v>
      </c>
      <c r="S40" s="29">
        <f t="shared" si="6"/>
        <v>127220.63037249284</v>
      </c>
      <c r="T40" t="s">
        <v>53</v>
      </c>
    </row>
    <row r="41" spans="1:25" x14ac:dyDescent="0.2">
      <c r="A41" t="s">
        <v>133</v>
      </c>
      <c r="G41" s="23"/>
      <c r="H41" s="2"/>
      <c r="I41" s="2"/>
      <c r="J41" s="22"/>
      <c r="N41" s="7"/>
      <c r="R41" s="29"/>
      <c r="S41" s="29"/>
    </row>
    <row r="42" spans="1:25" x14ac:dyDescent="0.2">
      <c r="A42" t="s">
        <v>134</v>
      </c>
      <c r="B42" t="s">
        <v>135</v>
      </c>
      <c r="C42" t="s">
        <v>136</v>
      </c>
      <c r="D42" s="8">
        <v>0.53100000000000003</v>
      </c>
      <c r="E42" s="9">
        <v>-3.23</v>
      </c>
      <c r="F42" s="9">
        <f>D42/E42</f>
        <v>-0.16439628482972138</v>
      </c>
      <c r="G42" s="23" t="str">
        <f t="shared" si="0"/>
        <v>N/A</v>
      </c>
      <c r="H42" s="2">
        <f>[30]Financials!$B$55</f>
        <v>35.299999999999997</v>
      </c>
      <c r="I42" s="2">
        <f>[30]Financials!$C$55</f>
        <v>13.6</v>
      </c>
      <c r="J42" s="22">
        <f t="shared" si="5"/>
        <v>1.5955882352941173</v>
      </c>
      <c r="K42" s="2">
        <f>[30]Financials!$B$57</f>
        <v>17.3</v>
      </c>
      <c r="L42" s="2">
        <f>[30]Financials!$B$80</f>
        <v>-14.4</v>
      </c>
      <c r="M42" s="2">
        <f>[30]Financials!$C$80</f>
        <v>-8.4</v>
      </c>
      <c r="N42" s="7">
        <f t="shared" si="3"/>
        <v>0.7142857142857143</v>
      </c>
      <c r="O42" s="27">
        <f>[30]Financials!$B$37</f>
        <v>-3.2</v>
      </c>
      <c r="P42" s="2">
        <v>13.8</v>
      </c>
      <c r="Q42" s="4">
        <v>700</v>
      </c>
      <c r="R42" s="29">
        <f>H42/Q42*1000000</f>
        <v>50428.571428571428</v>
      </c>
      <c r="S42" s="29">
        <f t="shared" si="6"/>
        <v>19714.285714285714</v>
      </c>
      <c r="T42" t="s">
        <v>137</v>
      </c>
    </row>
    <row r="43" spans="1:25" x14ac:dyDescent="0.2">
      <c r="A43" t="s">
        <v>138</v>
      </c>
      <c r="B43" t="s">
        <v>139</v>
      </c>
      <c r="C43" t="s">
        <v>140</v>
      </c>
      <c r="D43" s="8">
        <v>4.125</v>
      </c>
      <c r="E43" s="9">
        <v>0.26</v>
      </c>
      <c r="F43" s="9">
        <f>D43/E43</f>
        <v>15.865384615384615</v>
      </c>
      <c r="G43" s="23">
        <f t="shared" si="0"/>
        <v>15.865384615384615</v>
      </c>
      <c r="H43" s="2">
        <f>[31]Financials!$B$55</f>
        <v>61.3</v>
      </c>
      <c r="I43" s="2">
        <f>[31]Financials!$C$55</f>
        <v>20</v>
      </c>
      <c r="J43" s="22">
        <f t="shared" si="5"/>
        <v>2.0649999999999999</v>
      </c>
      <c r="K43" s="2">
        <f>[31]Financials!$B$57</f>
        <v>34.700000000000003</v>
      </c>
      <c r="L43" s="2">
        <f>[31]Financials!$B$80</f>
        <v>1.4</v>
      </c>
      <c r="M43" s="2">
        <f>[31]Financials!$C$80</f>
        <v>-6.5</v>
      </c>
      <c r="N43" s="7">
        <f t="shared" si="3"/>
        <v>-1.2153846153846155</v>
      </c>
      <c r="O43" s="27">
        <f>[31]Financials!$B$37</f>
        <v>3.4</v>
      </c>
      <c r="P43" s="2">
        <v>199.9</v>
      </c>
      <c r="Q43" s="4">
        <v>405</v>
      </c>
      <c r="R43" s="29">
        <f>H43/Q43*1000000</f>
        <v>151358.024691358</v>
      </c>
      <c r="S43" s="29">
        <f t="shared" si="6"/>
        <v>493580.24691358028</v>
      </c>
      <c r="T43" t="s">
        <v>58</v>
      </c>
      <c r="U43" s="32" t="s">
        <v>156</v>
      </c>
    </row>
    <row r="44" spans="1:25" x14ac:dyDescent="0.2">
      <c r="A44" t="s">
        <v>141</v>
      </c>
      <c r="B44" t="s">
        <v>142</v>
      </c>
      <c r="C44" s="25" t="s">
        <v>25</v>
      </c>
      <c r="G44" s="23"/>
      <c r="H44" s="2">
        <v>25.3</v>
      </c>
      <c r="I44" s="2" t="s">
        <v>57</v>
      </c>
      <c r="J44" s="22"/>
      <c r="L44" s="2">
        <v>-31.1</v>
      </c>
      <c r="Q44" s="4">
        <v>481</v>
      </c>
      <c r="R44" s="29"/>
      <c r="S44" s="29"/>
      <c r="T44" t="s">
        <v>58</v>
      </c>
    </row>
    <row r="46" spans="1:25" x14ac:dyDescent="0.2">
      <c r="G46" s="23"/>
      <c r="H46" s="23"/>
      <c r="I46" s="23"/>
    </row>
  </sheetData>
  <mergeCells count="1">
    <mergeCell ref="A1:E3"/>
  </mergeCells>
  <pageMargins left="0.75" right="0.75" top="1" bottom="1" header="0.5" footer="0.5"/>
  <pageSetup paperSize="5" scale="67" fitToHeight="2" orientation="landscape" horizontalDpi="4294967292" verticalDpi="0" r:id="rId1"/>
  <headerFooter alignWithMargins="0">
    <oddFooter>&amp;L&amp;D &amp;T&amp;C&amp;F &amp;A&amp;R&amp;P of &amp;N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C14" sqref="C14"/>
    </sheetView>
  </sheetViews>
  <sheetFormatPr defaultRowHeight="12.75" x14ac:dyDescent="0.2"/>
  <cols>
    <col min="5" max="5" width="13.85546875" bestFit="1" customWidth="1"/>
  </cols>
  <sheetData>
    <row r="1" spans="1:6" x14ac:dyDescent="0.2">
      <c r="A1" t="s">
        <v>147</v>
      </c>
      <c r="E1">
        <v>6000</v>
      </c>
      <c r="F1" t="s">
        <v>155</v>
      </c>
    </row>
    <row r="2" spans="1:6" x14ac:dyDescent="0.2">
      <c r="A2" t="s">
        <v>153</v>
      </c>
    </row>
    <row r="4" spans="1:6" x14ac:dyDescent="0.2">
      <c r="A4" t="s">
        <v>148</v>
      </c>
    </row>
    <row r="5" spans="1:6" x14ac:dyDescent="0.2">
      <c r="A5" t="s">
        <v>152</v>
      </c>
      <c r="E5" s="29">
        <f>11000000000/18000</f>
        <v>611111.11111111112</v>
      </c>
    </row>
    <row r="6" spans="1:6" x14ac:dyDescent="0.2">
      <c r="A6" t="s">
        <v>149</v>
      </c>
    </row>
    <row r="8" spans="1:6" x14ac:dyDescent="0.2">
      <c r="A8" t="s">
        <v>150</v>
      </c>
    </row>
    <row r="9" spans="1:6" x14ac:dyDescent="0.2">
      <c r="A9" t="s">
        <v>151</v>
      </c>
      <c r="E9" s="29">
        <f>930000000/900</f>
        <v>1033333.3333333334</v>
      </c>
    </row>
    <row r="10" spans="1:6" x14ac:dyDescent="0.2">
      <c r="A10" t="s">
        <v>154</v>
      </c>
      <c r="E10" s="29">
        <f>930000000/B14</f>
        <v>2870370.3703703703</v>
      </c>
    </row>
    <row r="13" spans="1:6" x14ac:dyDescent="0.2">
      <c r="A13" t="s">
        <v>172</v>
      </c>
      <c r="B13">
        <v>576</v>
      </c>
    </row>
    <row r="14" spans="1:6" x14ac:dyDescent="0.2">
      <c r="B14">
        <f>900-B13</f>
        <v>324</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Companies</vt:lpstr>
      <vt:lpstr>Mergers</vt:lpstr>
      <vt:lpstr>Companies!Print_Titles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Whitehead</dc:creator>
  <cp:lastModifiedBy>Jan Havlíček</cp:lastModifiedBy>
  <cp:lastPrinted>2000-11-28T21:52:23Z</cp:lastPrinted>
  <dcterms:created xsi:type="dcterms:W3CDTF">2000-11-22T19:19:54Z</dcterms:created>
  <dcterms:modified xsi:type="dcterms:W3CDTF">2023-09-17T16:15:49Z</dcterms:modified>
</cp:coreProperties>
</file>