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94579C1-DD3C-49C1-BA17-A6B1828723AF}" xr6:coauthVersionLast="47" xr6:coauthVersionMax="47" xr10:uidLastSave="{00000000-0000-0000-0000-000000000000}"/>
  <bookViews>
    <workbookView xWindow="-120" yWindow="-120" windowWidth="38640" windowHeight="15720" tabRatio="793"/>
  </bookViews>
  <sheets>
    <sheet name="Summary" sheetId="13" r:id="rId1"/>
    <sheet name="Credit Analysis" sheetId="2" r:id="rId2"/>
    <sheet name="50 NR" sheetId="3" state="hidden" r:id="rId3"/>
    <sheet name="258 NP" sheetId="5" state="hidden" r:id="rId4"/>
    <sheet name="50 NP" sheetId="4" state="hidden" r:id="rId5"/>
    <sheet name="Hawaii Summary" sheetId="6" r:id="rId6"/>
    <sheet name="A Amort" sheetId="8" state="hidden" r:id="rId7"/>
    <sheet name="A TRS" sheetId="12" state="hidden" r:id="rId8"/>
    <sheet name="B_D Amort" sheetId="9" state="hidden" r:id="rId9"/>
    <sheet name="B_D TRS" sheetId="10" state="hidden" r:id="rId10"/>
    <sheet name="C Amort" sheetId="7" state="hidden" r:id="rId11"/>
    <sheet name="C TRS" sheetId="11" state="hidden" r:id="rId12"/>
    <sheet name="Notional Analysis" sheetId="1" r:id="rId13"/>
  </sheets>
  <definedNames>
    <definedName name="A_Debt">'A Amort'!$A$8:$H$53</definedName>
    <definedName name="A_Equity">'A Amort'!$J$8:$O$53</definedName>
    <definedName name="BD_Debt">'B_D Amort'!$A$8:$H$47</definedName>
    <definedName name="BD_Equity">'B_D Amort'!$J$8:$O$47</definedName>
    <definedName name="C_Debt">'C Amort'!$A$8:$H$48</definedName>
    <definedName name="C_Equity">'C Amort'!$J$8:$O$48</definedName>
    <definedName name="Lg_Payable">'258 NP'!$A$8:$H$68</definedName>
    <definedName name="Note_Receivable">'50 NR'!$A$8:$I$67</definedName>
    <definedName name="Small_Payable">'50 NP'!$A$8:$H$68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5" l="1"/>
  <c r="J1" i="5"/>
  <c r="B2" i="5"/>
  <c r="F2" i="5"/>
  <c r="J2" i="5"/>
  <c r="B3" i="5"/>
  <c r="F3" i="5"/>
  <c r="J3" i="5"/>
  <c r="B4" i="5"/>
  <c r="F4" i="5"/>
  <c r="J4" i="5"/>
  <c r="B5" i="5"/>
  <c r="B8" i="5"/>
  <c r="F8" i="5"/>
  <c r="H8" i="5"/>
  <c r="B9" i="5"/>
  <c r="D9" i="5"/>
  <c r="E9" i="5"/>
  <c r="F9" i="5"/>
  <c r="H9" i="5"/>
  <c r="B10" i="5"/>
  <c r="D10" i="5"/>
  <c r="E10" i="5"/>
  <c r="F10" i="5"/>
  <c r="H10" i="5"/>
  <c r="B11" i="5"/>
  <c r="D11" i="5"/>
  <c r="E11" i="5"/>
  <c r="F11" i="5"/>
  <c r="H11" i="5"/>
  <c r="B12" i="5"/>
  <c r="D12" i="5"/>
  <c r="E12" i="5"/>
  <c r="F12" i="5"/>
  <c r="H12" i="5"/>
  <c r="B13" i="5"/>
  <c r="D13" i="5"/>
  <c r="E13" i="5"/>
  <c r="F13" i="5"/>
  <c r="H13" i="5"/>
  <c r="B14" i="5"/>
  <c r="D14" i="5"/>
  <c r="E14" i="5"/>
  <c r="F14" i="5"/>
  <c r="H14" i="5"/>
  <c r="B15" i="5"/>
  <c r="D15" i="5"/>
  <c r="E15" i="5"/>
  <c r="F15" i="5"/>
  <c r="H15" i="5"/>
  <c r="B16" i="5"/>
  <c r="D16" i="5"/>
  <c r="E16" i="5"/>
  <c r="F16" i="5"/>
  <c r="H16" i="5"/>
  <c r="B17" i="5"/>
  <c r="D17" i="5"/>
  <c r="E17" i="5"/>
  <c r="F17" i="5"/>
  <c r="H17" i="5"/>
  <c r="B18" i="5"/>
  <c r="C18" i="5"/>
  <c r="D18" i="5"/>
  <c r="E18" i="5"/>
  <c r="F18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F1" i="4"/>
  <c r="J1" i="4"/>
  <c r="F2" i="4"/>
  <c r="J2" i="4"/>
  <c r="B3" i="4"/>
  <c r="F3" i="4"/>
  <c r="J3" i="4"/>
  <c r="B4" i="4"/>
  <c r="F4" i="4"/>
  <c r="J4" i="4"/>
  <c r="B5" i="4"/>
  <c r="B8" i="4"/>
  <c r="F8" i="4"/>
  <c r="H8" i="4"/>
  <c r="B9" i="4"/>
  <c r="D9" i="4"/>
  <c r="E9" i="4"/>
  <c r="F9" i="4"/>
  <c r="H9" i="4"/>
  <c r="B10" i="4"/>
  <c r="D10" i="4"/>
  <c r="E10" i="4"/>
  <c r="F10" i="4"/>
  <c r="H10" i="4"/>
  <c r="B11" i="4"/>
  <c r="D11" i="4"/>
  <c r="E11" i="4"/>
  <c r="F11" i="4"/>
  <c r="H11" i="4"/>
  <c r="B12" i="4"/>
  <c r="D12" i="4"/>
  <c r="E12" i="4"/>
  <c r="F12" i="4"/>
  <c r="H12" i="4"/>
  <c r="B13" i="4"/>
  <c r="D13" i="4"/>
  <c r="E13" i="4"/>
  <c r="F13" i="4"/>
  <c r="H13" i="4"/>
  <c r="B14" i="4"/>
  <c r="D14" i="4"/>
  <c r="E14" i="4"/>
  <c r="F14" i="4"/>
  <c r="H14" i="4"/>
  <c r="B15" i="4"/>
  <c r="D15" i="4"/>
  <c r="E15" i="4"/>
  <c r="F15" i="4"/>
  <c r="H15" i="4"/>
  <c r="B16" i="4"/>
  <c r="D16" i="4"/>
  <c r="E16" i="4"/>
  <c r="F16" i="4"/>
  <c r="H16" i="4"/>
  <c r="B17" i="4"/>
  <c r="D17" i="4"/>
  <c r="E17" i="4"/>
  <c r="F17" i="4"/>
  <c r="H17" i="4"/>
  <c r="B18" i="4"/>
  <c r="C18" i="4"/>
  <c r="D18" i="4"/>
  <c r="E18" i="4"/>
  <c r="F18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F1" i="3"/>
  <c r="K1" i="3"/>
  <c r="C2" i="3"/>
  <c r="F2" i="3"/>
  <c r="K2" i="3"/>
  <c r="B3" i="3"/>
  <c r="C3" i="3"/>
  <c r="F3" i="3"/>
  <c r="K3" i="3"/>
  <c r="B4" i="3"/>
  <c r="C4" i="3"/>
  <c r="F4" i="3"/>
  <c r="K4" i="3"/>
  <c r="B5" i="3"/>
  <c r="C5" i="3"/>
  <c r="B8" i="3"/>
  <c r="C8" i="3"/>
  <c r="E8" i="3"/>
  <c r="F8" i="3"/>
  <c r="H8" i="3"/>
  <c r="I8" i="3"/>
  <c r="B9" i="3"/>
  <c r="C9" i="3"/>
  <c r="D9" i="3"/>
  <c r="E9" i="3"/>
  <c r="F9" i="3"/>
  <c r="H9" i="3"/>
  <c r="I9" i="3"/>
  <c r="B10" i="3"/>
  <c r="C10" i="3"/>
  <c r="D10" i="3"/>
  <c r="E10" i="3"/>
  <c r="F10" i="3"/>
  <c r="H10" i="3"/>
  <c r="I10" i="3"/>
  <c r="B11" i="3"/>
  <c r="C11" i="3"/>
  <c r="D11" i="3"/>
  <c r="E11" i="3"/>
  <c r="F11" i="3"/>
  <c r="H11" i="3"/>
  <c r="I11" i="3"/>
  <c r="B12" i="3"/>
  <c r="C12" i="3"/>
  <c r="D12" i="3"/>
  <c r="E12" i="3"/>
  <c r="F12" i="3"/>
  <c r="H12" i="3"/>
  <c r="I12" i="3"/>
  <c r="B13" i="3"/>
  <c r="C13" i="3"/>
  <c r="D13" i="3"/>
  <c r="E13" i="3"/>
  <c r="F13" i="3"/>
  <c r="H13" i="3"/>
  <c r="I13" i="3"/>
  <c r="B14" i="3"/>
  <c r="C14" i="3"/>
  <c r="D14" i="3"/>
  <c r="E14" i="3"/>
  <c r="F14" i="3"/>
  <c r="H14" i="3"/>
  <c r="I14" i="3"/>
  <c r="B15" i="3"/>
  <c r="C15" i="3"/>
  <c r="D15" i="3"/>
  <c r="E15" i="3"/>
  <c r="F15" i="3"/>
  <c r="H15" i="3"/>
  <c r="I15" i="3"/>
  <c r="B16" i="3"/>
  <c r="C16" i="3"/>
  <c r="D16" i="3"/>
  <c r="E16" i="3"/>
  <c r="F16" i="3"/>
  <c r="H16" i="3"/>
  <c r="I16" i="3"/>
  <c r="B17" i="3"/>
  <c r="C17" i="3"/>
  <c r="D17" i="3"/>
  <c r="E17" i="3"/>
  <c r="F17" i="3"/>
  <c r="H17" i="3"/>
  <c r="I17" i="3"/>
  <c r="B18" i="3"/>
  <c r="C18" i="3"/>
  <c r="D18" i="3"/>
  <c r="E18" i="3"/>
  <c r="F18" i="3"/>
  <c r="H18" i="3"/>
  <c r="I18" i="3"/>
  <c r="H1" i="8"/>
  <c r="E2" i="8"/>
  <c r="H2" i="8"/>
  <c r="B3" i="8"/>
  <c r="E3" i="8"/>
  <c r="K3" i="8"/>
  <c r="N3" i="8"/>
  <c r="B4" i="8"/>
  <c r="E4" i="8"/>
  <c r="F4" i="8"/>
  <c r="K4" i="8"/>
  <c r="N4" i="8"/>
  <c r="O4" i="8"/>
  <c r="C5" i="8"/>
  <c r="E5" i="8"/>
  <c r="K5" i="8"/>
  <c r="N5" i="8"/>
  <c r="K6" i="8"/>
  <c r="A8" i="8"/>
  <c r="B8" i="8"/>
  <c r="H8" i="8"/>
  <c r="J8" i="8"/>
  <c r="K8" i="8"/>
  <c r="N8" i="8"/>
  <c r="O8" i="8"/>
  <c r="B9" i="8"/>
  <c r="D9" i="8"/>
  <c r="E9" i="8"/>
  <c r="F9" i="8"/>
  <c r="G9" i="8"/>
  <c r="H9" i="8"/>
  <c r="J9" i="8"/>
  <c r="K9" i="8"/>
  <c r="L9" i="8"/>
  <c r="M9" i="8"/>
  <c r="N9" i="8"/>
  <c r="O9" i="8"/>
  <c r="B10" i="8"/>
  <c r="C10" i="8"/>
  <c r="D10" i="8"/>
  <c r="E10" i="8"/>
  <c r="F10" i="8"/>
  <c r="G10" i="8"/>
  <c r="H10" i="8"/>
  <c r="J10" i="8"/>
  <c r="K10" i="8"/>
  <c r="L10" i="8"/>
  <c r="M10" i="8"/>
  <c r="N10" i="8"/>
  <c r="O10" i="8"/>
  <c r="B11" i="8"/>
  <c r="C11" i="8"/>
  <c r="D11" i="8"/>
  <c r="E11" i="8"/>
  <c r="F11" i="8"/>
  <c r="G11" i="8"/>
  <c r="H11" i="8"/>
  <c r="J11" i="8"/>
  <c r="K11" i="8"/>
  <c r="L11" i="8"/>
  <c r="M11" i="8"/>
  <c r="N11" i="8"/>
  <c r="O11" i="8"/>
  <c r="B12" i="8"/>
  <c r="C12" i="8"/>
  <c r="D12" i="8"/>
  <c r="E12" i="8"/>
  <c r="F12" i="8"/>
  <c r="G12" i="8"/>
  <c r="H12" i="8"/>
  <c r="J12" i="8"/>
  <c r="K12" i="8"/>
  <c r="L12" i="8"/>
  <c r="M12" i="8"/>
  <c r="N12" i="8"/>
  <c r="O12" i="8"/>
  <c r="B13" i="8"/>
  <c r="C13" i="8"/>
  <c r="D13" i="8"/>
  <c r="E13" i="8"/>
  <c r="F13" i="8"/>
  <c r="G13" i="8"/>
  <c r="H13" i="8"/>
  <c r="J13" i="8"/>
  <c r="K13" i="8"/>
  <c r="L13" i="8"/>
  <c r="M13" i="8"/>
  <c r="N13" i="8"/>
  <c r="O13" i="8"/>
  <c r="B14" i="8"/>
  <c r="C14" i="8"/>
  <c r="D14" i="8"/>
  <c r="E14" i="8"/>
  <c r="F14" i="8"/>
  <c r="G14" i="8"/>
  <c r="H14" i="8"/>
  <c r="J14" i="8"/>
  <c r="K14" i="8"/>
  <c r="L14" i="8"/>
  <c r="M14" i="8"/>
  <c r="N14" i="8"/>
  <c r="O14" i="8"/>
  <c r="B15" i="8"/>
  <c r="D15" i="8"/>
  <c r="E15" i="8"/>
  <c r="F15" i="8"/>
  <c r="G15" i="8"/>
  <c r="H15" i="8"/>
  <c r="J15" i="8"/>
  <c r="K15" i="8"/>
  <c r="L15" i="8"/>
  <c r="M15" i="8"/>
  <c r="N15" i="8"/>
  <c r="O15" i="8"/>
  <c r="B16" i="8"/>
  <c r="D16" i="8"/>
  <c r="E16" i="8"/>
  <c r="F16" i="8"/>
  <c r="G16" i="8"/>
  <c r="H16" i="8"/>
  <c r="J16" i="8"/>
  <c r="K16" i="8"/>
  <c r="L16" i="8"/>
  <c r="M16" i="8"/>
  <c r="N16" i="8"/>
  <c r="O16" i="8"/>
  <c r="B17" i="8"/>
  <c r="D17" i="8"/>
  <c r="E17" i="8"/>
  <c r="F17" i="8"/>
  <c r="G17" i="8"/>
  <c r="H17" i="8"/>
  <c r="J17" i="8"/>
  <c r="K17" i="8"/>
  <c r="L17" i="8"/>
  <c r="M17" i="8"/>
  <c r="N17" i="8"/>
  <c r="O17" i="8"/>
  <c r="B18" i="8"/>
  <c r="D18" i="8"/>
  <c r="E18" i="8"/>
  <c r="F18" i="8"/>
  <c r="G18" i="8"/>
  <c r="H18" i="8"/>
  <c r="J18" i="8"/>
  <c r="K18" i="8"/>
  <c r="L18" i="8"/>
  <c r="M18" i="8"/>
  <c r="N18" i="8"/>
  <c r="O18" i="8"/>
  <c r="B19" i="8"/>
  <c r="D19" i="8"/>
  <c r="E19" i="8"/>
  <c r="F19" i="8"/>
  <c r="G19" i="8"/>
  <c r="H19" i="8"/>
  <c r="J19" i="8"/>
  <c r="K19" i="8"/>
  <c r="L19" i="8"/>
  <c r="M19" i="8"/>
  <c r="N19" i="8"/>
  <c r="O19" i="8"/>
  <c r="B20" i="8"/>
  <c r="D20" i="8"/>
  <c r="E20" i="8"/>
  <c r="F20" i="8"/>
  <c r="G20" i="8"/>
  <c r="H20" i="8"/>
  <c r="J20" i="8"/>
  <c r="K20" i="8"/>
  <c r="L20" i="8"/>
  <c r="M20" i="8"/>
  <c r="N20" i="8"/>
  <c r="O20" i="8"/>
  <c r="B21" i="8"/>
  <c r="D21" i="8"/>
  <c r="E21" i="8"/>
  <c r="F21" i="8"/>
  <c r="G21" i="8"/>
  <c r="H21" i="8"/>
  <c r="J21" i="8"/>
  <c r="K21" i="8"/>
  <c r="L21" i="8"/>
  <c r="M21" i="8"/>
  <c r="N21" i="8"/>
  <c r="O21" i="8"/>
  <c r="B22" i="8"/>
  <c r="D22" i="8"/>
  <c r="E22" i="8"/>
  <c r="F22" i="8"/>
  <c r="G22" i="8"/>
  <c r="H22" i="8"/>
  <c r="J22" i="8"/>
  <c r="K22" i="8"/>
  <c r="L22" i="8"/>
  <c r="M22" i="8"/>
  <c r="N22" i="8"/>
  <c r="O22" i="8"/>
  <c r="B23" i="8"/>
  <c r="D23" i="8"/>
  <c r="E23" i="8"/>
  <c r="F23" i="8"/>
  <c r="G23" i="8"/>
  <c r="H23" i="8"/>
  <c r="J23" i="8"/>
  <c r="K23" i="8"/>
  <c r="L23" i="8"/>
  <c r="M23" i="8"/>
  <c r="N23" i="8"/>
  <c r="O23" i="8"/>
  <c r="B24" i="8"/>
  <c r="D24" i="8"/>
  <c r="E24" i="8"/>
  <c r="F24" i="8"/>
  <c r="G24" i="8"/>
  <c r="H24" i="8"/>
  <c r="J24" i="8"/>
  <c r="K24" i="8"/>
  <c r="L24" i="8"/>
  <c r="M24" i="8"/>
  <c r="N24" i="8"/>
  <c r="O24" i="8"/>
  <c r="B25" i="8"/>
  <c r="D25" i="8"/>
  <c r="E25" i="8"/>
  <c r="F25" i="8"/>
  <c r="G25" i="8"/>
  <c r="H25" i="8"/>
  <c r="J25" i="8"/>
  <c r="K25" i="8"/>
  <c r="L25" i="8"/>
  <c r="M25" i="8"/>
  <c r="N25" i="8"/>
  <c r="O25" i="8"/>
  <c r="B26" i="8"/>
  <c r="C26" i="8"/>
  <c r="D26" i="8"/>
  <c r="E26" i="8"/>
  <c r="F26" i="8"/>
  <c r="G26" i="8"/>
  <c r="H26" i="8"/>
  <c r="J26" i="8"/>
  <c r="K26" i="8"/>
  <c r="L26" i="8"/>
  <c r="M26" i="8"/>
  <c r="N26" i="8"/>
  <c r="O26" i="8"/>
  <c r="B27" i="8"/>
  <c r="C27" i="8"/>
  <c r="D27" i="8"/>
  <c r="E27" i="8"/>
  <c r="F27" i="8"/>
  <c r="G27" i="8"/>
  <c r="H27" i="8"/>
  <c r="J27" i="8"/>
  <c r="K27" i="8"/>
  <c r="L27" i="8"/>
  <c r="M27" i="8"/>
  <c r="N27" i="8"/>
  <c r="O27" i="8"/>
  <c r="B28" i="8"/>
  <c r="C28" i="8"/>
  <c r="D28" i="8"/>
  <c r="E28" i="8"/>
  <c r="F28" i="8"/>
  <c r="G28" i="8"/>
  <c r="H28" i="8"/>
  <c r="J28" i="8"/>
  <c r="K28" i="8"/>
  <c r="L28" i="8"/>
  <c r="M28" i="8"/>
  <c r="N28" i="8"/>
  <c r="O28" i="8"/>
  <c r="B29" i="8"/>
  <c r="C29" i="8"/>
  <c r="D29" i="8"/>
  <c r="E29" i="8"/>
  <c r="F29" i="8"/>
  <c r="G29" i="8"/>
  <c r="H29" i="8"/>
  <c r="J29" i="8"/>
  <c r="K29" i="8"/>
  <c r="L29" i="8"/>
  <c r="M29" i="8"/>
  <c r="N29" i="8"/>
  <c r="O29" i="8"/>
  <c r="B30" i="8"/>
  <c r="C30" i="8"/>
  <c r="D30" i="8"/>
  <c r="E30" i="8"/>
  <c r="F30" i="8"/>
  <c r="G30" i="8"/>
  <c r="H30" i="8"/>
  <c r="J30" i="8"/>
  <c r="K30" i="8"/>
  <c r="L30" i="8"/>
  <c r="M30" i="8"/>
  <c r="N30" i="8"/>
  <c r="O30" i="8"/>
  <c r="B31" i="8"/>
  <c r="C31" i="8"/>
  <c r="D31" i="8"/>
  <c r="E31" i="8"/>
  <c r="F31" i="8"/>
  <c r="G31" i="8"/>
  <c r="H31" i="8"/>
  <c r="J31" i="8"/>
  <c r="K31" i="8"/>
  <c r="L31" i="8"/>
  <c r="M31" i="8"/>
  <c r="N31" i="8"/>
  <c r="O31" i="8"/>
  <c r="B32" i="8"/>
  <c r="C32" i="8"/>
  <c r="D32" i="8"/>
  <c r="E32" i="8"/>
  <c r="F32" i="8"/>
  <c r="G32" i="8"/>
  <c r="H32" i="8"/>
  <c r="J32" i="8"/>
  <c r="K32" i="8"/>
  <c r="L32" i="8"/>
  <c r="M32" i="8"/>
  <c r="N32" i="8"/>
  <c r="O32" i="8"/>
  <c r="B33" i="8"/>
  <c r="C33" i="8"/>
  <c r="D33" i="8"/>
  <c r="E33" i="8"/>
  <c r="F33" i="8"/>
  <c r="G33" i="8"/>
  <c r="H33" i="8"/>
  <c r="J33" i="8"/>
  <c r="K33" i="8"/>
  <c r="L33" i="8"/>
  <c r="M33" i="8"/>
  <c r="N33" i="8"/>
  <c r="O33" i="8"/>
  <c r="B34" i="8"/>
  <c r="C34" i="8"/>
  <c r="D34" i="8"/>
  <c r="E34" i="8"/>
  <c r="F34" i="8"/>
  <c r="G34" i="8"/>
  <c r="H34" i="8"/>
  <c r="J34" i="8"/>
  <c r="K34" i="8"/>
  <c r="L34" i="8"/>
  <c r="M34" i="8"/>
  <c r="N34" i="8"/>
  <c r="O34" i="8"/>
  <c r="B35" i="8"/>
  <c r="C35" i="8"/>
  <c r="D35" i="8"/>
  <c r="E35" i="8"/>
  <c r="F35" i="8"/>
  <c r="G35" i="8"/>
  <c r="H35" i="8"/>
  <c r="J35" i="8"/>
  <c r="K35" i="8"/>
  <c r="L35" i="8"/>
  <c r="M35" i="8"/>
  <c r="N35" i="8"/>
  <c r="O35" i="8"/>
  <c r="B36" i="8"/>
  <c r="C36" i="8"/>
  <c r="D36" i="8"/>
  <c r="E36" i="8"/>
  <c r="F36" i="8"/>
  <c r="G36" i="8"/>
  <c r="H36" i="8"/>
  <c r="J36" i="8"/>
  <c r="K36" i="8"/>
  <c r="L36" i="8"/>
  <c r="M36" i="8"/>
  <c r="N36" i="8"/>
  <c r="O36" i="8"/>
  <c r="B37" i="8"/>
  <c r="C37" i="8"/>
  <c r="D37" i="8"/>
  <c r="E37" i="8"/>
  <c r="F37" i="8"/>
  <c r="G37" i="8"/>
  <c r="H37" i="8"/>
  <c r="J37" i="8"/>
  <c r="K37" i="8"/>
  <c r="L37" i="8"/>
  <c r="M37" i="8"/>
  <c r="N37" i="8"/>
  <c r="O37" i="8"/>
  <c r="B38" i="8"/>
  <c r="C38" i="8"/>
  <c r="D38" i="8"/>
  <c r="E38" i="8"/>
  <c r="F38" i="8"/>
  <c r="G38" i="8"/>
  <c r="H38" i="8"/>
  <c r="J38" i="8"/>
  <c r="K38" i="8"/>
  <c r="L38" i="8"/>
  <c r="M38" i="8"/>
  <c r="N38" i="8"/>
  <c r="O38" i="8"/>
  <c r="B39" i="8"/>
  <c r="C39" i="8"/>
  <c r="D39" i="8"/>
  <c r="E39" i="8"/>
  <c r="F39" i="8"/>
  <c r="G39" i="8"/>
  <c r="H39" i="8"/>
  <c r="J39" i="8"/>
  <c r="K39" i="8"/>
  <c r="L39" i="8"/>
  <c r="M39" i="8"/>
  <c r="N39" i="8"/>
  <c r="O39" i="8"/>
  <c r="B40" i="8"/>
  <c r="C40" i="8"/>
  <c r="D40" i="8"/>
  <c r="E40" i="8"/>
  <c r="F40" i="8"/>
  <c r="G40" i="8"/>
  <c r="H40" i="8"/>
  <c r="J40" i="8"/>
  <c r="K40" i="8"/>
  <c r="L40" i="8"/>
  <c r="M40" i="8"/>
  <c r="N40" i="8"/>
  <c r="O40" i="8"/>
  <c r="B41" i="8"/>
  <c r="C41" i="8"/>
  <c r="D41" i="8"/>
  <c r="E41" i="8"/>
  <c r="F41" i="8"/>
  <c r="G41" i="8"/>
  <c r="H41" i="8"/>
  <c r="J41" i="8"/>
  <c r="K41" i="8"/>
  <c r="L41" i="8"/>
  <c r="M41" i="8"/>
  <c r="N41" i="8"/>
  <c r="O41" i="8"/>
  <c r="B42" i="8"/>
  <c r="C42" i="8"/>
  <c r="D42" i="8"/>
  <c r="E42" i="8"/>
  <c r="F42" i="8"/>
  <c r="G42" i="8"/>
  <c r="H42" i="8"/>
  <c r="J42" i="8"/>
  <c r="K42" i="8"/>
  <c r="L42" i="8"/>
  <c r="M42" i="8"/>
  <c r="N42" i="8"/>
  <c r="O42" i="8"/>
  <c r="B43" i="8"/>
  <c r="C43" i="8"/>
  <c r="D43" i="8"/>
  <c r="E43" i="8"/>
  <c r="F43" i="8"/>
  <c r="G43" i="8"/>
  <c r="H43" i="8"/>
  <c r="J43" i="8"/>
  <c r="K43" i="8"/>
  <c r="L43" i="8"/>
  <c r="M43" i="8"/>
  <c r="N43" i="8"/>
  <c r="O43" i="8"/>
  <c r="B44" i="8"/>
  <c r="C44" i="8"/>
  <c r="D44" i="8"/>
  <c r="E44" i="8"/>
  <c r="F44" i="8"/>
  <c r="G44" i="8"/>
  <c r="H44" i="8"/>
  <c r="J44" i="8"/>
  <c r="K44" i="8"/>
  <c r="L44" i="8"/>
  <c r="M44" i="8"/>
  <c r="N44" i="8"/>
  <c r="O44" i="8"/>
  <c r="B45" i="8"/>
  <c r="C45" i="8"/>
  <c r="D45" i="8"/>
  <c r="E45" i="8"/>
  <c r="F45" i="8"/>
  <c r="G45" i="8"/>
  <c r="H45" i="8"/>
  <c r="J45" i="8"/>
  <c r="K45" i="8"/>
  <c r="L45" i="8"/>
  <c r="M45" i="8"/>
  <c r="N45" i="8"/>
  <c r="O45" i="8"/>
  <c r="B46" i="8"/>
  <c r="C46" i="8"/>
  <c r="D46" i="8"/>
  <c r="E46" i="8"/>
  <c r="F46" i="8"/>
  <c r="G46" i="8"/>
  <c r="H46" i="8"/>
  <c r="J46" i="8"/>
  <c r="K46" i="8"/>
  <c r="L46" i="8"/>
  <c r="M46" i="8"/>
  <c r="N46" i="8"/>
  <c r="O46" i="8"/>
  <c r="B47" i="8"/>
  <c r="C47" i="8"/>
  <c r="D47" i="8"/>
  <c r="E47" i="8"/>
  <c r="F47" i="8"/>
  <c r="G47" i="8"/>
  <c r="H47" i="8"/>
  <c r="J47" i="8"/>
  <c r="K47" i="8"/>
  <c r="L47" i="8"/>
  <c r="M47" i="8"/>
  <c r="N47" i="8"/>
  <c r="O47" i="8"/>
  <c r="B48" i="8"/>
  <c r="C48" i="8"/>
  <c r="D48" i="8"/>
  <c r="E48" i="8"/>
  <c r="F48" i="8"/>
  <c r="G48" i="8"/>
  <c r="H48" i="8"/>
  <c r="J48" i="8"/>
  <c r="K48" i="8"/>
  <c r="L48" i="8"/>
  <c r="M48" i="8"/>
  <c r="N48" i="8"/>
  <c r="O48" i="8"/>
  <c r="B49" i="8"/>
  <c r="C49" i="8"/>
  <c r="D49" i="8"/>
  <c r="E49" i="8"/>
  <c r="F49" i="8"/>
  <c r="G49" i="8"/>
  <c r="H49" i="8"/>
  <c r="J49" i="8"/>
  <c r="K49" i="8"/>
  <c r="L49" i="8"/>
  <c r="M49" i="8"/>
  <c r="N49" i="8"/>
  <c r="O49" i="8"/>
  <c r="B50" i="8"/>
  <c r="C50" i="8"/>
  <c r="D50" i="8"/>
  <c r="E50" i="8"/>
  <c r="F50" i="8"/>
  <c r="G50" i="8"/>
  <c r="H50" i="8"/>
  <c r="J50" i="8"/>
  <c r="K50" i="8"/>
  <c r="L50" i="8"/>
  <c r="M50" i="8"/>
  <c r="N50" i="8"/>
  <c r="O50" i="8"/>
  <c r="B51" i="8"/>
  <c r="C51" i="8"/>
  <c r="D51" i="8"/>
  <c r="E51" i="8"/>
  <c r="F51" i="8"/>
  <c r="G51" i="8"/>
  <c r="H51" i="8"/>
  <c r="J51" i="8"/>
  <c r="K51" i="8"/>
  <c r="L51" i="8"/>
  <c r="M51" i="8"/>
  <c r="N51" i="8"/>
  <c r="O51" i="8"/>
  <c r="B52" i="8"/>
  <c r="C52" i="8"/>
  <c r="D52" i="8"/>
  <c r="E52" i="8"/>
  <c r="F52" i="8"/>
  <c r="G52" i="8"/>
  <c r="H52" i="8"/>
  <c r="J52" i="8"/>
  <c r="K52" i="8"/>
  <c r="L52" i="8"/>
  <c r="M52" i="8"/>
  <c r="N52" i="8"/>
  <c r="O52" i="8"/>
  <c r="B53" i="8"/>
  <c r="C53" i="8"/>
  <c r="D53" i="8"/>
  <c r="E53" i="8"/>
  <c r="F53" i="8"/>
  <c r="G53" i="8"/>
  <c r="H53" i="8"/>
  <c r="J53" i="8"/>
  <c r="K53" i="8"/>
  <c r="L53" i="8"/>
  <c r="M53" i="8"/>
  <c r="N53" i="8"/>
  <c r="O53" i="8"/>
  <c r="A3" i="12"/>
  <c r="B3" i="12"/>
  <c r="C3" i="12"/>
  <c r="D3" i="12"/>
  <c r="E3" i="12"/>
  <c r="F3" i="12"/>
  <c r="G3" i="12"/>
  <c r="H3" i="12"/>
  <c r="A4" i="12"/>
  <c r="B4" i="12"/>
  <c r="C4" i="12"/>
  <c r="D4" i="12"/>
  <c r="E4" i="12"/>
  <c r="F4" i="12"/>
  <c r="G4" i="12"/>
  <c r="H4" i="12"/>
  <c r="B6" i="12"/>
  <c r="B7" i="12"/>
  <c r="B10" i="12"/>
  <c r="C10" i="12"/>
  <c r="G10" i="12"/>
  <c r="B11" i="12"/>
  <c r="C11" i="12"/>
  <c r="G11" i="12"/>
  <c r="B12" i="12"/>
  <c r="G12" i="12"/>
  <c r="F13" i="12"/>
  <c r="B14" i="12"/>
  <c r="C14" i="12"/>
  <c r="F14" i="12"/>
  <c r="B15" i="12"/>
  <c r="C15" i="12"/>
  <c r="G15" i="12"/>
  <c r="B16" i="12"/>
  <c r="C16" i="12"/>
  <c r="G16" i="12"/>
  <c r="H16" i="12"/>
  <c r="I16" i="12"/>
  <c r="B18" i="12"/>
  <c r="B19" i="12"/>
  <c r="B20" i="12"/>
  <c r="B21" i="12"/>
  <c r="B22" i="12"/>
  <c r="H1" i="9"/>
  <c r="E2" i="9"/>
  <c r="H2" i="9"/>
  <c r="B3" i="9"/>
  <c r="E3" i="9"/>
  <c r="K3" i="9"/>
  <c r="N3" i="9"/>
  <c r="B4" i="9"/>
  <c r="E4" i="9"/>
  <c r="F4" i="9"/>
  <c r="K4" i="9"/>
  <c r="N4" i="9"/>
  <c r="O4" i="9"/>
  <c r="C5" i="9"/>
  <c r="E5" i="9"/>
  <c r="K5" i="9"/>
  <c r="N5" i="9"/>
  <c r="K6" i="9"/>
  <c r="A8" i="9"/>
  <c r="B8" i="9"/>
  <c r="H8" i="9"/>
  <c r="J8" i="9"/>
  <c r="K8" i="9"/>
  <c r="N8" i="9"/>
  <c r="O8" i="9"/>
  <c r="B9" i="9"/>
  <c r="D9" i="9"/>
  <c r="E9" i="9"/>
  <c r="F9" i="9"/>
  <c r="G9" i="9"/>
  <c r="H9" i="9"/>
  <c r="J9" i="9"/>
  <c r="K9" i="9"/>
  <c r="L9" i="9"/>
  <c r="M9" i="9"/>
  <c r="N9" i="9"/>
  <c r="O9" i="9"/>
  <c r="B10" i="9"/>
  <c r="D10" i="9"/>
  <c r="E10" i="9"/>
  <c r="F10" i="9"/>
  <c r="G10" i="9"/>
  <c r="H10" i="9"/>
  <c r="J10" i="9"/>
  <c r="K10" i="9"/>
  <c r="L10" i="9"/>
  <c r="M10" i="9"/>
  <c r="N10" i="9"/>
  <c r="O10" i="9"/>
  <c r="B11" i="9"/>
  <c r="D11" i="9"/>
  <c r="E11" i="9"/>
  <c r="F11" i="9"/>
  <c r="G11" i="9"/>
  <c r="H11" i="9"/>
  <c r="J11" i="9"/>
  <c r="K11" i="9"/>
  <c r="L11" i="9"/>
  <c r="M11" i="9"/>
  <c r="N11" i="9"/>
  <c r="O11" i="9"/>
  <c r="B12" i="9"/>
  <c r="D12" i="9"/>
  <c r="E12" i="9"/>
  <c r="F12" i="9"/>
  <c r="G12" i="9"/>
  <c r="H12" i="9"/>
  <c r="J12" i="9"/>
  <c r="K12" i="9"/>
  <c r="L12" i="9"/>
  <c r="M12" i="9"/>
  <c r="N12" i="9"/>
  <c r="O12" i="9"/>
  <c r="B13" i="9"/>
  <c r="D13" i="9"/>
  <c r="E13" i="9"/>
  <c r="F13" i="9"/>
  <c r="G13" i="9"/>
  <c r="H13" i="9"/>
  <c r="J13" i="9"/>
  <c r="K13" i="9"/>
  <c r="L13" i="9"/>
  <c r="M13" i="9"/>
  <c r="N13" i="9"/>
  <c r="O13" i="9"/>
  <c r="B14" i="9"/>
  <c r="D14" i="9"/>
  <c r="E14" i="9"/>
  <c r="F14" i="9"/>
  <c r="G14" i="9"/>
  <c r="H14" i="9"/>
  <c r="J14" i="9"/>
  <c r="K14" i="9"/>
  <c r="L14" i="9"/>
  <c r="M14" i="9"/>
  <c r="N14" i="9"/>
  <c r="O14" i="9"/>
  <c r="B15" i="9"/>
  <c r="D15" i="9"/>
  <c r="E15" i="9"/>
  <c r="F15" i="9"/>
  <c r="G15" i="9"/>
  <c r="H15" i="9"/>
  <c r="J15" i="9"/>
  <c r="K15" i="9"/>
  <c r="L15" i="9"/>
  <c r="M15" i="9"/>
  <c r="N15" i="9"/>
  <c r="O15" i="9"/>
  <c r="B16" i="9"/>
  <c r="D16" i="9"/>
  <c r="E16" i="9"/>
  <c r="F16" i="9"/>
  <c r="G16" i="9"/>
  <c r="H16" i="9"/>
  <c r="J16" i="9"/>
  <c r="K16" i="9"/>
  <c r="L16" i="9"/>
  <c r="M16" i="9"/>
  <c r="N16" i="9"/>
  <c r="O16" i="9"/>
  <c r="B17" i="9"/>
  <c r="D17" i="9"/>
  <c r="E17" i="9"/>
  <c r="F17" i="9"/>
  <c r="G17" i="9"/>
  <c r="H17" i="9"/>
  <c r="J17" i="9"/>
  <c r="K17" i="9"/>
  <c r="L17" i="9"/>
  <c r="M17" i="9"/>
  <c r="N17" i="9"/>
  <c r="O17" i="9"/>
  <c r="B18" i="9"/>
  <c r="D18" i="9"/>
  <c r="E18" i="9"/>
  <c r="F18" i="9"/>
  <c r="G18" i="9"/>
  <c r="H18" i="9"/>
  <c r="J18" i="9"/>
  <c r="K18" i="9"/>
  <c r="L18" i="9"/>
  <c r="M18" i="9"/>
  <c r="N18" i="9"/>
  <c r="O18" i="9"/>
  <c r="B19" i="9"/>
  <c r="D19" i="9"/>
  <c r="E19" i="9"/>
  <c r="F19" i="9"/>
  <c r="G19" i="9"/>
  <c r="H19" i="9"/>
  <c r="J19" i="9"/>
  <c r="K19" i="9"/>
  <c r="L19" i="9"/>
  <c r="M19" i="9"/>
  <c r="N19" i="9"/>
  <c r="O19" i="9"/>
  <c r="B20" i="9"/>
  <c r="C20" i="9"/>
  <c r="D20" i="9"/>
  <c r="E20" i="9"/>
  <c r="F20" i="9"/>
  <c r="G20" i="9"/>
  <c r="H20" i="9"/>
  <c r="J20" i="9"/>
  <c r="K20" i="9"/>
  <c r="L20" i="9"/>
  <c r="M20" i="9"/>
  <c r="N20" i="9"/>
  <c r="O20" i="9"/>
  <c r="B21" i="9"/>
  <c r="C21" i="9"/>
  <c r="D21" i="9"/>
  <c r="E21" i="9"/>
  <c r="F21" i="9"/>
  <c r="G21" i="9"/>
  <c r="H21" i="9"/>
  <c r="J21" i="9"/>
  <c r="K21" i="9"/>
  <c r="L21" i="9"/>
  <c r="M21" i="9"/>
  <c r="N21" i="9"/>
  <c r="O21" i="9"/>
  <c r="B22" i="9"/>
  <c r="C22" i="9"/>
  <c r="D22" i="9"/>
  <c r="E22" i="9"/>
  <c r="F22" i="9"/>
  <c r="G22" i="9"/>
  <c r="H22" i="9"/>
  <c r="J22" i="9"/>
  <c r="K22" i="9"/>
  <c r="L22" i="9"/>
  <c r="M22" i="9"/>
  <c r="N22" i="9"/>
  <c r="O22" i="9"/>
  <c r="B23" i="9"/>
  <c r="C23" i="9"/>
  <c r="D23" i="9"/>
  <c r="E23" i="9"/>
  <c r="F23" i="9"/>
  <c r="G23" i="9"/>
  <c r="H23" i="9"/>
  <c r="J23" i="9"/>
  <c r="K23" i="9"/>
  <c r="L23" i="9"/>
  <c r="M23" i="9"/>
  <c r="N23" i="9"/>
  <c r="O23" i="9"/>
  <c r="B24" i="9"/>
  <c r="C24" i="9"/>
  <c r="D24" i="9"/>
  <c r="E24" i="9"/>
  <c r="F24" i="9"/>
  <c r="G24" i="9"/>
  <c r="H24" i="9"/>
  <c r="J24" i="9"/>
  <c r="K24" i="9"/>
  <c r="L24" i="9"/>
  <c r="M24" i="9"/>
  <c r="N24" i="9"/>
  <c r="O24" i="9"/>
  <c r="B25" i="9"/>
  <c r="C25" i="9"/>
  <c r="D25" i="9"/>
  <c r="E25" i="9"/>
  <c r="F25" i="9"/>
  <c r="G25" i="9"/>
  <c r="H25" i="9"/>
  <c r="J25" i="9"/>
  <c r="K25" i="9"/>
  <c r="L25" i="9"/>
  <c r="M25" i="9"/>
  <c r="N25" i="9"/>
  <c r="O25" i="9"/>
  <c r="B26" i="9"/>
  <c r="C26" i="9"/>
  <c r="D26" i="9"/>
  <c r="E26" i="9"/>
  <c r="F26" i="9"/>
  <c r="G26" i="9"/>
  <c r="H26" i="9"/>
  <c r="J26" i="9"/>
  <c r="K26" i="9"/>
  <c r="L26" i="9"/>
  <c r="M26" i="9"/>
  <c r="N26" i="9"/>
  <c r="O26" i="9"/>
  <c r="B27" i="9"/>
  <c r="C27" i="9"/>
  <c r="D27" i="9"/>
  <c r="E27" i="9"/>
  <c r="F27" i="9"/>
  <c r="G27" i="9"/>
  <c r="H27" i="9"/>
  <c r="J27" i="9"/>
  <c r="K27" i="9"/>
  <c r="L27" i="9"/>
  <c r="M27" i="9"/>
  <c r="N27" i="9"/>
  <c r="O27" i="9"/>
  <c r="B28" i="9"/>
  <c r="C28" i="9"/>
  <c r="D28" i="9"/>
  <c r="E28" i="9"/>
  <c r="F28" i="9"/>
  <c r="G28" i="9"/>
  <c r="H28" i="9"/>
  <c r="J28" i="9"/>
  <c r="K28" i="9"/>
  <c r="L28" i="9"/>
  <c r="M28" i="9"/>
  <c r="N28" i="9"/>
  <c r="O28" i="9"/>
  <c r="B29" i="9"/>
  <c r="C29" i="9"/>
  <c r="D29" i="9"/>
  <c r="E29" i="9"/>
  <c r="F29" i="9"/>
  <c r="G29" i="9"/>
  <c r="H29" i="9"/>
  <c r="J29" i="9"/>
  <c r="K29" i="9"/>
  <c r="L29" i="9"/>
  <c r="M29" i="9"/>
  <c r="N29" i="9"/>
  <c r="O29" i="9"/>
  <c r="B30" i="9"/>
  <c r="C30" i="9"/>
  <c r="D30" i="9"/>
  <c r="E30" i="9"/>
  <c r="F30" i="9"/>
  <c r="G30" i="9"/>
  <c r="H30" i="9"/>
  <c r="J30" i="9"/>
  <c r="K30" i="9"/>
  <c r="L30" i="9"/>
  <c r="M30" i="9"/>
  <c r="N30" i="9"/>
  <c r="O30" i="9"/>
  <c r="B31" i="9"/>
  <c r="C31" i="9"/>
  <c r="D31" i="9"/>
  <c r="E31" i="9"/>
  <c r="F31" i="9"/>
  <c r="G31" i="9"/>
  <c r="H31" i="9"/>
  <c r="J31" i="9"/>
  <c r="K31" i="9"/>
  <c r="L31" i="9"/>
  <c r="M31" i="9"/>
  <c r="N31" i="9"/>
  <c r="O31" i="9"/>
  <c r="B32" i="9"/>
  <c r="C32" i="9"/>
  <c r="D32" i="9"/>
  <c r="E32" i="9"/>
  <c r="F32" i="9"/>
  <c r="G32" i="9"/>
  <c r="H32" i="9"/>
  <c r="J32" i="9"/>
  <c r="K32" i="9"/>
  <c r="L32" i="9"/>
  <c r="M32" i="9"/>
  <c r="N32" i="9"/>
  <c r="O32" i="9"/>
  <c r="B33" i="9"/>
  <c r="C33" i="9"/>
  <c r="D33" i="9"/>
  <c r="E33" i="9"/>
  <c r="F33" i="9"/>
  <c r="G33" i="9"/>
  <c r="H33" i="9"/>
  <c r="J33" i="9"/>
  <c r="K33" i="9"/>
  <c r="L33" i="9"/>
  <c r="M33" i="9"/>
  <c r="N33" i="9"/>
  <c r="O33" i="9"/>
  <c r="B34" i="9"/>
  <c r="C34" i="9"/>
  <c r="D34" i="9"/>
  <c r="E34" i="9"/>
  <c r="F34" i="9"/>
  <c r="G34" i="9"/>
  <c r="H34" i="9"/>
  <c r="J34" i="9"/>
  <c r="K34" i="9"/>
  <c r="L34" i="9"/>
  <c r="M34" i="9"/>
  <c r="N34" i="9"/>
  <c r="O34" i="9"/>
  <c r="B35" i="9"/>
  <c r="C35" i="9"/>
  <c r="D35" i="9"/>
  <c r="E35" i="9"/>
  <c r="F35" i="9"/>
  <c r="G35" i="9"/>
  <c r="H35" i="9"/>
  <c r="J35" i="9"/>
  <c r="K35" i="9"/>
  <c r="L35" i="9"/>
  <c r="M35" i="9"/>
  <c r="N35" i="9"/>
  <c r="O35" i="9"/>
  <c r="B36" i="9"/>
  <c r="C36" i="9"/>
  <c r="D36" i="9"/>
  <c r="E36" i="9"/>
  <c r="F36" i="9"/>
  <c r="G36" i="9"/>
  <c r="H36" i="9"/>
  <c r="J36" i="9"/>
  <c r="K36" i="9"/>
  <c r="L36" i="9"/>
  <c r="M36" i="9"/>
  <c r="N36" i="9"/>
  <c r="O36" i="9"/>
  <c r="B37" i="9"/>
  <c r="C37" i="9"/>
  <c r="D37" i="9"/>
  <c r="E37" i="9"/>
  <c r="F37" i="9"/>
  <c r="G37" i="9"/>
  <c r="H37" i="9"/>
  <c r="J37" i="9"/>
  <c r="K37" i="9"/>
  <c r="L37" i="9"/>
  <c r="M37" i="9"/>
  <c r="N37" i="9"/>
  <c r="O37" i="9"/>
  <c r="B38" i="9"/>
  <c r="C38" i="9"/>
  <c r="D38" i="9"/>
  <c r="E38" i="9"/>
  <c r="F38" i="9"/>
  <c r="G38" i="9"/>
  <c r="H38" i="9"/>
  <c r="J38" i="9"/>
  <c r="K38" i="9"/>
  <c r="L38" i="9"/>
  <c r="M38" i="9"/>
  <c r="N38" i="9"/>
  <c r="O38" i="9"/>
  <c r="B39" i="9"/>
  <c r="C39" i="9"/>
  <c r="D39" i="9"/>
  <c r="E39" i="9"/>
  <c r="F39" i="9"/>
  <c r="G39" i="9"/>
  <c r="H39" i="9"/>
  <c r="J39" i="9"/>
  <c r="K39" i="9"/>
  <c r="L39" i="9"/>
  <c r="M39" i="9"/>
  <c r="N39" i="9"/>
  <c r="O39" i="9"/>
  <c r="B40" i="9"/>
  <c r="C40" i="9"/>
  <c r="D40" i="9"/>
  <c r="E40" i="9"/>
  <c r="F40" i="9"/>
  <c r="G40" i="9"/>
  <c r="H40" i="9"/>
  <c r="J40" i="9"/>
  <c r="K40" i="9"/>
  <c r="L40" i="9"/>
  <c r="M40" i="9"/>
  <c r="N40" i="9"/>
  <c r="O40" i="9"/>
  <c r="B41" i="9"/>
  <c r="C41" i="9"/>
  <c r="D41" i="9"/>
  <c r="E41" i="9"/>
  <c r="F41" i="9"/>
  <c r="G41" i="9"/>
  <c r="H41" i="9"/>
  <c r="J41" i="9"/>
  <c r="K41" i="9"/>
  <c r="L41" i="9"/>
  <c r="M41" i="9"/>
  <c r="N41" i="9"/>
  <c r="O41" i="9"/>
  <c r="B42" i="9"/>
  <c r="C42" i="9"/>
  <c r="D42" i="9"/>
  <c r="E42" i="9"/>
  <c r="F42" i="9"/>
  <c r="G42" i="9"/>
  <c r="H42" i="9"/>
  <c r="J42" i="9"/>
  <c r="K42" i="9"/>
  <c r="L42" i="9"/>
  <c r="M42" i="9"/>
  <c r="N42" i="9"/>
  <c r="O42" i="9"/>
  <c r="B43" i="9"/>
  <c r="C43" i="9"/>
  <c r="D43" i="9"/>
  <c r="E43" i="9"/>
  <c r="F43" i="9"/>
  <c r="G43" i="9"/>
  <c r="H43" i="9"/>
  <c r="J43" i="9"/>
  <c r="K43" i="9"/>
  <c r="L43" i="9"/>
  <c r="M43" i="9"/>
  <c r="N43" i="9"/>
  <c r="O43" i="9"/>
  <c r="B44" i="9"/>
  <c r="C44" i="9"/>
  <c r="D44" i="9"/>
  <c r="E44" i="9"/>
  <c r="F44" i="9"/>
  <c r="G44" i="9"/>
  <c r="H44" i="9"/>
  <c r="J44" i="9"/>
  <c r="K44" i="9"/>
  <c r="L44" i="9"/>
  <c r="M44" i="9"/>
  <c r="N44" i="9"/>
  <c r="O44" i="9"/>
  <c r="B45" i="9"/>
  <c r="C45" i="9"/>
  <c r="D45" i="9"/>
  <c r="E45" i="9"/>
  <c r="F45" i="9"/>
  <c r="G45" i="9"/>
  <c r="H45" i="9"/>
  <c r="J45" i="9"/>
  <c r="K45" i="9"/>
  <c r="L45" i="9"/>
  <c r="M45" i="9"/>
  <c r="N45" i="9"/>
  <c r="O45" i="9"/>
  <c r="B46" i="9"/>
  <c r="C46" i="9"/>
  <c r="D46" i="9"/>
  <c r="E46" i="9"/>
  <c r="F46" i="9"/>
  <c r="G46" i="9"/>
  <c r="H46" i="9"/>
  <c r="J46" i="9"/>
  <c r="K46" i="9"/>
  <c r="L46" i="9"/>
  <c r="M46" i="9"/>
  <c r="N46" i="9"/>
  <c r="O46" i="9"/>
  <c r="B47" i="9"/>
  <c r="C47" i="9"/>
  <c r="D47" i="9"/>
  <c r="E47" i="9"/>
  <c r="F47" i="9"/>
  <c r="G47" i="9"/>
  <c r="H47" i="9"/>
  <c r="J47" i="9"/>
  <c r="K47" i="9"/>
  <c r="L47" i="9"/>
  <c r="M47" i="9"/>
  <c r="N47" i="9"/>
  <c r="O47" i="9"/>
  <c r="A3" i="10"/>
  <c r="B3" i="10"/>
  <c r="C3" i="10"/>
  <c r="D3" i="10"/>
  <c r="E3" i="10"/>
  <c r="F3" i="10"/>
  <c r="G3" i="10"/>
  <c r="H3" i="10"/>
  <c r="A4" i="10"/>
  <c r="B4" i="10"/>
  <c r="C4" i="10"/>
  <c r="D4" i="10"/>
  <c r="E4" i="10"/>
  <c r="F4" i="10"/>
  <c r="G4" i="10"/>
  <c r="H4" i="10"/>
  <c r="B6" i="10"/>
  <c r="B7" i="10"/>
  <c r="B10" i="10"/>
  <c r="C10" i="10"/>
  <c r="G10" i="10"/>
  <c r="B11" i="10"/>
  <c r="C11" i="10"/>
  <c r="G11" i="10"/>
  <c r="B12" i="10"/>
  <c r="G12" i="10"/>
  <c r="F13" i="10"/>
  <c r="B14" i="10"/>
  <c r="C14" i="10"/>
  <c r="F14" i="10"/>
  <c r="B15" i="10"/>
  <c r="C15" i="10"/>
  <c r="G15" i="10"/>
  <c r="B16" i="10"/>
  <c r="C16" i="10"/>
  <c r="G16" i="10"/>
  <c r="H16" i="10"/>
  <c r="I16" i="10"/>
  <c r="B18" i="10"/>
  <c r="B19" i="10"/>
  <c r="B20" i="10"/>
  <c r="B21" i="10"/>
  <c r="B22" i="10"/>
  <c r="H1" i="7"/>
  <c r="E2" i="7"/>
  <c r="H2" i="7"/>
  <c r="B3" i="7"/>
  <c r="E3" i="7"/>
  <c r="K3" i="7"/>
  <c r="N3" i="7"/>
  <c r="B4" i="7"/>
  <c r="E4" i="7"/>
  <c r="F4" i="7"/>
  <c r="K4" i="7"/>
  <c r="N4" i="7"/>
  <c r="O4" i="7"/>
  <c r="C5" i="7"/>
  <c r="E5" i="7"/>
  <c r="K5" i="7"/>
  <c r="N5" i="7"/>
  <c r="K6" i="7"/>
  <c r="A8" i="7"/>
  <c r="B8" i="7"/>
  <c r="H8" i="7"/>
  <c r="J8" i="7"/>
  <c r="K8" i="7"/>
  <c r="N8" i="7"/>
  <c r="O8" i="7"/>
  <c r="B9" i="7"/>
  <c r="D9" i="7"/>
  <c r="E9" i="7"/>
  <c r="F9" i="7"/>
  <c r="G9" i="7"/>
  <c r="H9" i="7"/>
  <c r="J9" i="7"/>
  <c r="K9" i="7"/>
  <c r="L9" i="7"/>
  <c r="M9" i="7"/>
  <c r="N9" i="7"/>
  <c r="O9" i="7"/>
  <c r="B10" i="7"/>
  <c r="D10" i="7"/>
  <c r="E10" i="7"/>
  <c r="F10" i="7"/>
  <c r="G10" i="7"/>
  <c r="H10" i="7"/>
  <c r="J10" i="7"/>
  <c r="K10" i="7"/>
  <c r="L10" i="7"/>
  <c r="M10" i="7"/>
  <c r="N10" i="7"/>
  <c r="O10" i="7"/>
  <c r="B11" i="7"/>
  <c r="D11" i="7"/>
  <c r="E11" i="7"/>
  <c r="F11" i="7"/>
  <c r="G11" i="7"/>
  <c r="H11" i="7"/>
  <c r="J11" i="7"/>
  <c r="K11" i="7"/>
  <c r="L11" i="7"/>
  <c r="M11" i="7"/>
  <c r="N11" i="7"/>
  <c r="O11" i="7"/>
  <c r="B12" i="7"/>
  <c r="D12" i="7"/>
  <c r="E12" i="7"/>
  <c r="F12" i="7"/>
  <c r="G12" i="7"/>
  <c r="H12" i="7"/>
  <c r="J12" i="7"/>
  <c r="K12" i="7"/>
  <c r="L12" i="7"/>
  <c r="M12" i="7"/>
  <c r="N12" i="7"/>
  <c r="O12" i="7"/>
  <c r="B13" i="7"/>
  <c r="D13" i="7"/>
  <c r="E13" i="7"/>
  <c r="F13" i="7"/>
  <c r="G13" i="7"/>
  <c r="H13" i="7"/>
  <c r="J13" i="7"/>
  <c r="K13" i="7"/>
  <c r="L13" i="7"/>
  <c r="M13" i="7"/>
  <c r="N13" i="7"/>
  <c r="O13" i="7"/>
  <c r="B14" i="7"/>
  <c r="D14" i="7"/>
  <c r="E14" i="7"/>
  <c r="F14" i="7"/>
  <c r="G14" i="7"/>
  <c r="H14" i="7"/>
  <c r="J14" i="7"/>
  <c r="K14" i="7"/>
  <c r="L14" i="7"/>
  <c r="M14" i="7"/>
  <c r="N14" i="7"/>
  <c r="O14" i="7"/>
  <c r="B15" i="7"/>
  <c r="D15" i="7"/>
  <c r="E15" i="7"/>
  <c r="F15" i="7"/>
  <c r="G15" i="7"/>
  <c r="H15" i="7"/>
  <c r="J15" i="7"/>
  <c r="K15" i="7"/>
  <c r="L15" i="7"/>
  <c r="M15" i="7"/>
  <c r="N15" i="7"/>
  <c r="O15" i="7"/>
  <c r="B16" i="7"/>
  <c r="D16" i="7"/>
  <c r="E16" i="7"/>
  <c r="F16" i="7"/>
  <c r="G16" i="7"/>
  <c r="H16" i="7"/>
  <c r="J16" i="7"/>
  <c r="K16" i="7"/>
  <c r="L16" i="7"/>
  <c r="M16" i="7"/>
  <c r="N16" i="7"/>
  <c r="O16" i="7"/>
  <c r="B17" i="7"/>
  <c r="D17" i="7"/>
  <c r="E17" i="7"/>
  <c r="F17" i="7"/>
  <c r="G17" i="7"/>
  <c r="H17" i="7"/>
  <c r="J17" i="7"/>
  <c r="K17" i="7"/>
  <c r="L17" i="7"/>
  <c r="M17" i="7"/>
  <c r="N17" i="7"/>
  <c r="O17" i="7"/>
  <c r="B18" i="7"/>
  <c r="D18" i="7"/>
  <c r="E18" i="7"/>
  <c r="F18" i="7"/>
  <c r="G18" i="7"/>
  <c r="H18" i="7"/>
  <c r="J18" i="7"/>
  <c r="K18" i="7"/>
  <c r="L18" i="7"/>
  <c r="M18" i="7"/>
  <c r="N18" i="7"/>
  <c r="O18" i="7"/>
  <c r="B19" i="7"/>
  <c r="D19" i="7"/>
  <c r="E19" i="7"/>
  <c r="F19" i="7"/>
  <c r="G19" i="7"/>
  <c r="H19" i="7"/>
  <c r="J19" i="7"/>
  <c r="K19" i="7"/>
  <c r="L19" i="7"/>
  <c r="M19" i="7"/>
  <c r="N19" i="7"/>
  <c r="O19" i="7"/>
  <c r="B20" i="7"/>
  <c r="D20" i="7"/>
  <c r="E20" i="7"/>
  <c r="F20" i="7"/>
  <c r="G20" i="7"/>
  <c r="H20" i="7"/>
  <c r="J20" i="7"/>
  <c r="K20" i="7"/>
  <c r="L20" i="7"/>
  <c r="M20" i="7"/>
  <c r="N20" i="7"/>
  <c r="O20" i="7"/>
  <c r="B21" i="7"/>
  <c r="C21" i="7"/>
  <c r="D21" i="7"/>
  <c r="E21" i="7"/>
  <c r="F21" i="7"/>
  <c r="G21" i="7"/>
  <c r="H21" i="7"/>
  <c r="J21" i="7"/>
  <c r="K21" i="7"/>
  <c r="L21" i="7"/>
  <c r="M21" i="7"/>
  <c r="N21" i="7"/>
  <c r="O21" i="7"/>
  <c r="B22" i="7"/>
  <c r="C22" i="7"/>
  <c r="D22" i="7"/>
  <c r="E22" i="7"/>
  <c r="F22" i="7"/>
  <c r="G22" i="7"/>
  <c r="H22" i="7"/>
  <c r="J22" i="7"/>
  <c r="K22" i="7"/>
  <c r="L22" i="7"/>
  <c r="M22" i="7"/>
  <c r="N22" i="7"/>
  <c r="O22" i="7"/>
  <c r="B23" i="7"/>
  <c r="C23" i="7"/>
  <c r="D23" i="7"/>
  <c r="E23" i="7"/>
  <c r="F23" i="7"/>
  <c r="G23" i="7"/>
  <c r="H23" i="7"/>
  <c r="J23" i="7"/>
  <c r="K23" i="7"/>
  <c r="L23" i="7"/>
  <c r="M23" i="7"/>
  <c r="N23" i="7"/>
  <c r="O23" i="7"/>
  <c r="B24" i="7"/>
  <c r="C24" i="7"/>
  <c r="D24" i="7"/>
  <c r="E24" i="7"/>
  <c r="F24" i="7"/>
  <c r="G24" i="7"/>
  <c r="H24" i="7"/>
  <c r="J24" i="7"/>
  <c r="K24" i="7"/>
  <c r="L24" i="7"/>
  <c r="M24" i="7"/>
  <c r="N24" i="7"/>
  <c r="O24" i="7"/>
  <c r="B25" i="7"/>
  <c r="C25" i="7"/>
  <c r="D25" i="7"/>
  <c r="E25" i="7"/>
  <c r="F25" i="7"/>
  <c r="G25" i="7"/>
  <c r="H25" i="7"/>
  <c r="J25" i="7"/>
  <c r="K25" i="7"/>
  <c r="L25" i="7"/>
  <c r="M25" i="7"/>
  <c r="N25" i="7"/>
  <c r="O25" i="7"/>
  <c r="B26" i="7"/>
  <c r="C26" i="7"/>
  <c r="D26" i="7"/>
  <c r="E26" i="7"/>
  <c r="F26" i="7"/>
  <c r="G26" i="7"/>
  <c r="H26" i="7"/>
  <c r="J26" i="7"/>
  <c r="K26" i="7"/>
  <c r="L26" i="7"/>
  <c r="M26" i="7"/>
  <c r="N26" i="7"/>
  <c r="O26" i="7"/>
  <c r="B27" i="7"/>
  <c r="C27" i="7"/>
  <c r="D27" i="7"/>
  <c r="E27" i="7"/>
  <c r="F27" i="7"/>
  <c r="G27" i="7"/>
  <c r="H27" i="7"/>
  <c r="J27" i="7"/>
  <c r="K27" i="7"/>
  <c r="L27" i="7"/>
  <c r="M27" i="7"/>
  <c r="N27" i="7"/>
  <c r="O27" i="7"/>
  <c r="B28" i="7"/>
  <c r="C28" i="7"/>
  <c r="D28" i="7"/>
  <c r="E28" i="7"/>
  <c r="F28" i="7"/>
  <c r="G28" i="7"/>
  <c r="H28" i="7"/>
  <c r="J28" i="7"/>
  <c r="K28" i="7"/>
  <c r="L28" i="7"/>
  <c r="M28" i="7"/>
  <c r="N28" i="7"/>
  <c r="O28" i="7"/>
  <c r="B29" i="7"/>
  <c r="C29" i="7"/>
  <c r="D29" i="7"/>
  <c r="E29" i="7"/>
  <c r="F29" i="7"/>
  <c r="G29" i="7"/>
  <c r="H29" i="7"/>
  <c r="J29" i="7"/>
  <c r="K29" i="7"/>
  <c r="L29" i="7"/>
  <c r="M29" i="7"/>
  <c r="N29" i="7"/>
  <c r="O29" i="7"/>
  <c r="B30" i="7"/>
  <c r="C30" i="7"/>
  <c r="D30" i="7"/>
  <c r="E30" i="7"/>
  <c r="F30" i="7"/>
  <c r="G30" i="7"/>
  <c r="H30" i="7"/>
  <c r="J30" i="7"/>
  <c r="K30" i="7"/>
  <c r="L30" i="7"/>
  <c r="M30" i="7"/>
  <c r="N30" i="7"/>
  <c r="O30" i="7"/>
  <c r="B31" i="7"/>
  <c r="C31" i="7"/>
  <c r="D31" i="7"/>
  <c r="E31" i="7"/>
  <c r="F31" i="7"/>
  <c r="G31" i="7"/>
  <c r="H31" i="7"/>
  <c r="J31" i="7"/>
  <c r="K31" i="7"/>
  <c r="L31" i="7"/>
  <c r="M31" i="7"/>
  <c r="N31" i="7"/>
  <c r="O31" i="7"/>
  <c r="B32" i="7"/>
  <c r="C32" i="7"/>
  <c r="D32" i="7"/>
  <c r="E32" i="7"/>
  <c r="F32" i="7"/>
  <c r="G32" i="7"/>
  <c r="H32" i="7"/>
  <c r="J32" i="7"/>
  <c r="K32" i="7"/>
  <c r="L32" i="7"/>
  <c r="M32" i="7"/>
  <c r="N32" i="7"/>
  <c r="O32" i="7"/>
  <c r="B33" i="7"/>
  <c r="C33" i="7"/>
  <c r="D33" i="7"/>
  <c r="E33" i="7"/>
  <c r="F33" i="7"/>
  <c r="G33" i="7"/>
  <c r="H33" i="7"/>
  <c r="J33" i="7"/>
  <c r="K33" i="7"/>
  <c r="L33" i="7"/>
  <c r="M33" i="7"/>
  <c r="N33" i="7"/>
  <c r="O33" i="7"/>
  <c r="B34" i="7"/>
  <c r="C34" i="7"/>
  <c r="D34" i="7"/>
  <c r="E34" i="7"/>
  <c r="F34" i="7"/>
  <c r="G34" i="7"/>
  <c r="H34" i="7"/>
  <c r="J34" i="7"/>
  <c r="K34" i="7"/>
  <c r="L34" i="7"/>
  <c r="M34" i="7"/>
  <c r="N34" i="7"/>
  <c r="O34" i="7"/>
  <c r="B35" i="7"/>
  <c r="C35" i="7"/>
  <c r="D35" i="7"/>
  <c r="E35" i="7"/>
  <c r="F35" i="7"/>
  <c r="G35" i="7"/>
  <c r="H35" i="7"/>
  <c r="J35" i="7"/>
  <c r="K35" i="7"/>
  <c r="L35" i="7"/>
  <c r="M35" i="7"/>
  <c r="N35" i="7"/>
  <c r="O35" i="7"/>
  <c r="B36" i="7"/>
  <c r="C36" i="7"/>
  <c r="D36" i="7"/>
  <c r="E36" i="7"/>
  <c r="F36" i="7"/>
  <c r="G36" i="7"/>
  <c r="H36" i="7"/>
  <c r="J36" i="7"/>
  <c r="K36" i="7"/>
  <c r="L36" i="7"/>
  <c r="M36" i="7"/>
  <c r="N36" i="7"/>
  <c r="O36" i="7"/>
  <c r="B37" i="7"/>
  <c r="C37" i="7"/>
  <c r="D37" i="7"/>
  <c r="E37" i="7"/>
  <c r="F37" i="7"/>
  <c r="G37" i="7"/>
  <c r="H37" i="7"/>
  <c r="J37" i="7"/>
  <c r="K37" i="7"/>
  <c r="L37" i="7"/>
  <c r="M37" i="7"/>
  <c r="N37" i="7"/>
  <c r="O37" i="7"/>
  <c r="B38" i="7"/>
  <c r="C38" i="7"/>
  <c r="D38" i="7"/>
  <c r="E38" i="7"/>
  <c r="F38" i="7"/>
  <c r="G38" i="7"/>
  <c r="H38" i="7"/>
  <c r="J38" i="7"/>
  <c r="K38" i="7"/>
  <c r="L38" i="7"/>
  <c r="M38" i="7"/>
  <c r="N38" i="7"/>
  <c r="O38" i="7"/>
  <c r="B39" i="7"/>
  <c r="C39" i="7"/>
  <c r="D39" i="7"/>
  <c r="E39" i="7"/>
  <c r="F39" i="7"/>
  <c r="G39" i="7"/>
  <c r="H39" i="7"/>
  <c r="J39" i="7"/>
  <c r="K39" i="7"/>
  <c r="L39" i="7"/>
  <c r="M39" i="7"/>
  <c r="N39" i="7"/>
  <c r="O39" i="7"/>
  <c r="B40" i="7"/>
  <c r="C40" i="7"/>
  <c r="D40" i="7"/>
  <c r="E40" i="7"/>
  <c r="F40" i="7"/>
  <c r="G40" i="7"/>
  <c r="H40" i="7"/>
  <c r="J40" i="7"/>
  <c r="K40" i="7"/>
  <c r="L40" i="7"/>
  <c r="M40" i="7"/>
  <c r="N40" i="7"/>
  <c r="O40" i="7"/>
  <c r="B41" i="7"/>
  <c r="C41" i="7"/>
  <c r="D41" i="7"/>
  <c r="E41" i="7"/>
  <c r="F41" i="7"/>
  <c r="G41" i="7"/>
  <c r="H41" i="7"/>
  <c r="J41" i="7"/>
  <c r="K41" i="7"/>
  <c r="L41" i="7"/>
  <c r="M41" i="7"/>
  <c r="N41" i="7"/>
  <c r="O41" i="7"/>
  <c r="B42" i="7"/>
  <c r="C42" i="7"/>
  <c r="D42" i="7"/>
  <c r="E42" i="7"/>
  <c r="F42" i="7"/>
  <c r="G42" i="7"/>
  <c r="H42" i="7"/>
  <c r="J42" i="7"/>
  <c r="K42" i="7"/>
  <c r="L42" i="7"/>
  <c r="M42" i="7"/>
  <c r="N42" i="7"/>
  <c r="O42" i="7"/>
  <c r="B43" i="7"/>
  <c r="C43" i="7"/>
  <c r="D43" i="7"/>
  <c r="E43" i="7"/>
  <c r="F43" i="7"/>
  <c r="G43" i="7"/>
  <c r="H43" i="7"/>
  <c r="J43" i="7"/>
  <c r="K43" i="7"/>
  <c r="L43" i="7"/>
  <c r="M43" i="7"/>
  <c r="N43" i="7"/>
  <c r="O43" i="7"/>
  <c r="B44" i="7"/>
  <c r="C44" i="7"/>
  <c r="D44" i="7"/>
  <c r="E44" i="7"/>
  <c r="F44" i="7"/>
  <c r="G44" i="7"/>
  <c r="H44" i="7"/>
  <c r="J44" i="7"/>
  <c r="K44" i="7"/>
  <c r="L44" i="7"/>
  <c r="M44" i="7"/>
  <c r="N44" i="7"/>
  <c r="O44" i="7"/>
  <c r="B45" i="7"/>
  <c r="C45" i="7"/>
  <c r="D45" i="7"/>
  <c r="E45" i="7"/>
  <c r="F45" i="7"/>
  <c r="G45" i="7"/>
  <c r="H45" i="7"/>
  <c r="J45" i="7"/>
  <c r="K45" i="7"/>
  <c r="L45" i="7"/>
  <c r="M45" i="7"/>
  <c r="N45" i="7"/>
  <c r="O45" i="7"/>
  <c r="B46" i="7"/>
  <c r="C46" i="7"/>
  <c r="D46" i="7"/>
  <c r="E46" i="7"/>
  <c r="F46" i="7"/>
  <c r="G46" i="7"/>
  <c r="H46" i="7"/>
  <c r="J46" i="7"/>
  <c r="K46" i="7"/>
  <c r="L46" i="7"/>
  <c r="M46" i="7"/>
  <c r="N46" i="7"/>
  <c r="O46" i="7"/>
  <c r="B47" i="7"/>
  <c r="C47" i="7"/>
  <c r="D47" i="7"/>
  <c r="E47" i="7"/>
  <c r="F47" i="7"/>
  <c r="G47" i="7"/>
  <c r="H47" i="7"/>
  <c r="J47" i="7"/>
  <c r="K47" i="7"/>
  <c r="L47" i="7"/>
  <c r="M47" i="7"/>
  <c r="N47" i="7"/>
  <c r="O47" i="7"/>
  <c r="B48" i="7"/>
  <c r="C48" i="7"/>
  <c r="D48" i="7"/>
  <c r="E48" i="7"/>
  <c r="F48" i="7"/>
  <c r="G48" i="7"/>
  <c r="H48" i="7"/>
  <c r="J48" i="7"/>
  <c r="K48" i="7"/>
  <c r="L48" i="7"/>
  <c r="M48" i="7"/>
  <c r="N48" i="7"/>
  <c r="O48" i="7"/>
  <c r="A3" i="11"/>
  <c r="B3" i="11"/>
  <c r="C3" i="11"/>
  <c r="D3" i="11"/>
  <c r="E3" i="11"/>
  <c r="F3" i="11"/>
  <c r="G3" i="11"/>
  <c r="H3" i="11"/>
  <c r="A4" i="11"/>
  <c r="B4" i="11"/>
  <c r="C4" i="11"/>
  <c r="D4" i="11"/>
  <c r="E4" i="11"/>
  <c r="F4" i="11"/>
  <c r="G4" i="11"/>
  <c r="H4" i="11"/>
  <c r="B6" i="11"/>
  <c r="B7" i="11"/>
  <c r="B10" i="11"/>
  <c r="C10" i="11"/>
  <c r="G10" i="11"/>
  <c r="B11" i="11"/>
  <c r="C11" i="11"/>
  <c r="G11" i="11"/>
  <c r="B12" i="11"/>
  <c r="G12" i="11"/>
  <c r="F13" i="11"/>
  <c r="B14" i="11"/>
  <c r="C14" i="11"/>
  <c r="F14" i="11"/>
  <c r="B15" i="11"/>
  <c r="C15" i="11"/>
  <c r="G15" i="11"/>
  <c r="B16" i="11"/>
  <c r="C16" i="11"/>
  <c r="G16" i="11"/>
  <c r="H16" i="11"/>
  <c r="I16" i="11"/>
  <c r="B18" i="11"/>
  <c r="B19" i="11"/>
  <c r="B20" i="11"/>
  <c r="B21" i="11"/>
  <c r="B22" i="11"/>
  <c r="C11" i="2"/>
  <c r="B13" i="2"/>
  <c r="B14" i="2"/>
  <c r="E14" i="2"/>
  <c r="B15" i="2"/>
  <c r="E15" i="2"/>
  <c r="B16" i="2"/>
  <c r="E16" i="2"/>
  <c r="E17" i="2"/>
  <c r="E18" i="2"/>
  <c r="B19" i="2"/>
  <c r="E19" i="2"/>
  <c r="C22" i="2"/>
  <c r="C23" i="2"/>
  <c r="C24" i="2"/>
  <c r="C25" i="2"/>
  <c r="C26" i="2"/>
  <c r="C27" i="2"/>
  <c r="C28" i="2"/>
  <c r="C29" i="2"/>
  <c r="C30" i="2"/>
  <c r="C31" i="2"/>
  <c r="C32" i="2"/>
  <c r="C33" i="2"/>
  <c r="D33" i="2"/>
  <c r="C36" i="2"/>
  <c r="C38" i="2"/>
  <c r="C39" i="2"/>
  <c r="C40" i="2"/>
  <c r="C41" i="2"/>
  <c r="C42" i="2"/>
  <c r="C45" i="2"/>
  <c r="C46" i="2"/>
  <c r="C47" i="2"/>
  <c r="C48" i="2"/>
  <c r="C49" i="2"/>
  <c r="C50" i="2"/>
  <c r="C51" i="2"/>
  <c r="C52" i="2"/>
  <c r="C53" i="2"/>
  <c r="C54" i="2"/>
  <c r="C55" i="2"/>
  <c r="B2" i="6"/>
  <c r="E5" i="6"/>
  <c r="G5" i="6"/>
  <c r="J5" i="6"/>
  <c r="K5" i="6"/>
  <c r="D6" i="6"/>
  <c r="E6" i="6"/>
  <c r="G6" i="6"/>
  <c r="J6" i="6"/>
  <c r="K6" i="6"/>
  <c r="D7" i="6"/>
  <c r="E7" i="6"/>
  <c r="G7" i="6"/>
  <c r="J7" i="6"/>
  <c r="K7" i="6"/>
  <c r="C8" i="6"/>
  <c r="E8" i="6"/>
  <c r="F8" i="6"/>
  <c r="G8" i="6"/>
  <c r="H8" i="6"/>
  <c r="K8" i="6"/>
  <c r="B10" i="6"/>
  <c r="B11" i="6"/>
  <c r="B15" i="6"/>
  <c r="C15" i="6"/>
  <c r="B16" i="6"/>
  <c r="C16" i="6"/>
  <c r="B17" i="6"/>
  <c r="C17" i="6"/>
  <c r="B18" i="6"/>
  <c r="C18" i="6"/>
  <c r="D5" i="1"/>
  <c r="D6" i="1"/>
  <c r="C7" i="1"/>
  <c r="D9" i="1"/>
  <c r="C14" i="1"/>
  <c r="F14" i="1"/>
  <c r="F15" i="1"/>
  <c r="F16" i="1"/>
  <c r="C19" i="1"/>
  <c r="F19" i="1"/>
  <c r="E22" i="1"/>
  <c r="E24" i="1"/>
  <c r="E25" i="1"/>
  <c r="E27" i="1"/>
  <c r="E28" i="1"/>
  <c r="E29" i="1"/>
  <c r="E30" i="1"/>
  <c r="C35" i="1"/>
  <c r="F35" i="1"/>
  <c r="J35" i="1"/>
  <c r="C36" i="1"/>
  <c r="F36" i="1"/>
  <c r="J36" i="1"/>
  <c r="C37" i="1"/>
  <c r="F37" i="1"/>
  <c r="J37" i="1"/>
  <c r="F38" i="1"/>
  <c r="J38" i="1"/>
  <c r="F39" i="1"/>
  <c r="J39" i="1"/>
  <c r="C40" i="1"/>
  <c r="F40" i="1"/>
  <c r="E43" i="1"/>
  <c r="E44" i="1"/>
  <c r="E45" i="1"/>
  <c r="E46" i="1"/>
  <c r="E47" i="1"/>
  <c r="E48" i="1"/>
  <c r="E49" i="1"/>
  <c r="E50" i="1"/>
  <c r="E51" i="1"/>
  <c r="E52" i="1"/>
  <c r="E53" i="1"/>
  <c r="C5" i="13"/>
  <c r="E5" i="13"/>
  <c r="E12" i="13"/>
  <c r="C13" i="13"/>
  <c r="D13" i="13"/>
  <c r="E13" i="13"/>
  <c r="C15" i="13"/>
  <c r="E15" i="13"/>
  <c r="C18" i="13"/>
  <c r="C21" i="13"/>
</calcChain>
</file>

<file path=xl/sharedStrings.xml><?xml version="1.0" encoding="utf-8"?>
<sst xmlns="http://schemas.openxmlformats.org/spreadsheetml/2006/main" count="373" uniqueCount="159">
  <si>
    <t>Porcupine Initial Balance Sheet and 3% Test</t>
  </si>
  <si>
    <t>Raptor 3</t>
  </si>
  <si>
    <t>At inception</t>
  </si>
  <si>
    <t>Assets</t>
  </si>
  <si>
    <t>Liabilities + Equity</t>
  </si>
  <si>
    <t>Cash</t>
  </si>
  <si>
    <t>Note Payable</t>
  </si>
  <si>
    <t>ResCo Warrants</t>
  </si>
  <si>
    <t>Note from ENE</t>
  </si>
  <si>
    <t>Minority Interest</t>
  </si>
  <si>
    <t>LJM</t>
  </si>
  <si>
    <t>ENE</t>
  </si>
  <si>
    <t>3% Test</t>
  </si>
  <si>
    <t>Bal Sheet Foot</t>
  </si>
  <si>
    <t>Plus:  Fees Paid By Enron</t>
  </si>
  <si>
    <t>Less: LJM Equity</t>
  </si>
  <si>
    <t xml:space="preserve">    Net</t>
  </si>
  <si>
    <t>Req'd Equity %</t>
  </si>
  <si>
    <t>Req'd Equty</t>
  </si>
  <si>
    <t>Actual Equity</t>
  </si>
  <si>
    <t>Excess Equity</t>
  </si>
  <si>
    <t>Notional Capacity</t>
  </si>
  <si>
    <t>Upon IPO @ $4,000/warrant</t>
  </si>
  <si>
    <t>ResCo Common</t>
  </si>
  <si>
    <t>Less: 3rd Party Equity</t>
  </si>
  <si>
    <t>Date</t>
  </si>
  <si>
    <t>Rates</t>
  </si>
  <si>
    <t>$50MM N/R</t>
  </si>
  <si>
    <t>$50MM N/P</t>
  </si>
  <si>
    <t>$259MM N/P</t>
  </si>
  <si>
    <t>Note Receivable</t>
  </si>
  <si>
    <t>Face</t>
  </si>
  <si>
    <t>Interest</t>
  </si>
  <si>
    <t>Tenor</t>
  </si>
  <si>
    <t>Payment</t>
  </si>
  <si>
    <t>Beg. Bal</t>
  </si>
  <si>
    <t>Principle</t>
  </si>
  <si>
    <t>End Bal</t>
  </si>
  <si>
    <t>Cum Int Inc</t>
  </si>
  <si>
    <t>50MM Note Payable</t>
  </si>
  <si>
    <t>Cum Int Exp</t>
  </si>
  <si>
    <t>258MM Note Payable</t>
  </si>
  <si>
    <t>Initial Value</t>
  </si>
  <si>
    <t>Resco Warrants</t>
  </si>
  <si>
    <t>Shares per warrant</t>
  </si>
  <si>
    <t>Less Notional Hedged</t>
  </si>
  <si>
    <t>Warrants subject to TRS</t>
  </si>
  <si>
    <t>Unused Capacity</t>
  </si>
  <si>
    <t xml:space="preserve">As of </t>
  </si>
  <si>
    <t>Porcupine Balance Sheet</t>
  </si>
  <si>
    <t>TNPC Screen</t>
  </si>
  <si>
    <t>Equity Rollforward</t>
  </si>
  <si>
    <t>ENE Capital @ IPO</t>
  </si>
  <si>
    <t>MI Capital @ IPO</t>
  </si>
  <si>
    <t xml:space="preserve">     Total Capital @ IPO</t>
  </si>
  <si>
    <t>Plus Gain on TNPC Stock</t>
  </si>
  <si>
    <t>Less Net Interest Expense</t>
  </si>
  <si>
    <t>Less ENE Capital</t>
  </si>
  <si>
    <t xml:space="preserve">        MI Capital</t>
  </si>
  <si>
    <t xml:space="preserve">     Current Capital</t>
  </si>
  <si>
    <t>LJM Capital @ IPO</t>
  </si>
  <si>
    <t xml:space="preserve">        LJM Capital</t>
  </si>
  <si>
    <t>Check</t>
  </si>
  <si>
    <t>Cum Payments</t>
  </si>
  <si>
    <t>Initial Equity</t>
  </si>
  <si>
    <t>Gains</t>
  </si>
  <si>
    <t>Ending Equity</t>
  </si>
  <si>
    <t>Recorded Equity</t>
  </si>
  <si>
    <t>Distribution</t>
  </si>
  <si>
    <t>Derivative Payable</t>
  </si>
  <si>
    <t>Derivative Rec.</t>
  </si>
  <si>
    <t>Plus Derivative Gain/Loss</t>
  </si>
  <si>
    <t>Credit Test</t>
  </si>
  <si>
    <t>Equity</t>
  </si>
  <si>
    <t>Subsequent Credit Analysis</t>
  </si>
  <si>
    <t>Screen</t>
  </si>
  <si>
    <t>Summary of Hawaii Securitizations</t>
  </si>
  <si>
    <t>Series</t>
  </si>
  <si>
    <t>A</t>
  </si>
  <si>
    <t>B/D</t>
  </si>
  <si>
    <t>C</t>
  </si>
  <si>
    <t># of Warrants</t>
  </si>
  <si>
    <t>Close Price</t>
  </si>
  <si>
    <t>Notional</t>
  </si>
  <si>
    <t>Debt</t>
  </si>
  <si>
    <t>Equity Rate</t>
  </si>
  <si>
    <t>C Equity Schedule</t>
  </si>
  <si>
    <t>Days O/S</t>
  </si>
  <si>
    <t>Today</t>
  </si>
  <si>
    <t>C Debt Schedule</t>
  </si>
  <si>
    <t>Interest Rate</t>
  </si>
  <si>
    <t>Inflation</t>
  </si>
  <si>
    <t>LIBOR</t>
  </si>
  <si>
    <t>Equity O/S</t>
  </si>
  <si>
    <t>TODAY</t>
  </si>
  <si>
    <t>Debt O/S</t>
  </si>
  <si>
    <t>B/D Debt Schedule</t>
  </si>
  <si>
    <t>B/D Equity Schedule</t>
  </si>
  <si>
    <t>Acc Int</t>
  </si>
  <si>
    <t>Last Payment</t>
  </si>
  <si>
    <t>BD Debt O/S</t>
  </si>
  <si>
    <t>BD Equity O/S</t>
  </si>
  <si>
    <t>C Debt O/S</t>
  </si>
  <si>
    <t>C Equity O/S</t>
  </si>
  <si>
    <t>Strike</t>
  </si>
  <si>
    <t>B_D TRS Analysis</t>
  </si>
  <si>
    <t>FMV of Warrants</t>
  </si>
  <si>
    <t>IPO/Hedge Value</t>
  </si>
  <si>
    <t>Debt &amp; Equity O/S</t>
  </si>
  <si>
    <t>ENE Pays Hawaii</t>
  </si>
  <si>
    <t>Hawaii Pays ENE</t>
  </si>
  <si>
    <t>Equity Lost</t>
  </si>
  <si>
    <t>Strike Value</t>
  </si>
  <si>
    <t>ENE Pays Porc.</t>
  </si>
  <si>
    <t>Porc. Pays ENE</t>
  </si>
  <si>
    <t>Hedged Gain</t>
  </si>
  <si>
    <t>Net P&amp;L To ENE</t>
  </si>
  <si>
    <t>In(Out) to ENE</t>
  </si>
  <si>
    <t>Receivable</t>
  </si>
  <si>
    <t>Payable</t>
  </si>
  <si>
    <t>Derivative Asset/Liability to Porcupine Summary</t>
  </si>
  <si>
    <t>C TRS Analysis</t>
  </si>
  <si>
    <t>FMV</t>
  </si>
  <si>
    <t>Capital</t>
  </si>
  <si>
    <t>Clint's Check</t>
  </si>
  <si>
    <t>TOTAL</t>
  </si>
  <si>
    <t>Last Pymt Date</t>
  </si>
  <si>
    <t>Interest Days</t>
  </si>
  <si>
    <t>Next Interest</t>
  </si>
  <si>
    <t>Accrued Interest</t>
  </si>
  <si>
    <t>Cum. Interest Inc.</t>
  </si>
  <si>
    <t>Cum. Int. Exp.</t>
  </si>
  <si>
    <t>A Debt Schedule</t>
  </si>
  <si>
    <t>A Equity Schedule</t>
  </si>
  <si>
    <t>A Debt O/S</t>
  </si>
  <si>
    <t>A Equity O/S</t>
  </si>
  <si>
    <t>A TRS Analysis</t>
  </si>
  <si>
    <t>Value of Assets</t>
  </si>
  <si>
    <t>Less:</t>
  </si>
  <si>
    <t xml:space="preserve">     Note Payable</t>
  </si>
  <si>
    <t xml:space="preserve">     Derivative</t>
  </si>
  <si>
    <t xml:space="preserve">     Minority Interest</t>
  </si>
  <si>
    <t xml:space="preserve">     Other Note</t>
  </si>
  <si>
    <t>No Monetization</t>
  </si>
  <si>
    <t>Full Monetization</t>
  </si>
  <si>
    <t>Monetize 30MM</t>
  </si>
  <si>
    <t>Inputs:</t>
  </si>
  <si>
    <t>Trade Date</t>
  </si>
  <si>
    <t>Prior Day</t>
  </si>
  <si>
    <t>Summary:</t>
  </si>
  <si>
    <t>Gains and Losses</t>
  </si>
  <si>
    <t>Total</t>
  </si>
  <si>
    <t>Realized</t>
  </si>
  <si>
    <t>Unrealized</t>
  </si>
  <si>
    <t>Previous Day's Cumulative</t>
  </si>
  <si>
    <t>Today's Activity</t>
  </si>
  <si>
    <t>Cumlative Ending</t>
  </si>
  <si>
    <t>Credit Capacity</t>
  </si>
  <si>
    <t>Raptor III Daily Position Report &amp;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</si>
</sst>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71" formatCode="_(&quot;$&quot;* #,##0.0000_);_(&quot;$&quot;* \(#,##0.0000\);_(&quot;$&quot;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indexed="9"/>
      <name val="Times New Roman"/>
      <family val="1"/>
    </font>
    <font>
      <b/>
      <u/>
      <sz val="12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0" fillId="0" borderId="0" xfId="0" applyAlignment="1"/>
    <xf numFmtId="14" fontId="2" fillId="0" borderId="0" xfId="0" applyNumberFormat="1" applyFont="1"/>
    <xf numFmtId="164" fontId="1" fillId="0" borderId="0" xfId="1" applyNumberFormat="1" applyFont="1"/>
    <xf numFmtId="164" fontId="1" fillId="0" borderId="0" xfId="1" applyNumberFormat="1"/>
    <xf numFmtId="164" fontId="1" fillId="0" borderId="1" xfId="1" applyNumberFormat="1" applyBorder="1"/>
    <xf numFmtId="164" fontId="1" fillId="0" borderId="2" xfId="1" applyNumberFormat="1" applyBorder="1"/>
    <xf numFmtId="10" fontId="1" fillId="0" borderId="2" xfId="3" applyNumberFormat="1" applyBorder="1"/>
    <xf numFmtId="0" fontId="0" fillId="0" borderId="3" xfId="0" applyBorder="1"/>
    <xf numFmtId="0" fontId="0" fillId="0" borderId="4" xfId="0" applyBorder="1"/>
    <xf numFmtId="164" fontId="1" fillId="0" borderId="5" xfId="1" applyNumberFormat="1" applyBorder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0" fontId="0" fillId="0" borderId="2" xfId="0" applyNumberFormat="1" applyBorder="1"/>
    <xf numFmtId="14" fontId="0" fillId="2" borderId="0" xfId="0" applyNumberFormat="1" applyFill="1" applyProtection="1">
      <protection locked="0"/>
    </xf>
    <xf numFmtId="166" fontId="0" fillId="0" borderId="1" xfId="0" applyNumberFormat="1" applyBorder="1"/>
    <xf numFmtId="0" fontId="2" fillId="0" borderId="0" xfId="0" applyFont="1" applyAlignment="1">
      <alignment horizontal="center"/>
    </xf>
    <xf numFmtId="166" fontId="1" fillId="0" borderId="0" xfId="2" applyNumberFormat="1" applyProtection="1">
      <protection locked="0"/>
    </xf>
    <xf numFmtId="166" fontId="0" fillId="0" borderId="0" xfId="0" applyNumberFormat="1"/>
    <xf numFmtId="10" fontId="0" fillId="0" borderId="0" xfId="0" applyNumberFormat="1" applyProtection="1">
      <protection locked="0"/>
    </xf>
    <xf numFmtId="10" fontId="0" fillId="0" borderId="0" xfId="0" applyNumberFormat="1"/>
    <xf numFmtId="0" fontId="0" fillId="0" borderId="0" xfId="0" applyProtection="1">
      <protection locked="0"/>
    </xf>
    <xf numFmtId="8" fontId="0" fillId="0" borderId="0" xfId="0" applyNumberFormat="1"/>
    <xf numFmtId="14" fontId="0" fillId="0" borderId="0" xfId="0" applyNumberFormat="1"/>
    <xf numFmtId="166" fontId="0" fillId="0" borderId="0" xfId="0" applyNumberFormat="1" applyBorder="1"/>
    <xf numFmtId="164" fontId="0" fillId="0" borderId="0" xfId="1" applyNumberFormat="1" applyFont="1"/>
    <xf numFmtId="166" fontId="0" fillId="0" borderId="0" xfId="2" applyNumberFormat="1" applyFont="1"/>
    <xf numFmtId="44" fontId="0" fillId="0" borderId="0" xfId="2" applyNumberFormat="1" applyFont="1"/>
    <xf numFmtId="0" fontId="0" fillId="0" borderId="0" xfId="0" applyFill="1" applyBorder="1"/>
    <xf numFmtId="164" fontId="0" fillId="0" borderId="4" xfId="1" applyNumberFormat="1" applyFont="1" applyBorder="1"/>
    <xf numFmtId="0" fontId="3" fillId="0" borderId="0" xfId="0" applyFont="1" applyAlignment="1">
      <alignment horizontal="right"/>
    </xf>
    <xf numFmtId="14" fontId="3" fillId="0" borderId="0" xfId="0" applyNumberFormat="1" applyFont="1"/>
    <xf numFmtId="44" fontId="1" fillId="0" borderId="0" xfId="2" applyFill="1" applyProtection="1">
      <protection locked="0"/>
    </xf>
    <xf numFmtId="164" fontId="0" fillId="0" borderId="1" xfId="1" applyNumberFormat="1" applyFont="1" applyBorder="1"/>
    <xf numFmtId="164" fontId="0" fillId="0" borderId="2" xfId="1" applyNumberFormat="1" applyFont="1" applyBorder="1"/>
    <xf numFmtId="0" fontId="2" fillId="0" borderId="0" xfId="0" applyFont="1" applyAlignment="1">
      <alignment horizontal="center" wrapText="1"/>
    </xf>
    <xf numFmtId="164" fontId="0" fillId="0" borderId="0" xfId="0" applyNumberFormat="1" applyBorder="1"/>
    <xf numFmtId="10" fontId="1" fillId="0" borderId="0" xfId="3" applyNumberFormat="1" applyFill="1" applyProtection="1"/>
    <xf numFmtId="0" fontId="0" fillId="0" borderId="0" xfId="0" applyAlignment="1">
      <alignment horizontal="center"/>
    </xf>
    <xf numFmtId="6" fontId="0" fillId="0" borderId="0" xfId="0" applyNumberFormat="1"/>
    <xf numFmtId="0" fontId="0" fillId="0" borderId="0" xfId="0" applyAlignment="1">
      <alignment horizontal="center" wrapText="1"/>
    </xf>
    <xf numFmtId="0" fontId="2" fillId="0" borderId="6" xfId="0" applyFont="1" applyBorder="1" applyAlignment="1">
      <alignment horizontal="center" wrapText="1"/>
    </xf>
    <xf numFmtId="44" fontId="0" fillId="0" borderId="0" xfId="2" applyFont="1"/>
    <xf numFmtId="10" fontId="0" fillId="0" borderId="0" xfId="3" applyNumberFormat="1" applyFont="1"/>
    <xf numFmtId="10" fontId="2" fillId="0" borderId="0" xfId="3" applyNumberFormat="1" applyFont="1" applyAlignment="1">
      <alignment horizontal="center" wrapText="1"/>
    </xf>
    <xf numFmtId="43" fontId="0" fillId="0" borderId="0" xfId="0" applyNumberFormat="1"/>
    <xf numFmtId="44" fontId="0" fillId="0" borderId="0" xfId="0" applyNumberFormat="1"/>
    <xf numFmtId="6" fontId="2" fillId="0" borderId="0" xfId="0" applyNumberFormat="1" applyFont="1" applyAlignment="1">
      <alignment horizontal="center" wrapText="1"/>
    </xf>
    <xf numFmtId="166" fontId="0" fillId="0" borderId="1" xfId="2" applyNumberFormat="1" applyFont="1" applyBorder="1"/>
    <xf numFmtId="10" fontId="2" fillId="0" borderId="6" xfId="3" applyNumberFormat="1" applyFont="1" applyBorder="1" applyAlignment="1">
      <alignment horizontal="center" wrapText="1"/>
    </xf>
    <xf numFmtId="6" fontId="2" fillId="0" borderId="6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166" fontId="0" fillId="0" borderId="2" xfId="0" applyNumberFormat="1" applyBorder="1"/>
    <xf numFmtId="0" fontId="0" fillId="0" borderId="6" xfId="0" applyBorder="1" applyAlignment="1">
      <alignment horizontal="center"/>
    </xf>
    <xf numFmtId="0" fontId="3" fillId="0" borderId="0" xfId="0" applyFont="1"/>
    <xf numFmtId="166" fontId="0" fillId="0" borderId="0" xfId="0" applyNumberFormat="1" applyAlignment="1">
      <alignment horizontal="left"/>
    </xf>
    <xf numFmtId="14" fontId="0" fillId="0" borderId="0" xfId="0" applyNumberFormat="1" applyAlignment="1">
      <alignment horizontal="right"/>
    </xf>
    <xf numFmtId="166" fontId="0" fillId="0" borderId="0" xfId="2" applyNumberFormat="1" applyFont="1" applyBorder="1"/>
    <xf numFmtId="166" fontId="0" fillId="0" borderId="3" xfId="2" applyNumberFormat="1" applyFont="1" applyBorder="1"/>
    <xf numFmtId="0" fontId="0" fillId="0" borderId="5" xfId="0" applyBorder="1"/>
    <xf numFmtId="0" fontId="4" fillId="0" borderId="0" xfId="0" applyFont="1"/>
    <xf numFmtId="44" fontId="0" fillId="0" borderId="0" xfId="2" applyFont="1" applyFill="1" applyProtection="1"/>
    <xf numFmtId="0" fontId="0" fillId="0" borderId="6" xfId="0" applyBorder="1"/>
    <xf numFmtId="171" fontId="1" fillId="0" borderId="0" xfId="2" applyNumberFormat="1" applyFill="1" applyProtection="1">
      <protection locked="0"/>
    </xf>
    <xf numFmtId="0" fontId="0" fillId="0" borderId="2" xfId="0" applyBorder="1" applyAlignment="1">
      <alignment horizontal="center"/>
    </xf>
    <xf numFmtId="171" fontId="1" fillId="2" borderId="0" xfId="2" applyNumberFormat="1" applyFont="1" applyFill="1" applyProtection="1">
      <protection locked="0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171" fontId="1" fillId="0" borderId="9" xfId="2" applyNumberFormat="1" applyFill="1" applyBorder="1" applyProtection="1">
      <protection locked="0"/>
    </xf>
    <xf numFmtId="171" fontId="1" fillId="0" borderId="6" xfId="2" applyNumberFormat="1" applyFill="1" applyBorder="1" applyProtection="1">
      <protection locked="0"/>
    </xf>
    <xf numFmtId="171" fontId="1" fillId="0" borderId="10" xfId="2" applyNumberFormat="1" applyFill="1" applyBorder="1" applyProtection="1">
      <protection locked="0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6" fillId="0" borderId="0" xfId="0" applyFont="1" applyBorder="1"/>
    <xf numFmtId="14" fontId="7" fillId="0" borderId="0" xfId="0" applyNumberFormat="1" applyFont="1" applyBorder="1"/>
    <xf numFmtId="0" fontId="8" fillId="0" borderId="0" xfId="0" applyFont="1" applyBorder="1" applyAlignment="1">
      <alignment horizontal="right"/>
    </xf>
    <xf numFmtId="14" fontId="8" fillId="0" borderId="0" xfId="0" applyNumberFormat="1" applyFont="1" applyBorder="1"/>
    <xf numFmtId="0" fontId="9" fillId="0" borderId="0" xfId="0" applyFont="1" applyBorder="1"/>
    <xf numFmtId="0" fontId="0" fillId="0" borderId="0" xfId="0" applyBorder="1" applyAlignment="1">
      <alignment horizontal="right"/>
    </xf>
    <xf numFmtId="166" fontId="0" fillId="0" borderId="2" xfId="2" applyNumberFormat="1" applyFont="1" applyBorder="1"/>
    <xf numFmtId="166" fontId="0" fillId="0" borderId="17" xfId="2" applyNumberFormat="1" applyFont="1" applyBorder="1"/>
    <xf numFmtId="0" fontId="10" fillId="0" borderId="0" xfId="0" applyFont="1" applyFill="1" applyBorder="1"/>
    <xf numFmtId="0" fontId="0" fillId="0" borderId="9" xfId="0" applyBorder="1"/>
    <xf numFmtId="0" fontId="0" fillId="0" borderId="10" xfId="0" applyBorder="1"/>
    <xf numFmtId="0" fontId="5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54</xdr:row>
      <xdr:rowOff>85725</xdr:rowOff>
    </xdr:from>
    <xdr:to>
      <xdr:col>5</xdr:col>
      <xdr:colOff>800100</xdr:colOff>
      <xdr:row>58</xdr:row>
      <xdr:rowOff>85725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62234854-4505-A31A-9351-BFA59B06D4A6}"/>
            </a:ext>
          </a:extLst>
        </xdr:cNvPr>
        <xdr:cNvSpPr txBox="1">
          <a:spLocks noChangeArrowheads="1"/>
        </xdr:cNvSpPr>
      </xdr:nvSpPr>
      <xdr:spPr bwMode="auto">
        <a:xfrm>
          <a:off x="485775" y="8905875"/>
          <a:ext cx="47625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Note: 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If TNPC closes at or above $8,170.21 per warrant or $40.85 per share, Porcupine will have no notional capacity.  If TNPC closes above $4,670.72 per warrant or 23.35 per share, Porcupine will not have sufficient capacity to hedge all of Enron's TRS exposure.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C5" sqref="C5"/>
    </sheetView>
  </sheetViews>
  <sheetFormatPr defaultRowHeight="12.75" x14ac:dyDescent="0.2"/>
  <cols>
    <col min="2" max="2" width="35.28515625" bestFit="1" customWidth="1"/>
    <col min="3" max="5" width="17.85546875" customWidth="1"/>
  </cols>
  <sheetData>
    <row r="1" spans="1:6" x14ac:dyDescent="0.2">
      <c r="A1" s="77"/>
      <c r="B1" s="78"/>
      <c r="C1" s="78"/>
      <c r="D1" s="78"/>
      <c r="E1" s="78"/>
      <c r="F1" s="79"/>
    </row>
    <row r="2" spans="1:6" ht="18.75" x14ac:dyDescent="0.3">
      <c r="A2" s="68"/>
      <c r="B2" s="91" t="s">
        <v>158</v>
      </c>
      <c r="C2" s="91"/>
      <c r="D2" s="91"/>
      <c r="E2" s="91"/>
      <c r="F2" s="70"/>
    </row>
    <row r="3" spans="1:6" x14ac:dyDescent="0.2">
      <c r="A3" s="68"/>
      <c r="B3" s="69"/>
      <c r="C3" s="69"/>
      <c r="D3" s="69"/>
      <c r="E3" s="69"/>
      <c r="F3" s="70"/>
    </row>
    <row r="4" spans="1:6" ht="15.75" x14ac:dyDescent="0.25">
      <c r="A4" s="68"/>
      <c r="B4" s="80" t="s">
        <v>146</v>
      </c>
      <c r="C4" s="69"/>
      <c r="D4" s="69"/>
      <c r="E4" s="69"/>
      <c r="F4" s="70"/>
    </row>
    <row r="5" spans="1:6" ht="15.75" x14ac:dyDescent="0.25">
      <c r="A5" s="68"/>
      <c r="B5" s="69" t="s">
        <v>147</v>
      </c>
      <c r="C5" s="81">
        <f>+'Credit Analysis'!B3</f>
        <v>36858</v>
      </c>
      <c r="D5" s="82" t="s">
        <v>148</v>
      </c>
      <c r="E5" s="83">
        <f>+C5-1</f>
        <v>36857</v>
      </c>
      <c r="F5" s="70"/>
    </row>
    <row r="6" spans="1:6" x14ac:dyDescent="0.2">
      <c r="A6" s="68"/>
      <c r="B6" s="69"/>
      <c r="C6" s="69"/>
      <c r="D6" s="69"/>
      <c r="E6" s="69"/>
      <c r="F6" s="70"/>
    </row>
    <row r="7" spans="1:6" x14ac:dyDescent="0.2">
      <c r="A7" s="68"/>
      <c r="B7" s="69"/>
      <c r="C7" s="69"/>
      <c r="D7" s="69"/>
      <c r="E7" s="69"/>
      <c r="F7" s="70"/>
    </row>
    <row r="8" spans="1:6" ht="15.75" x14ac:dyDescent="0.25">
      <c r="A8" s="68"/>
      <c r="B8" s="80" t="s">
        <v>149</v>
      </c>
      <c r="C8" s="69"/>
      <c r="D8" s="69"/>
      <c r="E8" s="69"/>
      <c r="F8" s="70"/>
    </row>
    <row r="9" spans="1:6" ht="15.75" x14ac:dyDescent="0.25">
      <c r="A9" s="68"/>
      <c r="B9" s="84"/>
      <c r="C9" s="69"/>
      <c r="D9" s="69"/>
      <c r="E9" s="69"/>
      <c r="F9" s="70"/>
    </row>
    <row r="10" spans="1:6" x14ac:dyDescent="0.2">
      <c r="A10" s="68"/>
      <c r="B10" s="69" t="s">
        <v>150</v>
      </c>
      <c r="C10" s="66" t="s">
        <v>151</v>
      </c>
      <c r="D10" s="66" t="s">
        <v>152</v>
      </c>
      <c r="E10" s="66" t="s">
        <v>153</v>
      </c>
      <c r="F10" s="70"/>
    </row>
    <row r="11" spans="1:6" x14ac:dyDescent="0.2">
      <c r="A11" s="68"/>
      <c r="B11" s="69"/>
      <c r="C11" s="85"/>
      <c r="D11" s="85"/>
      <c r="E11" s="85"/>
      <c r="F11" s="70"/>
    </row>
    <row r="12" spans="1:6" x14ac:dyDescent="0.2">
      <c r="A12" s="68"/>
      <c r="B12" s="69" t="s">
        <v>154</v>
      </c>
      <c r="C12" s="59">
        <v>-234969166.20000002</v>
      </c>
      <c r="D12" s="59">
        <v>0</v>
      </c>
      <c r="E12" s="59">
        <f>+C12-D12</f>
        <v>-234969166.20000002</v>
      </c>
      <c r="F12" s="70"/>
    </row>
    <row r="13" spans="1:6" x14ac:dyDescent="0.2">
      <c r="A13" s="68"/>
      <c r="B13" s="69" t="s">
        <v>155</v>
      </c>
      <c r="C13" s="86">
        <f>+C15-C12</f>
        <v>-12394732.799999982</v>
      </c>
      <c r="D13" s="86">
        <f>+D15-D12</f>
        <v>0</v>
      </c>
      <c r="E13" s="86">
        <f>+E15-E12</f>
        <v>-12394732.799999982</v>
      </c>
      <c r="F13" s="70"/>
    </row>
    <row r="14" spans="1:6" x14ac:dyDescent="0.2">
      <c r="A14" s="68"/>
      <c r="B14" s="69"/>
      <c r="C14" s="59"/>
      <c r="D14" s="59"/>
      <c r="E14" s="59"/>
      <c r="F14" s="70"/>
    </row>
    <row r="15" spans="1:6" ht="13.5" thickBot="1" x14ac:dyDescent="0.25">
      <c r="A15" s="68"/>
      <c r="B15" s="69" t="s">
        <v>156</v>
      </c>
      <c r="C15" s="87">
        <f>+'Credit Analysis'!C27</f>
        <v>-247363899</v>
      </c>
      <c r="D15" s="87">
        <v>0</v>
      </c>
      <c r="E15" s="87">
        <f>+C15-D15</f>
        <v>-247363899</v>
      </c>
      <c r="F15" s="70"/>
    </row>
    <row r="16" spans="1:6" ht="13.5" thickTop="1" x14ac:dyDescent="0.2">
      <c r="A16" s="68"/>
      <c r="B16" s="69"/>
      <c r="C16" s="59"/>
      <c r="D16" s="59"/>
      <c r="E16" s="59"/>
      <c r="F16" s="70"/>
    </row>
    <row r="17" spans="1:6" x14ac:dyDescent="0.2">
      <c r="A17" s="68"/>
      <c r="B17" s="69"/>
      <c r="C17" s="69"/>
      <c r="D17" s="69"/>
      <c r="E17" s="69"/>
      <c r="F17" s="70"/>
    </row>
    <row r="18" spans="1:6" x14ac:dyDescent="0.2">
      <c r="A18" s="68"/>
      <c r="B18" s="69" t="s">
        <v>21</v>
      </c>
      <c r="C18" s="59">
        <f>+'Credit Analysis'!C55</f>
        <v>435314583.06356883</v>
      </c>
      <c r="D18" s="69"/>
      <c r="E18" s="69"/>
      <c r="F18" s="70"/>
    </row>
    <row r="19" spans="1:6" x14ac:dyDescent="0.2">
      <c r="A19" s="68"/>
      <c r="B19" s="69"/>
      <c r="C19" s="59"/>
      <c r="D19" s="69"/>
      <c r="E19" s="69"/>
      <c r="F19" s="70"/>
    </row>
    <row r="20" spans="1:6" x14ac:dyDescent="0.2">
      <c r="A20" s="68"/>
      <c r="B20" s="69"/>
      <c r="C20" s="59"/>
      <c r="D20" s="69"/>
      <c r="E20" s="69"/>
      <c r="F20" s="70"/>
    </row>
    <row r="21" spans="1:6" x14ac:dyDescent="0.2">
      <c r="A21" s="68"/>
      <c r="B21" s="69" t="s">
        <v>157</v>
      </c>
      <c r="C21" s="59">
        <f>+'Credit Analysis'!C42</f>
        <v>-88616293.432222217</v>
      </c>
      <c r="D21" s="69"/>
      <c r="E21" s="69"/>
      <c r="F21" s="70"/>
    </row>
    <row r="22" spans="1:6" x14ac:dyDescent="0.2">
      <c r="A22" s="68"/>
      <c r="B22" s="69"/>
      <c r="C22" s="59"/>
      <c r="D22" s="69"/>
      <c r="E22" s="69"/>
      <c r="F22" s="70"/>
    </row>
    <row r="23" spans="1:6" x14ac:dyDescent="0.2">
      <c r="A23" s="68"/>
      <c r="B23" s="69"/>
      <c r="C23" s="59"/>
      <c r="D23" s="69"/>
      <c r="E23" s="69"/>
      <c r="F23" s="70"/>
    </row>
    <row r="24" spans="1:6" ht="15.75" x14ac:dyDescent="0.25">
      <c r="A24" s="68"/>
      <c r="B24" s="88"/>
      <c r="C24" s="59"/>
      <c r="D24" s="69"/>
      <c r="E24" s="69"/>
      <c r="F24" s="70"/>
    </row>
    <row r="25" spans="1:6" ht="13.5" thickBot="1" x14ac:dyDescent="0.25">
      <c r="A25" s="89"/>
      <c r="B25" s="64"/>
      <c r="C25" s="64"/>
      <c r="D25" s="64"/>
      <c r="E25" s="64"/>
      <c r="F25" s="90"/>
    </row>
  </sheetData>
  <mergeCells count="1">
    <mergeCell ref="B2:E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6" bestFit="1" customWidth="1"/>
    <col min="3" max="3" width="13.42578125" bestFit="1" customWidth="1"/>
    <col min="4" max="4" width="15.5703125" bestFit="1" customWidth="1"/>
    <col min="5" max="5" width="12.28515625" bestFit="1" customWidth="1"/>
    <col min="6" max="7" width="13.42578125" bestFit="1" customWidth="1"/>
    <col min="8" max="8" width="10.7109375" bestFit="1" customWidth="1"/>
    <col min="10" max="10" width="10.7109375" bestFit="1" customWidth="1"/>
  </cols>
  <sheetData>
    <row r="1" spans="1:9" x14ac:dyDescent="0.2">
      <c r="A1" s="1" t="s">
        <v>105</v>
      </c>
    </row>
    <row r="3" spans="1:9" s="42" customFormat="1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Summary'!B6</f>
        <v>36798</v>
      </c>
      <c r="B4" s="27">
        <f>'Hawaii Summary'!C6</f>
        <v>42291</v>
      </c>
      <c r="C4" s="28">
        <f>'Hawaii Summary'!F6</f>
        <v>86971504</v>
      </c>
      <c r="D4" s="28">
        <f>'Hawaii Summary'!G6</f>
        <v>87540442.588666663</v>
      </c>
      <c r="E4" s="28">
        <f>'Hawaii Summary'!H6</f>
        <v>3954146</v>
      </c>
      <c r="F4" s="45">
        <f>'Hawaii Summary'!I6</f>
        <v>0.15</v>
      </c>
      <c r="G4" s="27">
        <f>'Hawaii Summary'!J6</f>
        <v>60</v>
      </c>
      <c r="H4" s="41">
        <f>'Hawaii Summary'!K6</f>
        <v>4003572.8250000002</v>
      </c>
      <c r="I4" s="41"/>
    </row>
    <row r="6" spans="1:9" x14ac:dyDescent="0.2">
      <c r="A6" t="s">
        <v>75</v>
      </c>
      <c r="B6" s="48">
        <f>'Hawaii Summary'!B11</f>
        <v>7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">
      <c r="A10" t="s">
        <v>106</v>
      </c>
      <c r="B10" s="28">
        <f>B4*'Notional Analysis'!C8*'B_D TRS'!B6</f>
        <v>59207400</v>
      </c>
      <c r="C10" s="28">
        <f>B4*B7*'Notional Analysis'!C8</f>
        <v>177622200</v>
      </c>
      <c r="E10" t="s">
        <v>122</v>
      </c>
      <c r="G10" s="20">
        <f>B4*B6*'Notional Analysis'!C8</f>
        <v>59207400</v>
      </c>
    </row>
    <row r="11" spans="1:9" x14ac:dyDescent="0.2">
      <c r="A11" t="s">
        <v>108</v>
      </c>
      <c r="B11" s="20">
        <f>D4+H4</f>
        <v>91544015.413666666</v>
      </c>
      <c r="C11" s="28">
        <f>B11</f>
        <v>91544015.413666666</v>
      </c>
      <c r="E11" t="s">
        <v>123</v>
      </c>
      <c r="G11" s="54">
        <f>D4+H4</f>
        <v>91544015.413666666</v>
      </c>
    </row>
    <row r="12" spans="1:9" x14ac:dyDescent="0.2">
      <c r="A12" t="s">
        <v>111</v>
      </c>
      <c r="B12" s="20">
        <f>IF(B10&gt;=B11,0,IF(B11-B10&gt;=E4,E4,B11-B10))</f>
        <v>3954146</v>
      </c>
      <c r="C12" s="28"/>
      <c r="G12" s="20">
        <f>G10-G11</f>
        <v>-32336615.413666666</v>
      </c>
    </row>
    <row r="13" spans="1:9" x14ac:dyDescent="0.2">
      <c r="C13" s="28"/>
      <c r="E13" t="s">
        <v>75</v>
      </c>
      <c r="F13" s="20">
        <f>B4*B6*'Notional Analysis'!C8</f>
        <v>59207400</v>
      </c>
    </row>
    <row r="14" spans="1:9" x14ac:dyDescent="0.2">
      <c r="A14" t="s">
        <v>109</v>
      </c>
      <c r="B14" s="20">
        <f>D4</f>
        <v>87540442.588666663</v>
      </c>
      <c r="C14" s="28">
        <f>B14</f>
        <v>87540442.588666663</v>
      </c>
      <c r="E14" t="s">
        <v>104</v>
      </c>
      <c r="F14" s="20">
        <f>B7*B4*'Notional Analysis'!C8</f>
        <v>177622200</v>
      </c>
    </row>
    <row r="15" spans="1:9" x14ac:dyDescent="0.2">
      <c r="A15" t="s">
        <v>110</v>
      </c>
      <c r="B15" s="54">
        <f>B10-E4+B12</f>
        <v>59207400</v>
      </c>
      <c r="C15" s="59">
        <f>C10-E4+C12</f>
        <v>173668054</v>
      </c>
      <c r="F15" s="20"/>
      <c r="G15" s="20">
        <f>-F14+F13</f>
        <v>-118414800</v>
      </c>
    </row>
    <row r="16" spans="1:9" ht="13.5" thickBot="1" x14ac:dyDescent="0.25">
      <c r="A16" t="s">
        <v>117</v>
      </c>
      <c r="B16" s="20">
        <f>B15-B14</f>
        <v>-28333042.588666663</v>
      </c>
      <c r="C16" s="60">
        <f>C15-C14</f>
        <v>86127611.411333337</v>
      </c>
      <c r="D16" s="61" t="s">
        <v>115</v>
      </c>
      <c r="F16" s="20"/>
      <c r="G16" s="17">
        <f>G12-G15</f>
        <v>86078184.586333334</v>
      </c>
      <c r="H16" s="20">
        <f>C16-G16</f>
        <v>49426.82500000298</v>
      </c>
      <c r="I16" s="62" t="str">
        <f>IF(ABS(H16)&lt;1000000,"Clint says it's OK","Clint says Uh Oh!")</f>
        <v>Clint says it's OK</v>
      </c>
    </row>
    <row r="17" spans="1:3" ht="13.5" thickTop="1" x14ac:dyDescent="0.2">
      <c r="C17" s="28"/>
    </row>
    <row r="18" spans="1:3" x14ac:dyDescent="0.2">
      <c r="A18" t="s">
        <v>112</v>
      </c>
      <c r="B18" s="28">
        <f>C15</f>
        <v>173668054</v>
      </c>
      <c r="C18" s="28"/>
    </row>
    <row r="19" spans="1:3" x14ac:dyDescent="0.2">
      <c r="A19" t="s">
        <v>113</v>
      </c>
      <c r="B19" s="28">
        <f>IF(B15&gt;B18,B15-B18,0)</f>
        <v>0</v>
      </c>
      <c r="C19" s="28"/>
    </row>
    <row r="20" spans="1:3" x14ac:dyDescent="0.2">
      <c r="A20" t="s">
        <v>114</v>
      </c>
      <c r="B20" s="28">
        <f>IF(B18&gt;=B15,B18-B15,0)</f>
        <v>114460654</v>
      </c>
      <c r="C20" s="28"/>
    </row>
    <row r="21" spans="1:3" x14ac:dyDescent="0.2">
      <c r="A21" t="s">
        <v>116</v>
      </c>
      <c r="B21" s="20">
        <f>-B14+B15-B19+B20</f>
        <v>86127611.411333337</v>
      </c>
      <c r="C21" s="28"/>
    </row>
    <row r="22" spans="1:3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showGridLines="0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140625" bestFit="1" customWidth="1"/>
    <col min="2" max="2" width="12.28515625" bestFit="1" customWidth="1"/>
    <col min="3" max="3" width="8.28515625" style="45" customWidth="1"/>
    <col min="4" max="4" width="10.5703125" bestFit="1" customWidth="1"/>
    <col min="5" max="5" width="12.28515625" bestFit="1" customWidth="1"/>
    <col min="6" max="6" width="12.5703125" style="41" bestFit="1" customWidth="1"/>
    <col min="7" max="7" width="12.7109375" style="41" bestFit="1" customWidth="1"/>
    <col min="8" max="8" width="12.5703125" bestFit="1" customWidth="1"/>
    <col min="10" max="10" width="11.7109375" customWidth="1"/>
    <col min="11" max="11" width="12.42578125" bestFit="1" customWidth="1"/>
    <col min="12" max="12" width="10.42578125" bestFit="1" customWidth="1"/>
    <col min="13" max="13" width="12.140625" style="41" bestFit="1" customWidth="1"/>
    <col min="14" max="15" width="10" bestFit="1" customWidth="1"/>
  </cols>
  <sheetData>
    <row r="1" spans="1:15" x14ac:dyDescent="0.2">
      <c r="A1" s="1" t="s">
        <v>89</v>
      </c>
      <c r="F1"/>
      <c r="G1" s="41" t="s">
        <v>94</v>
      </c>
      <c r="H1" s="25">
        <f>'Credit Analysis'!B3</f>
        <v>36858</v>
      </c>
      <c r="J1" s="1" t="s">
        <v>86</v>
      </c>
    </row>
    <row r="2" spans="1:15" x14ac:dyDescent="0.2">
      <c r="D2" t="s">
        <v>87</v>
      </c>
      <c r="E2" s="27">
        <f>H1-H2</f>
        <v>0</v>
      </c>
      <c r="F2"/>
      <c r="G2" s="41" t="s">
        <v>99</v>
      </c>
      <c r="H2" s="25">
        <f>VLOOKUP(H1,C_Debt,1)</f>
        <v>36858</v>
      </c>
    </row>
    <row r="3" spans="1:15" x14ac:dyDescent="0.2">
      <c r="A3" t="s">
        <v>31</v>
      </c>
      <c r="B3" s="28">
        <f>'Hawaii Summary'!F7</f>
        <v>29111495</v>
      </c>
      <c r="D3" t="s">
        <v>36</v>
      </c>
      <c r="E3" s="28">
        <f>VLOOKUP($H$1,C_Debt,8)</f>
        <v>29111495</v>
      </c>
      <c r="H3" s="25"/>
      <c r="J3" s="1" t="s">
        <v>31</v>
      </c>
      <c r="K3" s="28">
        <f>'Hawaii Summary'!H7</f>
        <v>900355</v>
      </c>
      <c r="M3" t="s">
        <v>36</v>
      </c>
      <c r="N3" s="28">
        <f>VLOOKUP($H$1,C_Equity,6)</f>
        <v>900355</v>
      </c>
    </row>
    <row r="4" spans="1:15" x14ac:dyDescent="0.2">
      <c r="A4" t="s">
        <v>25</v>
      </c>
      <c r="B4" s="25">
        <f>'Hawaii Summary'!B7</f>
        <v>36766</v>
      </c>
      <c r="D4" t="s">
        <v>98</v>
      </c>
      <c r="E4" s="28">
        <f>F4*$E$2/30</f>
        <v>0</v>
      </c>
      <c r="F4" s="41">
        <f>VLOOKUP($H$1+30,C_Debt,5)</f>
        <v>190680.29225000003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0</v>
      </c>
      <c r="O4" s="41">
        <f>VLOOKUP($H$1+30,C_Equity,3)</f>
        <v>11254.4375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102</v>
      </c>
      <c r="E5" s="50">
        <f>E3+E4</f>
        <v>29111495</v>
      </c>
      <c r="H5" s="27"/>
      <c r="J5" s="1" t="s">
        <v>33</v>
      </c>
      <c r="K5" s="27">
        <f>COUNT(J8:J48)-1</f>
        <v>40</v>
      </c>
      <c r="M5" t="s">
        <v>103</v>
      </c>
      <c r="N5" s="17">
        <f>SUM(N3:N4)</f>
        <v>900355</v>
      </c>
    </row>
    <row r="6" spans="1:15" ht="13.5" thickTop="1" x14ac:dyDescent="0.2">
      <c r="E6" s="27"/>
      <c r="J6" s="1" t="s">
        <v>34</v>
      </c>
      <c r="K6" s="24">
        <f>PMT(K4/12,K5,-K3)</f>
        <v>28740.604619660302</v>
      </c>
    </row>
    <row r="7" spans="1:15" s="37" customFormat="1" ht="26.25" thickBot="1" x14ac:dyDescent="0.25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">
      <c r="A8" s="25">
        <f>B4</f>
        <v>36766</v>
      </c>
      <c r="B8" s="20">
        <f>B3</f>
        <v>29111495</v>
      </c>
      <c r="H8" s="20">
        <f>B8-G8</f>
        <v>29111495</v>
      </c>
      <c r="J8" s="25">
        <f>A8</f>
        <v>36766</v>
      </c>
      <c r="K8" s="28">
        <f>K3</f>
        <v>900355</v>
      </c>
      <c r="N8" s="41">
        <f>M8-L8</f>
        <v>0</v>
      </c>
      <c r="O8" s="20">
        <f>K8-N8</f>
        <v>900355</v>
      </c>
    </row>
    <row r="9" spans="1:15" x14ac:dyDescent="0.2">
      <c r="A9" s="25">
        <v>36797</v>
      </c>
      <c r="B9" s="20">
        <f>H8</f>
        <v>29111495</v>
      </c>
      <c r="C9" s="45">
        <v>6.7599999999999993E-2</v>
      </c>
      <c r="D9" s="22">
        <f t="shared" ref="D9:D19" si="0">C9+0.005+0.0055</f>
        <v>7.8100000000000003E-2</v>
      </c>
      <c r="E9" s="28">
        <f>B9*D9/12</f>
        <v>189467.31329166668</v>
      </c>
      <c r="F9" s="20">
        <f>E9</f>
        <v>189467.31329166668</v>
      </c>
      <c r="G9" s="41">
        <f>F9-E9</f>
        <v>0</v>
      </c>
      <c r="H9" s="20">
        <f t="shared" ref="H9:H48" si="1">B9-G9</f>
        <v>29111495</v>
      </c>
      <c r="J9" s="25">
        <f t="shared" ref="J9:J48" si="2">A9</f>
        <v>36797</v>
      </c>
      <c r="K9" s="20">
        <f>O8</f>
        <v>900355</v>
      </c>
      <c r="L9" s="12">
        <f>K9*$K$4/12</f>
        <v>11254.4375</v>
      </c>
      <c r="M9" s="12">
        <f>L9</f>
        <v>11254.4375</v>
      </c>
      <c r="N9" s="41">
        <f>M9-L9</f>
        <v>0</v>
      </c>
      <c r="O9" s="20">
        <f t="shared" ref="O9:O48" si="3">K9-N9</f>
        <v>900355</v>
      </c>
    </row>
    <row r="10" spans="1:15" x14ac:dyDescent="0.2">
      <c r="A10" s="25">
        <v>36827</v>
      </c>
      <c r="B10" s="20">
        <f t="shared" ref="B10:B48" si="4">H9</f>
        <v>29111495</v>
      </c>
      <c r="C10" s="45">
        <v>6.7199999999999996E-2</v>
      </c>
      <c r="D10" s="22">
        <f t="shared" si="0"/>
        <v>7.7700000000000005E-2</v>
      </c>
      <c r="E10" s="28">
        <f t="shared" ref="E10:E48" si="5">B10*D10/12</f>
        <v>188496.93012499998</v>
      </c>
      <c r="F10" s="20">
        <f t="shared" ref="F10:F47" si="6">E10</f>
        <v>188496.93012499998</v>
      </c>
      <c r="G10" s="41">
        <f t="shared" ref="G10:G48" si="7">F10-E10</f>
        <v>0</v>
      </c>
      <c r="H10" s="20">
        <f t="shared" si="1"/>
        <v>29111495</v>
      </c>
      <c r="J10" s="25">
        <f t="shared" si="2"/>
        <v>36827</v>
      </c>
      <c r="K10" s="20">
        <f t="shared" ref="K10:K48" si="8">O9</f>
        <v>900355</v>
      </c>
      <c r="L10" s="12">
        <f t="shared" ref="L10:L48" si="9">K10*$K$4/12</f>
        <v>11254.4375</v>
      </c>
      <c r="M10" s="41">
        <f t="shared" ref="M10:M47" si="10">M9</f>
        <v>11254.4375</v>
      </c>
      <c r="N10" s="41">
        <f t="shared" ref="N10:N48" si="11">M10-L10</f>
        <v>0</v>
      </c>
      <c r="O10" s="20">
        <f t="shared" si="3"/>
        <v>900355</v>
      </c>
    </row>
    <row r="11" spans="1:15" x14ac:dyDescent="0.2">
      <c r="A11" s="25">
        <v>36858</v>
      </c>
      <c r="B11" s="20">
        <f t="shared" si="4"/>
        <v>29111495</v>
      </c>
      <c r="C11" s="45">
        <v>6.8000000000000005E-2</v>
      </c>
      <c r="D11" s="22">
        <f t="shared" si="0"/>
        <v>7.8500000000000014E-2</v>
      </c>
      <c r="E11" s="28">
        <f t="shared" si="5"/>
        <v>190437.69645833338</v>
      </c>
      <c r="F11" s="20">
        <f t="shared" si="6"/>
        <v>190437.69645833338</v>
      </c>
      <c r="G11" s="41">
        <f t="shared" si="7"/>
        <v>0</v>
      </c>
      <c r="H11" s="20">
        <f t="shared" si="1"/>
        <v>29111495</v>
      </c>
      <c r="J11" s="25">
        <f t="shared" si="2"/>
        <v>36858</v>
      </c>
      <c r="K11" s="20">
        <f t="shared" si="8"/>
        <v>900355</v>
      </c>
      <c r="L11" s="12">
        <f t="shared" si="9"/>
        <v>11254.4375</v>
      </c>
      <c r="M11" s="41">
        <f t="shared" si="10"/>
        <v>11254.4375</v>
      </c>
      <c r="N11" s="41">
        <f t="shared" si="11"/>
        <v>0</v>
      </c>
      <c r="O11" s="20">
        <f t="shared" si="3"/>
        <v>900355</v>
      </c>
    </row>
    <row r="12" spans="1:15" x14ac:dyDescent="0.2">
      <c r="A12" s="25">
        <v>36888</v>
      </c>
      <c r="B12" s="20">
        <f t="shared" si="4"/>
        <v>29111495</v>
      </c>
      <c r="C12" s="45">
        <v>6.8099999999999994E-2</v>
      </c>
      <c r="D12" s="22">
        <f t="shared" si="0"/>
        <v>7.8600000000000003E-2</v>
      </c>
      <c r="E12" s="28">
        <f t="shared" si="5"/>
        <v>190680.29225000003</v>
      </c>
      <c r="F12" s="20">
        <f t="shared" si="6"/>
        <v>190680.29225000003</v>
      </c>
      <c r="G12" s="41">
        <f t="shared" si="7"/>
        <v>0</v>
      </c>
      <c r="H12" s="20">
        <f t="shared" si="1"/>
        <v>29111495</v>
      </c>
      <c r="J12" s="25">
        <f t="shared" si="2"/>
        <v>36888</v>
      </c>
      <c r="K12" s="20">
        <f t="shared" si="8"/>
        <v>900355</v>
      </c>
      <c r="L12" s="12">
        <f t="shared" si="9"/>
        <v>11254.4375</v>
      </c>
      <c r="M12" s="41">
        <f t="shared" si="10"/>
        <v>11254.4375</v>
      </c>
      <c r="N12" s="41">
        <f t="shared" si="11"/>
        <v>0</v>
      </c>
      <c r="O12" s="20">
        <f t="shared" si="3"/>
        <v>900355</v>
      </c>
    </row>
    <row r="13" spans="1:15" x14ac:dyDescent="0.2">
      <c r="A13" s="25">
        <v>36919</v>
      </c>
      <c r="B13" s="20">
        <f t="shared" si="4"/>
        <v>29111495</v>
      </c>
      <c r="C13" s="45">
        <v>6.83E-2</v>
      </c>
      <c r="D13" s="22">
        <f t="shared" si="0"/>
        <v>7.8800000000000009E-2</v>
      </c>
      <c r="E13" s="28">
        <f t="shared" si="5"/>
        <v>191165.48383333336</v>
      </c>
      <c r="F13" s="20">
        <f t="shared" si="6"/>
        <v>191165.48383333336</v>
      </c>
      <c r="G13" s="41">
        <f t="shared" si="7"/>
        <v>0</v>
      </c>
      <c r="H13" s="20">
        <f t="shared" si="1"/>
        <v>29111495</v>
      </c>
      <c r="J13" s="25">
        <f t="shared" si="2"/>
        <v>36919</v>
      </c>
      <c r="K13" s="20">
        <f t="shared" si="8"/>
        <v>900355</v>
      </c>
      <c r="L13" s="12">
        <f t="shared" si="9"/>
        <v>11254.4375</v>
      </c>
      <c r="M13" s="41">
        <f t="shared" si="10"/>
        <v>11254.4375</v>
      </c>
      <c r="N13" s="41">
        <f t="shared" si="11"/>
        <v>0</v>
      </c>
      <c r="O13" s="20">
        <f t="shared" si="3"/>
        <v>900355</v>
      </c>
    </row>
    <row r="14" spans="1:15" x14ac:dyDescent="0.2">
      <c r="A14" s="25">
        <v>36950</v>
      </c>
      <c r="B14" s="20">
        <f t="shared" si="4"/>
        <v>29111495</v>
      </c>
      <c r="C14" s="45">
        <v>6.83E-2</v>
      </c>
      <c r="D14" s="22">
        <f t="shared" si="0"/>
        <v>7.8800000000000009E-2</v>
      </c>
      <c r="E14" s="28">
        <f t="shared" si="5"/>
        <v>191165.48383333336</v>
      </c>
      <c r="F14" s="20">
        <f t="shared" si="6"/>
        <v>191165.48383333336</v>
      </c>
      <c r="G14" s="41">
        <f t="shared" si="7"/>
        <v>0</v>
      </c>
      <c r="H14" s="20">
        <f t="shared" si="1"/>
        <v>29111495</v>
      </c>
      <c r="J14" s="25">
        <f t="shared" si="2"/>
        <v>36950</v>
      </c>
      <c r="K14" s="20">
        <f t="shared" si="8"/>
        <v>900355</v>
      </c>
      <c r="L14" s="12">
        <f t="shared" si="9"/>
        <v>11254.4375</v>
      </c>
      <c r="M14" s="41">
        <f t="shared" si="10"/>
        <v>11254.4375</v>
      </c>
      <c r="N14" s="41">
        <f t="shared" si="11"/>
        <v>0</v>
      </c>
      <c r="O14" s="20">
        <f t="shared" si="3"/>
        <v>900355</v>
      </c>
    </row>
    <row r="15" spans="1:15" x14ac:dyDescent="0.2">
      <c r="A15" s="25">
        <v>36978</v>
      </c>
      <c r="B15" s="20">
        <f t="shared" si="4"/>
        <v>29111495</v>
      </c>
      <c r="C15" s="45">
        <v>6.83E-2</v>
      </c>
      <c r="D15" s="22">
        <f t="shared" si="0"/>
        <v>7.8800000000000009E-2</v>
      </c>
      <c r="E15" s="28">
        <f t="shared" si="5"/>
        <v>191165.48383333336</v>
      </c>
      <c r="F15" s="20">
        <f t="shared" si="6"/>
        <v>191165.48383333336</v>
      </c>
      <c r="G15" s="41">
        <f t="shared" si="7"/>
        <v>0</v>
      </c>
      <c r="H15" s="20">
        <f t="shared" si="1"/>
        <v>29111495</v>
      </c>
      <c r="J15" s="25">
        <f t="shared" si="2"/>
        <v>36978</v>
      </c>
      <c r="K15" s="20">
        <f t="shared" si="8"/>
        <v>900355</v>
      </c>
      <c r="L15" s="12">
        <f t="shared" si="9"/>
        <v>11254.4375</v>
      </c>
      <c r="M15" s="41">
        <f t="shared" si="10"/>
        <v>11254.4375</v>
      </c>
      <c r="N15" s="41">
        <f t="shared" si="11"/>
        <v>0</v>
      </c>
      <c r="O15" s="20">
        <f t="shared" si="3"/>
        <v>900355</v>
      </c>
    </row>
    <row r="16" spans="1:15" x14ac:dyDescent="0.2">
      <c r="A16" s="25">
        <v>37009</v>
      </c>
      <c r="B16" s="20">
        <f t="shared" si="4"/>
        <v>29111495</v>
      </c>
      <c r="C16" s="45">
        <v>6.8500000000000005E-2</v>
      </c>
      <c r="D16" s="22">
        <f t="shared" si="0"/>
        <v>7.9000000000000015E-2</v>
      </c>
      <c r="E16" s="28">
        <f t="shared" si="5"/>
        <v>191650.67541666669</v>
      </c>
      <c r="F16" s="20">
        <f t="shared" si="6"/>
        <v>191650.67541666669</v>
      </c>
      <c r="G16" s="41">
        <f t="shared" si="7"/>
        <v>0</v>
      </c>
      <c r="H16" s="20">
        <f t="shared" si="1"/>
        <v>29111495</v>
      </c>
      <c r="J16" s="25">
        <f t="shared" si="2"/>
        <v>37009</v>
      </c>
      <c r="K16" s="20">
        <f t="shared" si="8"/>
        <v>900355</v>
      </c>
      <c r="L16" s="12">
        <f t="shared" si="9"/>
        <v>11254.4375</v>
      </c>
      <c r="M16" s="41">
        <f t="shared" si="10"/>
        <v>11254.4375</v>
      </c>
      <c r="N16" s="41">
        <f t="shared" si="11"/>
        <v>0</v>
      </c>
      <c r="O16" s="20">
        <f t="shared" si="3"/>
        <v>900355</v>
      </c>
    </row>
    <row r="17" spans="1:15" x14ac:dyDescent="0.2">
      <c r="A17" s="25">
        <v>37039</v>
      </c>
      <c r="B17" s="20">
        <f t="shared" si="4"/>
        <v>29111495</v>
      </c>
      <c r="C17" s="45">
        <v>6.8699999999999997E-2</v>
      </c>
      <c r="D17" s="22">
        <f t="shared" si="0"/>
        <v>7.9200000000000007E-2</v>
      </c>
      <c r="E17" s="28">
        <f t="shared" si="5"/>
        <v>192135.867</v>
      </c>
      <c r="F17" s="20">
        <f t="shared" si="6"/>
        <v>192135.867</v>
      </c>
      <c r="G17" s="41">
        <f t="shared" si="7"/>
        <v>0</v>
      </c>
      <c r="H17" s="20">
        <f t="shared" si="1"/>
        <v>29111495</v>
      </c>
      <c r="J17" s="25">
        <f t="shared" si="2"/>
        <v>37039</v>
      </c>
      <c r="K17" s="20">
        <f t="shared" si="8"/>
        <v>900355</v>
      </c>
      <c r="L17" s="12">
        <f t="shared" si="9"/>
        <v>11254.4375</v>
      </c>
      <c r="M17" s="41">
        <f t="shared" si="10"/>
        <v>11254.4375</v>
      </c>
      <c r="N17" s="41">
        <f t="shared" si="11"/>
        <v>0</v>
      </c>
      <c r="O17" s="20">
        <f t="shared" si="3"/>
        <v>900355</v>
      </c>
    </row>
    <row r="18" spans="1:15" x14ac:dyDescent="0.2">
      <c r="A18" s="25">
        <v>37070</v>
      </c>
      <c r="B18" s="20">
        <f t="shared" si="4"/>
        <v>29111495</v>
      </c>
      <c r="C18" s="45">
        <v>6.8900000000000003E-2</v>
      </c>
      <c r="D18" s="22">
        <f t="shared" si="0"/>
        <v>7.9400000000000012E-2</v>
      </c>
      <c r="E18" s="28">
        <f t="shared" si="5"/>
        <v>192621.05858333336</v>
      </c>
      <c r="F18" s="20">
        <f t="shared" si="6"/>
        <v>192621.05858333336</v>
      </c>
      <c r="G18" s="41">
        <f t="shared" si="7"/>
        <v>0</v>
      </c>
      <c r="H18" s="20">
        <f t="shared" si="1"/>
        <v>29111495</v>
      </c>
      <c r="J18" s="25">
        <f t="shared" si="2"/>
        <v>37070</v>
      </c>
      <c r="K18" s="20">
        <f t="shared" si="8"/>
        <v>900355</v>
      </c>
      <c r="L18" s="12">
        <f t="shared" si="9"/>
        <v>11254.4375</v>
      </c>
      <c r="M18" s="41">
        <f t="shared" si="10"/>
        <v>11254.4375</v>
      </c>
      <c r="N18" s="41">
        <f t="shared" si="11"/>
        <v>0</v>
      </c>
      <c r="O18" s="20">
        <f t="shared" si="3"/>
        <v>900355</v>
      </c>
    </row>
    <row r="19" spans="1:15" x14ac:dyDescent="0.2">
      <c r="A19" s="25">
        <v>37100</v>
      </c>
      <c r="B19" s="20">
        <f t="shared" si="4"/>
        <v>29111495</v>
      </c>
      <c r="C19" s="45">
        <v>6.8900000000000003E-2</v>
      </c>
      <c r="D19" s="22">
        <f t="shared" si="0"/>
        <v>7.9400000000000012E-2</v>
      </c>
      <c r="E19" s="28">
        <f t="shared" si="5"/>
        <v>192621.05858333336</v>
      </c>
      <c r="F19" s="20">
        <f t="shared" si="6"/>
        <v>192621.05858333336</v>
      </c>
      <c r="G19" s="41">
        <f t="shared" si="7"/>
        <v>0</v>
      </c>
      <c r="H19" s="20">
        <f t="shared" si="1"/>
        <v>29111495</v>
      </c>
      <c r="J19" s="25">
        <f t="shared" si="2"/>
        <v>37100</v>
      </c>
      <c r="K19" s="20">
        <f t="shared" si="8"/>
        <v>900355</v>
      </c>
      <c r="L19" s="12">
        <f t="shared" si="9"/>
        <v>11254.4375</v>
      </c>
      <c r="M19" s="41">
        <f t="shared" si="10"/>
        <v>11254.4375</v>
      </c>
      <c r="N19" s="41">
        <f t="shared" si="11"/>
        <v>0</v>
      </c>
      <c r="O19" s="20">
        <f t="shared" si="3"/>
        <v>900355</v>
      </c>
    </row>
    <row r="20" spans="1:15" x14ac:dyDescent="0.2">
      <c r="A20" s="25">
        <v>37131</v>
      </c>
      <c r="B20" s="20">
        <f t="shared" si="4"/>
        <v>29111495</v>
      </c>
      <c r="C20" s="45">
        <v>6.8900000000000003E-2</v>
      </c>
      <c r="D20" s="22">
        <f>C20+0.005+0.0055</f>
        <v>7.9400000000000012E-2</v>
      </c>
      <c r="E20" s="28">
        <f t="shared" si="5"/>
        <v>192621.05858333336</v>
      </c>
      <c r="F20" s="20">
        <f t="shared" si="6"/>
        <v>192621.05858333336</v>
      </c>
      <c r="G20" s="41">
        <f t="shared" si="7"/>
        <v>0</v>
      </c>
      <c r="H20" s="20">
        <f t="shared" si="1"/>
        <v>29111495</v>
      </c>
      <c r="J20" s="25">
        <f t="shared" si="2"/>
        <v>37131</v>
      </c>
      <c r="K20" s="20">
        <f t="shared" si="8"/>
        <v>900355</v>
      </c>
      <c r="L20" s="12">
        <f t="shared" si="9"/>
        <v>11254.4375</v>
      </c>
      <c r="M20" s="41">
        <f t="shared" si="10"/>
        <v>11254.4375</v>
      </c>
      <c r="N20" s="41">
        <f t="shared" si="11"/>
        <v>0</v>
      </c>
      <c r="O20" s="20">
        <f t="shared" si="3"/>
        <v>900355</v>
      </c>
    </row>
    <row r="21" spans="1:15" x14ac:dyDescent="0.2">
      <c r="A21" s="25">
        <v>37162</v>
      </c>
      <c r="B21" s="20">
        <f t="shared" si="4"/>
        <v>29111495</v>
      </c>
      <c r="C21" s="45">
        <f t="shared" ref="C21:C48" si="12">C20*(1+$C$5)</f>
        <v>6.9072250000000002E-2</v>
      </c>
      <c r="D21" s="22">
        <f t="shared" ref="D21:D48" si="13">C21+0.005+0.0055</f>
        <v>7.9572250000000011E-2</v>
      </c>
      <c r="E21" s="28">
        <f t="shared" si="5"/>
        <v>193038.9298344792</v>
      </c>
      <c r="F21" s="20">
        <f t="shared" si="6"/>
        <v>193038.9298344792</v>
      </c>
      <c r="G21" s="41">
        <f t="shared" si="7"/>
        <v>0</v>
      </c>
      <c r="H21" s="20">
        <f t="shared" si="1"/>
        <v>29111495</v>
      </c>
      <c r="J21" s="25">
        <f t="shared" si="2"/>
        <v>37162</v>
      </c>
      <c r="K21" s="20">
        <f t="shared" si="8"/>
        <v>900355</v>
      </c>
      <c r="L21" s="12">
        <f t="shared" si="9"/>
        <v>11254.4375</v>
      </c>
      <c r="M21" s="41">
        <f t="shared" si="10"/>
        <v>11254.4375</v>
      </c>
      <c r="N21" s="41">
        <f t="shared" si="11"/>
        <v>0</v>
      </c>
      <c r="O21" s="20">
        <f t="shared" si="3"/>
        <v>900355</v>
      </c>
    </row>
    <row r="22" spans="1:15" x14ac:dyDescent="0.2">
      <c r="A22" s="25">
        <v>37192</v>
      </c>
      <c r="B22" s="20">
        <f t="shared" si="4"/>
        <v>29111495</v>
      </c>
      <c r="C22" s="45">
        <f t="shared" si="12"/>
        <v>6.9244930624999992E-2</v>
      </c>
      <c r="D22" s="22">
        <f t="shared" si="13"/>
        <v>7.9744930625000002E-2</v>
      </c>
      <c r="E22" s="28">
        <f t="shared" si="5"/>
        <v>193457.84576375285</v>
      </c>
      <c r="F22" s="20">
        <f t="shared" si="6"/>
        <v>193457.84576375285</v>
      </c>
      <c r="G22" s="41">
        <f t="shared" si="7"/>
        <v>0</v>
      </c>
      <c r="H22" s="20">
        <f t="shared" si="1"/>
        <v>29111495</v>
      </c>
      <c r="J22" s="25">
        <f t="shared" si="2"/>
        <v>37192</v>
      </c>
      <c r="K22" s="20">
        <f t="shared" si="8"/>
        <v>900355</v>
      </c>
      <c r="L22" s="12">
        <f t="shared" si="9"/>
        <v>11254.4375</v>
      </c>
      <c r="M22" s="41">
        <f t="shared" si="10"/>
        <v>11254.4375</v>
      </c>
      <c r="N22" s="41">
        <f t="shared" si="11"/>
        <v>0</v>
      </c>
      <c r="O22" s="20">
        <f t="shared" si="3"/>
        <v>900355</v>
      </c>
    </row>
    <row r="23" spans="1:15" x14ac:dyDescent="0.2">
      <c r="A23" s="25">
        <v>37223</v>
      </c>
      <c r="B23" s="20">
        <f t="shared" si="4"/>
        <v>29111495</v>
      </c>
      <c r="C23" s="45">
        <f t="shared" si="12"/>
        <v>6.9418042951562495E-2</v>
      </c>
      <c r="D23" s="22">
        <f t="shared" si="13"/>
        <v>7.9918042951562504E-2</v>
      </c>
      <c r="E23" s="28">
        <f t="shared" si="5"/>
        <v>193877.80898284973</v>
      </c>
      <c r="F23" s="20">
        <f t="shared" si="6"/>
        <v>193877.80898284973</v>
      </c>
      <c r="G23" s="41">
        <f t="shared" si="7"/>
        <v>0</v>
      </c>
      <c r="H23" s="20">
        <f t="shared" si="1"/>
        <v>29111495</v>
      </c>
      <c r="J23" s="25">
        <f t="shared" si="2"/>
        <v>37223</v>
      </c>
      <c r="K23" s="20">
        <f t="shared" si="8"/>
        <v>900355</v>
      </c>
      <c r="L23" s="12">
        <f t="shared" si="9"/>
        <v>11254.4375</v>
      </c>
      <c r="M23" s="41">
        <f t="shared" si="10"/>
        <v>11254.4375</v>
      </c>
      <c r="N23" s="41">
        <f t="shared" si="11"/>
        <v>0</v>
      </c>
      <c r="O23" s="20">
        <f t="shared" si="3"/>
        <v>900355</v>
      </c>
    </row>
    <row r="24" spans="1:15" x14ac:dyDescent="0.2">
      <c r="A24" s="25">
        <v>37253</v>
      </c>
      <c r="B24" s="20">
        <f t="shared" si="4"/>
        <v>29111495</v>
      </c>
      <c r="C24" s="45">
        <f t="shared" si="12"/>
        <v>6.9591588058941403E-2</v>
      </c>
      <c r="D24" s="22">
        <f t="shared" si="13"/>
        <v>8.0091588058941413E-2</v>
      </c>
      <c r="E24" s="28">
        <f t="shared" si="5"/>
        <v>194298.82210999439</v>
      </c>
      <c r="F24" s="20">
        <f t="shared" si="6"/>
        <v>194298.82210999439</v>
      </c>
      <c r="G24" s="41">
        <f t="shared" si="7"/>
        <v>0</v>
      </c>
      <c r="H24" s="20">
        <f t="shared" si="1"/>
        <v>29111495</v>
      </c>
      <c r="J24" s="25">
        <f t="shared" si="2"/>
        <v>37253</v>
      </c>
      <c r="K24" s="20">
        <f t="shared" si="8"/>
        <v>900355</v>
      </c>
      <c r="L24" s="12">
        <f t="shared" si="9"/>
        <v>11254.4375</v>
      </c>
      <c r="M24" s="41">
        <f t="shared" si="10"/>
        <v>11254.4375</v>
      </c>
      <c r="N24" s="41">
        <f t="shared" si="11"/>
        <v>0</v>
      </c>
      <c r="O24" s="20">
        <f t="shared" si="3"/>
        <v>900355</v>
      </c>
    </row>
    <row r="25" spans="1:15" x14ac:dyDescent="0.2">
      <c r="A25" s="25">
        <v>37284</v>
      </c>
      <c r="B25" s="20">
        <f t="shared" si="4"/>
        <v>29111495</v>
      </c>
      <c r="C25" s="45">
        <f t="shared" si="12"/>
        <v>6.976556702908876E-2</v>
      </c>
      <c r="D25" s="22">
        <f t="shared" si="13"/>
        <v>8.0265567029088769E-2</v>
      </c>
      <c r="E25" s="28">
        <f t="shared" si="5"/>
        <v>194720.88776995687</v>
      </c>
      <c r="F25" s="20">
        <f t="shared" si="6"/>
        <v>194720.88776995687</v>
      </c>
      <c r="G25" s="41">
        <f t="shared" si="7"/>
        <v>0</v>
      </c>
      <c r="H25" s="20">
        <f t="shared" si="1"/>
        <v>29111495</v>
      </c>
      <c r="J25" s="25">
        <f t="shared" si="2"/>
        <v>37284</v>
      </c>
      <c r="K25" s="20">
        <f t="shared" si="8"/>
        <v>900355</v>
      </c>
      <c r="L25" s="12">
        <f t="shared" si="9"/>
        <v>11254.4375</v>
      </c>
      <c r="M25" s="41">
        <f t="shared" si="10"/>
        <v>11254.4375</v>
      </c>
      <c r="N25" s="41">
        <f t="shared" si="11"/>
        <v>0</v>
      </c>
      <c r="O25" s="20">
        <f t="shared" si="3"/>
        <v>900355</v>
      </c>
    </row>
    <row r="26" spans="1:15" x14ac:dyDescent="0.2">
      <c r="A26" s="25">
        <v>37315</v>
      </c>
      <c r="B26" s="20">
        <f t="shared" si="4"/>
        <v>29111495</v>
      </c>
      <c r="C26" s="45">
        <f t="shared" si="12"/>
        <v>6.9939980946661484E-2</v>
      </c>
      <c r="D26" s="22">
        <f t="shared" si="13"/>
        <v>8.0439980946661493E-2</v>
      </c>
      <c r="E26" s="28">
        <f t="shared" si="5"/>
        <v>195144.00859406928</v>
      </c>
      <c r="F26" s="20">
        <f t="shared" si="6"/>
        <v>195144.00859406928</v>
      </c>
      <c r="G26" s="41">
        <f t="shared" si="7"/>
        <v>0</v>
      </c>
      <c r="H26" s="20">
        <f t="shared" si="1"/>
        <v>29111495</v>
      </c>
      <c r="J26" s="25">
        <f t="shared" si="2"/>
        <v>37315</v>
      </c>
      <c r="K26" s="20">
        <f t="shared" si="8"/>
        <v>900355</v>
      </c>
      <c r="L26" s="12">
        <f t="shared" si="9"/>
        <v>11254.4375</v>
      </c>
      <c r="M26" s="41">
        <f t="shared" si="10"/>
        <v>11254.4375</v>
      </c>
      <c r="N26" s="41">
        <f t="shared" si="11"/>
        <v>0</v>
      </c>
      <c r="O26" s="20">
        <f t="shared" si="3"/>
        <v>900355</v>
      </c>
    </row>
    <row r="27" spans="1:15" x14ac:dyDescent="0.2">
      <c r="A27" s="25">
        <v>37343</v>
      </c>
      <c r="B27" s="20">
        <f t="shared" si="4"/>
        <v>29111495</v>
      </c>
      <c r="C27" s="45">
        <f t="shared" si="12"/>
        <v>7.0114830899028133E-2</v>
      </c>
      <c r="D27" s="22">
        <f t="shared" si="13"/>
        <v>8.0614830899028142E-2</v>
      </c>
      <c r="E27" s="28">
        <f t="shared" si="5"/>
        <v>195568.18722024196</v>
      </c>
      <c r="F27" s="20">
        <f t="shared" si="6"/>
        <v>195568.18722024196</v>
      </c>
      <c r="G27" s="41">
        <f t="shared" si="7"/>
        <v>0</v>
      </c>
      <c r="H27" s="20">
        <f t="shared" si="1"/>
        <v>29111495</v>
      </c>
      <c r="J27" s="25">
        <f t="shared" si="2"/>
        <v>37343</v>
      </c>
      <c r="K27" s="20">
        <f t="shared" si="8"/>
        <v>900355</v>
      </c>
      <c r="L27" s="12">
        <f t="shared" si="9"/>
        <v>11254.4375</v>
      </c>
      <c r="M27" s="41">
        <f t="shared" si="10"/>
        <v>11254.4375</v>
      </c>
      <c r="N27" s="41">
        <f t="shared" si="11"/>
        <v>0</v>
      </c>
      <c r="O27" s="20">
        <f t="shared" si="3"/>
        <v>900355</v>
      </c>
    </row>
    <row r="28" spans="1:15" x14ac:dyDescent="0.2">
      <c r="A28" s="25">
        <v>37374</v>
      </c>
      <c r="B28" s="20">
        <f t="shared" si="4"/>
        <v>29111495</v>
      </c>
      <c r="C28" s="45">
        <f t="shared" si="12"/>
        <v>7.0290117976275698E-2</v>
      </c>
      <c r="D28" s="22">
        <f t="shared" si="13"/>
        <v>8.0790117976275708E-2</v>
      </c>
      <c r="E28" s="28">
        <f t="shared" si="5"/>
        <v>195993.42629298006</v>
      </c>
      <c r="F28" s="20">
        <f t="shared" si="6"/>
        <v>195993.42629298006</v>
      </c>
      <c r="G28" s="41">
        <f t="shared" si="7"/>
        <v>0</v>
      </c>
      <c r="H28" s="20">
        <f t="shared" si="1"/>
        <v>29111495</v>
      </c>
      <c r="J28" s="25">
        <f t="shared" si="2"/>
        <v>37374</v>
      </c>
      <c r="K28" s="20">
        <f t="shared" si="8"/>
        <v>900355</v>
      </c>
      <c r="L28" s="12">
        <f t="shared" si="9"/>
        <v>11254.4375</v>
      </c>
      <c r="M28" s="41">
        <f t="shared" si="10"/>
        <v>11254.4375</v>
      </c>
      <c r="N28" s="41">
        <f t="shared" si="11"/>
        <v>0</v>
      </c>
      <c r="O28" s="20">
        <f t="shared" si="3"/>
        <v>900355</v>
      </c>
    </row>
    <row r="29" spans="1:15" x14ac:dyDescent="0.2">
      <c r="A29" s="25">
        <v>37404</v>
      </c>
      <c r="B29" s="20">
        <f t="shared" si="4"/>
        <v>29111495</v>
      </c>
      <c r="C29" s="45">
        <f t="shared" si="12"/>
        <v>7.0465843271216383E-2</v>
      </c>
      <c r="D29" s="22">
        <f t="shared" si="13"/>
        <v>8.0965843271216392E-2</v>
      </c>
      <c r="E29" s="28">
        <f t="shared" si="5"/>
        <v>196419.72846339995</v>
      </c>
      <c r="F29" s="20">
        <f t="shared" si="6"/>
        <v>196419.72846339995</v>
      </c>
      <c r="G29" s="41">
        <f t="shared" si="7"/>
        <v>0</v>
      </c>
      <c r="H29" s="20">
        <f t="shared" si="1"/>
        <v>29111495</v>
      </c>
      <c r="J29" s="25">
        <f t="shared" si="2"/>
        <v>37404</v>
      </c>
      <c r="K29" s="20">
        <f t="shared" si="8"/>
        <v>900355</v>
      </c>
      <c r="L29" s="12">
        <f t="shared" si="9"/>
        <v>11254.4375</v>
      </c>
      <c r="M29" s="41">
        <f t="shared" si="10"/>
        <v>11254.4375</v>
      </c>
      <c r="N29" s="41">
        <f t="shared" si="11"/>
        <v>0</v>
      </c>
      <c r="O29" s="20">
        <f t="shared" si="3"/>
        <v>900355</v>
      </c>
    </row>
    <row r="30" spans="1:15" x14ac:dyDescent="0.2">
      <c r="A30" s="25">
        <v>37435</v>
      </c>
      <c r="B30" s="20">
        <f t="shared" si="4"/>
        <v>29111495</v>
      </c>
      <c r="C30" s="45">
        <f t="shared" si="12"/>
        <v>7.0642007879394425E-2</v>
      </c>
      <c r="D30" s="22">
        <f t="shared" si="13"/>
        <v>8.1142007879394434E-2</v>
      </c>
      <c r="E30" s="28">
        <f t="shared" si="5"/>
        <v>196847.09638924597</v>
      </c>
      <c r="F30" s="20">
        <f t="shared" si="6"/>
        <v>196847.09638924597</v>
      </c>
      <c r="G30" s="41">
        <f t="shared" si="7"/>
        <v>0</v>
      </c>
      <c r="H30" s="20">
        <f t="shared" si="1"/>
        <v>29111495</v>
      </c>
      <c r="J30" s="25">
        <f t="shared" si="2"/>
        <v>37435</v>
      </c>
      <c r="K30" s="20">
        <f t="shared" si="8"/>
        <v>900355</v>
      </c>
      <c r="L30" s="12">
        <f t="shared" si="9"/>
        <v>11254.4375</v>
      </c>
      <c r="M30" s="41">
        <f t="shared" si="10"/>
        <v>11254.4375</v>
      </c>
      <c r="N30" s="41">
        <f t="shared" si="11"/>
        <v>0</v>
      </c>
      <c r="O30" s="20">
        <f t="shared" si="3"/>
        <v>900355</v>
      </c>
    </row>
    <row r="31" spans="1:15" x14ac:dyDescent="0.2">
      <c r="A31" s="25">
        <v>37465</v>
      </c>
      <c r="B31" s="20">
        <f t="shared" si="4"/>
        <v>29111495</v>
      </c>
      <c r="C31" s="45">
        <f t="shared" si="12"/>
        <v>7.0818612899092914E-2</v>
      </c>
      <c r="D31" s="22">
        <f t="shared" si="13"/>
        <v>8.1318612899092924E-2</v>
      </c>
      <c r="E31" s="28">
        <f t="shared" si="5"/>
        <v>197275.53273490662</v>
      </c>
      <c r="F31" s="20">
        <f t="shared" si="6"/>
        <v>197275.53273490662</v>
      </c>
      <c r="G31" s="41">
        <f t="shared" si="7"/>
        <v>0</v>
      </c>
      <c r="H31" s="20">
        <f t="shared" si="1"/>
        <v>29111495</v>
      </c>
      <c r="J31" s="25">
        <f t="shared" si="2"/>
        <v>37465</v>
      </c>
      <c r="K31" s="20">
        <f t="shared" si="8"/>
        <v>900355</v>
      </c>
      <c r="L31" s="12">
        <f t="shared" si="9"/>
        <v>11254.4375</v>
      </c>
      <c r="M31" s="41">
        <f t="shared" si="10"/>
        <v>11254.4375</v>
      </c>
      <c r="N31" s="41">
        <f t="shared" si="11"/>
        <v>0</v>
      </c>
      <c r="O31" s="20">
        <f t="shared" si="3"/>
        <v>900355</v>
      </c>
    </row>
    <row r="32" spans="1:15" x14ac:dyDescent="0.2">
      <c r="A32" s="25">
        <v>37496</v>
      </c>
      <c r="B32" s="20">
        <f t="shared" si="4"/>
        <v>29111495</v>
      </c>
      <c r="C32" s="45">
        <f t="shared" si="12"/>
        <v>7.0995659431340646E-2</v>
      </c>
      <c r="D32" s="22">
        <f t="shared" si="13"/>
        <v>8.1495659431340656E-2</v>
      </c>
      <c r="E32" s="28">
        <f t="shared" si="5"/>
        <v>197705.04017143138</v>
      </c>
      <c r="F32" s="20">
        <f t="shared" si="6"/>
        <v>197705.04017143138</v>
      </c>
      <c r="G32" s="41">
        <f t="shared" si="7"/>
        <v>0</v>
      </c>
      <c r="H32" s="20">
        <f t="shared" si="1"/>
        <v>29111495</v>
      </c>
      <c r="J32" s="25">
        <f t="shared" si="2"/>
        <v>37496</v>
      </c>
      <c r="K32" s="20">
        <f t="shared" si="8"/>
        <v>900355</v>
      </c>
      <c r="L32" s="12">
        <f t="shared" si="9"/>
        <v>11254.4375</v>
      </c>
      <c r="M32" s="41">
        <f t="shared" si="10"/>
        <v>11254.4375</v>
      </c>
      <c r="N32" s="41">
        <f t="shared" si="11"/>
        <v>0</v>
      </c>
      <c r="O32" s="20">
        <f t="shared" si="3"/>
        <v>900355</v>
      </c>
    </row>
    <row r="33" spans="1:15" x14ac:dyDescent="0.2">
      <c r="A33" s="25">
        <v>37527</v>
      </c>
      <c r="B33" s="20">
        <f t="shared" si="4"/>
        <v>29111495</v>
      </c>
      <c r="C33" s="45">
        <f t="shared" si="12"/>
        <v>7.1173148579918993E-2</v>
      </c>
      <c r="D33" s="22">
        <f t="shared" si="13"/>
        <v>8.1673148579919003E-2</v>
      </c>
      <c r="E33" s="28">
        <f t="shared" si="5"/>
        <v>198135.62137654741</v>
      </c>
      <c r="F33" s="20">
        <f t="shared" si="6"/>
        <v>198135.62137654741</v>
      </c>
      <c r="G33" s="41">
        <f t="shared" si="7"/>
        <v>0</v>
      </c>
      <c r="H33" s="20">
        <f t="shared" si="1"/>
        <v>29111495</v>
      </c>
      <c r="J33" s="25">
        <f t="shared" si="2"/>
        <v>37527</v>
      </c>
      <c r="K33" s="20">
        <f t="shared" si="8"/>
        <v>900355</v>
      </c>
      <c r="L33" s="12">
        <f t="shared" si="9"/>
        <v>11254.4375</v>
      </c>
      <c r="M33" s="41">
        <f t="shared" si="10"/>
        <v>11254.4375</v>
      </c>
      <c r="N33" s="41">
        <f t="shared" si="11"/>
        <v>0</v>
      </c>
      <c r="O33" s="20">
        <f t="shared" si="3"/>
        <v>900355</v>
      </c>
    </row>
    <row r="34" spans="1:15" x14ac:dyDescent="0.2">
      <c r="A34" s="25">
        <v>37557</v>
      </c>
      <c r="B34" s="20">
        <f t="shared" si="4"/>
        <v>29111495</v>
      </c>
      <c r="C34" s="45">
        <f t="shared" si="12"/>
        <v>7.1351081451368786E-2</v>
      </c>
      <c r="D34" s="22">
        <f t="shared" si="13"/>
        <v>8.1851081451368796E-2</v>
      </c>
      <c r="E34" s="28">
        <f t="shared" si="5"/>
        <v>198567.27903467629</v>
      </c>
      <c r="F34" s="20">
        <f t="shared" si="6"/>
        <v>198567.27903467629</v>
      </c>
      <c r="G34" s="41">
        <f t="shared" si="7"/>
        <v>0</v>
      </c>
      <c r="H34" s="20">
        <f t="shared" si="1"/>
        <v>29111495</v>
      </c>
      <c r="J34" s="25">
        <f t="shared" si="2"/>
        <v>37557</v>
      </c>
      <c r="K34" s="20">
        <f t="shared" si="8"/>
        <v>900355</v>
      </c>
      <c r="L34" s="12">
        <f t="shared" si="9"/>
        <v>11254.4375</v>
      </c>
      <c r="M34" s="41">
        <f t="shared" si="10"/>
        <v>11254.4375</v>
      </c>
      <c r="N34" s="41">
        <f t="shared" si="11"/>
        <v>0</v>
      </c>
      <c r="O34" s="20">
        <f t="shared" si="3"/>
        <v>900355</v>
      </c>
    </row>
    <row r="35" spans="1:15" x14ac:dyDescent="0.2">
      <c r="A35" s="25">
        <v>37588</v>
      </c>
      <c r="B35" s="20">
        <f t="shared" si="4"/>
        <v>29111495</v>
      </c>
      <c r="C35" s="45">
        <f t="shared" si="12"/>
        <v>7.1529459154997199E-2</v>
      </c>
      <c r="D35" s="22">
        <f t="shared" si="13"/>
        <v>8.2029459154997209E-2</v>
      </c>
      <c r="E35" s="28">
        <f t="shared" si="5"/>
        <v>199000.01583695048</v>
      </c>
      <c r="F35" s="20">
        <f t="shared" si="6"/>
        <v>199000.01583695048</v>
      </c>
      <c r="G35" s="41">
        <f t="shared" si="7"/>
        <v>0</v>
      </c>
      <c r="H35" s="20">
        <f t="shared" si="1"/>
        <v>29111495</v>
      </c>
      <c r="J35" s="25">
        <f t="shared" si="2"/>
        <v>37588</v>
      </c>
      <c r="K35" s="20">
        <f t="shared" si="8"/>
        <v>900355</v>
      </c>
      <c r="L35" s="12">
        <f t="shared" si="9"/>
        <v>11254.4375</v>
      </c>
      <c r="M35" s="41">
        <f t="shared" si="10"/>
        <v>11254.4375</v>
      </c>
      <c r="N35" s="41">
        <f t="shared" si="11"/>
        <v>0</v>
      </c>
      <c r="O35" s="20">
        <f t="shared" si="3"/>
        <v>900355</v>
      </c>
    </row>
    <row r="36" spans="1:15" x14ac:dyDescent="0.2">
      <c r="A36" s="25">
        <v>37618</v>
      </c>
      <c r="B36" s="20">
        <f t="shared" si="4"/>
        <v>29111495</v>
      </c>
      <c r="C36" s="45">
        <f t="shared" si="12"/>
        <v>7.1708282802884687E-2</v>
      </c>
      <c r="D36" s="22">
        <f t="shared" si="13"/>
        <v>8.2208282802884697E-2</v>
      </c>
      <c r="E36" s="28">
        <f t="shared" si="5"/>
        <v>199433.83448123033</v>
      </c>
      <c r="F36" s="20">
        <f t="shared" si="6"/>
        <v>199433.83448123033</v>
      </c>
      <c r="G36" s="41">
        <f t="shared" si="7"/>
        <v>0</v>
      </c>
      <c r="H36" s="20">
        <f t="shared" si="1"/>
        <v>29111495</v>
      </c>
      <c r="J36" s="25">
        <f t="shared" si="2"/>
        <v>37618</v>
      </c>
      <c r="K36" s="20">
        <f t="shared" si="8"/>
        <v>900355</v>
      </c>
      <c r="L36" s="12">
        <f t="shared" si="9"/>
        <v>11254.4375</v>
      </c>
      <c r="M36" s="41">
        <f t="shared" si="10"/>
        <v>11254.4375</v>
      </c>
      <c r="N36" s="41">
        <f t="shared" si="11"/>
        <v>0</v>
      </c>
      <c r="O36" s="20">
        <f t="shared" si="3"/>
        <v>900355</v>
      </c>
    </row>
    <row r="37" spans="1:15" x14ac:dyDescent="0.2">
      <c r="A37" s="25">
        <v>37649</v>
      </c>
      <c r="B37" s="20">
        <f t="shared" si="4"/>
        <v>29111495</v>
      </c>
      <c r="C37" s="45">
        <f t="shared" si="12"/>
        <v>7.1887553509891899E-2</v>
      </c>
      <c r="D37" s="22">
        <f t="shared" si="13"/>
        <v>8.2387553509891909E-2</v>
      </c>
      <c r="E37" s="28">
        <f t="shared" si="5"/>
        <v>199868.73767212091</v>
      </c>
      <c r="F37" s="20">
        <f t="shared" si="6"/>
        <v>199868.73767212091</v>
      </c>
      <c r="G37" s="41">
        <f t="shared" si="7"/>
        <v>0</v>
      </c>
      <c r="H37" s="20">
        <f t="shared" si="1"/>
        <v>29111495</v>
      </c>
      <c r="J37" s="25">
        <f t="shared" si="2"/>
        <v>37649</v>
      </c>
      <c r="K37" s="20">
        <f t="shared" si="8"/>
        <v>900355</v>
      </c>
      <c r="L37" s="12">
        <f t="shared" si="9"/>
        <v>11254.4375</v>
      </c>
      <c r="M37" s="41">
        <f t="shared" si="10"/>
        <v>11254.4375</v>
      </c>
      <c r="N37" s="41">
        <f t="shared" si="11"/>
        <v>0</v>
      </c>
      <c r="O37" s="20">
        <f t="shared" si="3"/>
        <v>900355</v>
      </c>
    </row>
    <row r="38" spans="1:15" x14ac:dyDescent="0.2">
      <c r="A38" s="25">
        <v>37680</v>
      </c>
      <c r="B38" s="20">
        <f t="shared" si="4"/>
        <v>29111495</v>
      </c>
      <c r="C38" s="45">
        <f t="shared" si="12"/>
        <v>7.2067272393666629E-2</v>
      </c>
      <c r="D38" s="22">
        <f t="shared" si="13"/>
        <v>8.2567272393666638E-2</v>
      </c>
      <c r="E38" s="28">
        <f t="shared" si="5"/>
        <v>200304.7281209887</v>
      </c>
      <c r="F38" s="20">
        <f t="shared" si="6"/>
        <v>200304.7281209887</v>
      </c>
      <c r="G38" s="41">
        <f t="shared" si="7"/>
        <v>0</v>
      </c>
      <c r="H38" s="20">
        <f t="shared" si="1"/>
        <v>29111495</v>
      </c>
      <c r="J38" s="25">
        <f t="shared" si="2"/>
        <v>37680</v>
      </c>
      <c r="K38" s="20">
        <f t="shared" si="8"/>
        <v>900355</v>
      </c>
      <c r="L38" s="12">
        <f t="shared" si="9"/>
        <v>11254.4375</v>
      </c>
      <c r="M38" s="41">
        <f t="shared" si="10"/>
        <v>11254.4375</v>
      </c>
      <c r="N38" s="41">
        <f t="shared" si="11"/>
        <v>0</v>
      </c>
      <c r="O38" s="20">
        <f t="shared" si="3"/>
        <v>900355</v>
      </c>
    </row>
    <row r="39" spans="1:15" x14ac:dyDescent="0.2">
      <c r="A39" s="25">
        <v>37708</v>
      </c>
      <c r="B39" s="20">
        <f t="shared" si="4"/>
        <v>29111495</v>
      </c>
      <c r="C39" s="45">
        <f t="shared" si="12"/>
        <v>7.2247440574650795E-2</v>
      </c>
      <c r="D39" s="22">
        <f t="shared" si="13"/>
        <v>8.2747440574650805E-2</v>
      </c>
      <c r="E39" s="28">
        <f t="shared" si="5"/>
        <v>200741.80854597865</v>
      </c>
      <c r="F39" s="20">
        <f t="shared" si="6"/>
        <v>200741.80854597865</v>
      </c>
      <c r="G39" s="41">
        <f t="shared" si="7"/>
        <v>0</v>
      </c>
      <c r="H39" s="20">
        <f t="shared" si="1"/>
        <v>29111495</v>
      </c>
      <c r="J39" s="25">
        <f t="shared" si="2"/>
        <v>37708</v>
      </c>
      <c r="K39" s="20">
        <f t="shared" si="8"/>
        <v>900355</v>
      </c>
      <c r="L39" s="12">
        <f t="shared" si="9"/>
        <v>11254.4375</v>
      </c>
      <c r="M39" s="41">
        <f t="shared" si="10"/>
        <v>11254.4375</v>
      </c>
      <c r="N39" s="41">
        <f t="shared" si="11"/>
        <v>0</v>
      </c>
      <c r="O39" s="20">
        <f t="shared" si="3"/>
        <v>900355</v>
      </c>
    </row>
    <row r="40" spans="1:15" x14ac:dyDescent="0.2">
      <c r="A40" s="25">
        <v>37739</v>
      </c>
      <c r="B40" s="20">
        <f t="shared" si="4"/>
        <v>29111495</v>
      </c>
      <c r="C40" s="45">
        <f t="shared" si="12"/>
        <v>7.2428059176087412E-2</v>
      </c>
      <c r="D40" s="22">
        <f t="shared" si="13"/>
        <v>8.2928059176087421E-2</v>
      </c>
      <c r="E40" s="28">
        <f t="shared" si="5"/>
        <v>201179.98167203111</v>
      </c>
      <c r="F40" s="20">
        <f t="shared" si="6"/>
        <v>201179.98167203111</v>
      </c>
      <c r="G40" s="41">
        <f t="shared" si="7"/>
        <v>0</v>
      </c>
      <c r="H40" s="20">
        <f t="shared" si="1"/>
        <v>29111495</v>
      </c>
      <c r="J40" s="25">
        <f t="shared" si="2"/>
        <v>37739</v>
      </c>
      <c r="K40" s="20">
        <f t="shared" si="8"/>
        <v>900355</v>
      </c>
      <c r="L40" s="12">
        <f t="shared" si="9"/>
        <v>11254.4375</v>
      </c>
      <c r="M40" s="41">
        <f t="shared" si="10"/>
        <v>11254.4375</v>
      </c>
      <c r="N40" s="41">
        <f t="shared" si="11"/>
        <v>0</v>
      </c>
      <c r="O40" s="20">
        <f t="shared" si="3"/>
        <v>900355</v>
      </c>
    </row>
    <row r="41" spans="1:15" x14ac:dyDescent="0.2">
      <c r="A41" s="25">
        <v>37769</v>
      </c>
      <c r="B41" s="20">
        <f t="shared" si="4"/>
        <v>29111495</v>
      </c>
      <c r="C41" s="45">
        <f t="shared" si="12"/>
        <v>7.2609129324027633E-2</v>
      </c>
      <c r="D41" s="22">
        <f t="shared" si="13"/>
        <v>8.3109129324027642E-2</v>
      </c>
      <c r="E41" s="28">
        <f t="shared" si="5"/>
        <v>201619.25023089864</v>
      </c>
      <c r="F41" s="20">
        <f t="shared" si="6"/>
        <v>201619.25023089864</v>
      </c>
      <c r="G41" s="41">
        <f t="shared" si="7"/>
        <v>0</v>
      </c>
      <c r="H41" s="20">
        <f t="shared" si="1"/>
        <v>29111495</v>
      </c>
      <c r="J41" s="25">
        <f t="shared" si="2"/>
        <v>37769</v>
      </c>
      <c r="K41" s="20">
        <f t="shared" si="8"/>
        <v>900355</v>
      </c>
      <c r="L41" s="12">
        <f t="shared" si="9"/>
        <v>11254.4375</v>
      </c>
      <c r="M41" s="41">
        <f t="shared" si="10"/>
        <v>11254.4375</v>
      </c>
      <c r="N41" s="41">
        <f t="shared" si="11"/>
        <v>0</v>
      </c>
      <c r="O41" s="20">
        <f>K41-N41</f>
        <v>900355</v>
      </c>
    </row>
    <row r="42" spans="1:15" x14ac:dyDescent="0.2">
      <c r="A42" s="25">
        <v>37800</v>
      </c>
      <c r="B42" s="20">
        <f t="shared" si="4"/>
        <v>29111495</v>
      </c>
      <c r="C42" s="45">
        <f t="shared" si="12"/>
        <v>7.2790652147337695E-2</v>
      </c>
      <c r="D42" s="22">
        <f t="shared" si="13"/>
        <v>8.3290652147337704E-2</v>
      </c>
      <c r="E42" s="28">
        <f t="shared" si="5"/>
        <v>202059.61696116338</v>
      </c>
      <c r="F42" s="20">
        <f t="shared" si="6"/>
        <v>202059.61696116338</v>
      </c>
      <c r="G42" s="41">
        <f t="shared" si="7"/>
        <v>0</v>
      </c>
      <c r="H42" s="20">
        <f t="shared" si="1"/>
        <v>29111495</v>
      </c>
      <c r="J42" s="25">
        <f t="shared" si="2"/>
        <v>37800</v>
      </c>
      <c r="K42" s="20">
        <f t="shared" si="8"/>
        <v>900355</v>
      </c>
      <c r="L42" s="12">
        <f t="shared" si="9"/>
        <v>11254.4375</v>
      </c>
      <c r="M42" s="41">
        <f t="shared" si="10"/>
        <v>11254.4375</v>
      </c>
      <c r="N42" s="41">
        <f t="shared" si="11"/>
        <v>0</v>
      </c>
      <c r="O42" s="20">
        <f t="shared" si="3"/>
        <v>900355</v>
      </c>
    </row>
    <row r="43" spans="1:15" x14ac:dyDescent="0.2">
      <c r="A43" s="25">
        <v>37830</v>
      </c>
      <c r="B43" s="20">
        <f t="shared" si="4"/>
        <v>29111495</v>
      </c>
      <c r="C43" s="45">
        <f t="shared" si="12"/>
        <v>7.2972628777706036E-2</v>
      </c>
      <c r="D43" s="22">
        <f t="shared" si="13"/>
        <v>8.3472628777706045E-2</v>
      </c>
      <c r="E43" s="28">
        <f t="shared" si="5"/>
        <v>202501.08460825379</v>
      </c>
      <c r="F43" s="20">
        <f t="shared" si="6"/>
        <v>202501.08460825379</v>
      </c>
      <c r="G43" s="41">
        <f t="shared" si="7"/>
        <v>0</v>
      </c>
      <c r="H43" s="20">
        <f t="shared" si="1"/>
        <v>29111495</v>
      </c>
      <c r="J43" s="25">
        <f t="shared" si="2"/>
        <v>37830</v>
      </c>
      <c r="K43" s="20">
        <f t="shared" si="8"/>
        <v>900355</v>
      </c>
      <c r="L43" s="12">
        <f t="shared" si="9"/>
        <v>11254.4375</v>
      </c>
      <c r="M43" s="41">
        <f t="shared" si="10"/>
        <v>11254.4375</v>
      </c>
      <c r="N43" s="41">
        <f t="shared" si="11"/>
        <v>0</v>
      </c>
      <c r="O43" s="20">
        <f t="shared" si="3"/>
        <v>900355</v>
      </c>
    </row>
    <row r="44" spans="1:15" x14ac:dyDescent="0.2">
      <c r="A44" s="25">
        <v>37861</v>
      </c>
      <c r="B44" s="20">
        <f t="shared" si="4"/>
        <v>29111495</v>
      </c>
      <c r="C44" s="45">
        <f t="shared" si="12"/>
        <v>7.3155060349650303E-2</v>
      </c>
      <c r="D44" s="22">
        <f t="shared" si="13"/>
        <v>8.3655060349650312E-2</v>
      </c>
      <c r="E44" s="28">
        <f t="shared" si="5"/>
        <v>202943.65592446193</v>
      </c>
      <c r="F44" s="20">
        <f t="shared" si="6"/>
        <v>202943.65592446193</v>
      </c>
      <c r="G44" s="41">
        <f t="shared" si="7"/>
        <v>0</v>
      </c>
      <c r="H44" s="20">
        <f t="shared" si="1"/>
        <v>29111495</v>
      </c>
      <c r="J44" s="25">
        <f t="shared" si="2"/>
        <v>37861</v>
      </c>
      <c r="K44" s="20">
        <f t="shared" si="8"/>
        <v>900355</v>
      </c>
      <c r="L44" s="12">
        <f t="shared" si="9"/>
        <v>11254.4375</v>
      </c>
      <c r="M44" s="41">
        <f t="shared" si="10"/>
        <v>11254.4375</v>
      </c>
      <c r="N44" s="41">
        <f t="shared" si="11"/>
        <v>0</v>
      </c>
      <c r="O44" s="20">
        <f t="shared" si="3"/>
        <v>900355</v>
      </c>
    </row>
    <row r="45" spans="1:15" x14ac:dyDescent="0.2">
      <c r="A45" s="25">
        <v>37892</v>
      </c>
      <c r="B45" s="20">
        <f t="shared" si="4"/>
        <v>29111495</v>
      </c>
      <c r="C45" s="45">
        <f t="shared" si="12"/>
        <v>7.3337948000524428E-2</v>
      </c>
      <c r="D45" s="22">
        <f t="shared" si="13"/>
        <v>8.3837948000524437E-2</v>
      </c>
      <c r="E45" s="28">
        <f t="shared" si="5"/>
        <v>203387.33366896061</v>
      </c>
      <c r="F45" s="20">
        <f t="shared" si="6"/>
        <v>203387.33366896061</v>
      </c>
      <c r="G45" s="41">
        <f t="shared" si="7"/>
        <v>0</v>
      </c>
      <c r="H45" s="20">
        <f t="shared" si="1"/>
        <v>29111495</v>
      </c>
      <c r="J45" s="25">
        <f t="shared" si="2"/>
        <v>37892</v>
      </c>
      <c r="K45" s="20">
        <f t="shared" si="8"/>
        <v>900355</v>
      </c>
      <c r="L45" s="12">
        <f t="shared" si="9"/>
        <v>11254.4375</v>
      </c>
      <c r="M45" s="41">
        <f t="shared" si="10"/>
        <v>11254.4375</v>
      </c>
      <c r="N45" s="41">
        <f t="shared" si="11"/>
        <v>0</v>
      </c>
      <c r="O45" s="20">
        <f t="shared" si="3"/>
        <v>900355</v>
      </c>
    </row>
    <row r="46" spans="1:15" x14ac:dyDescent="0.2">
      <c r="A46" s="25">
        <v>37922</v>
      </c>
      <c r="B46" s="20">
        <f t="shared" si="4"/>
        <v>29111495</v>
      </c>
      <c r="C46" s="45">
        <f t="shared" si="12"/>
        <v>7.3521292870525737E-2</v>
      </c>
      <c r="D46" s="22">
        <f t="shared" si="13"/>
        <v>8.4021292870525746E-2</v>
      </c>
      <c r="E46" s="28">
        <f t="shared" si="5"/>
        <v>203832.12060782049</v>
      </c>
      <c r="F46" s="20">
        <f t="shared" si="6"/>
        <v>203832.12060782049</v>
      </c>
      <c r="G46" s="41">
        <f t="shared" si="7"/>
        <v>0</v>
      </c>
      <c r="H46" s="20">
        <f t="shared" si="1"/>
        <v>29111495</v>
      </c>
      <c r="J46" s="25">
        <f t="shared" si="2"/>
        <v>37922</v>
      </c>
      <c r="K46" s="20">
        <f t="shared" si="8"/>
        <v>900355</v>
      </c>
      <c r="L46" s="12">
        <f t="shared" si="9"/>
        <v>11254.4375</v>
      </c>
      <c r="M46" s="41">
        <f t="shared" si="10"/>
        <v>11254.4375</v>
      </c>
      <c r="N46" s="41">
        <f t="shared" si="11"/>
        <v>0</v>
      </c>
      <c r="O46" s="20">
        <f t="shared" si="3"/>
        <v>900355</v>
      </c>
    </row>
    <row r="47" spans="1:15" x14ac:dyDescent="0.2">
      <c r="A47" s="25">
        <v>37953</v>
      </c>
      <c r="B47" s="20">
        <f t="shared" si="4"/>
        <v>29111495</v>
      </c>
      <c r="C47" s="45">
        <f t="shared" si="12"/>
        <v>7.3705096102702053E-2</v>
      </c>
      <c r="D47" s="22">
        <f t="shared" si="13"/>
        <v>8.4205096102702062E-2</v>
      </c>
      <c r="E47" s="28">
        <f t="shared" si="5"/>
        <v>204278.01951402755</v>
      </c>
      <c r="F47" s="20">
        <f t="shared" si="6"/>
        <v>204278.01951402755</v>
      </c>
      <c r="G47" s="41">
        <f t="shared" si="7"/>
        <v>0</v>
      </c>
      <c r="H47" s="20">
        <f t="shared" si="1"/>
        <v>29111495</v>
      </c>
      <c r="J47" s="25">
        <f t="shared" si="2"/>
        <v>37953</v>
      </c>
      <c r="K47" s="20">
        <f t="shared" si="8"/>
        <v>900355</v>
      </c>
      <c r="L47" s="12">
        <f t="shared" si="9"/>
        <v>11254.4375</v>
      </c>
      <c r="M47" s="41">
        <f t="shared" si="10"/>
        <v>11254.4375</v>
      </c>
      <c r="N47" s="41">
        <f t="shared" si="11"/>
        <v>0</v>
      </c>
      <c r="O47" s="20">
        <f t="shared" si="3"/>
        <v>900355</v>
      </c>
    </row>
    <row r="48" spans="1:15" x14ac:dyDescent="0.2">
      <c r="A48" s="25">
        <v>37983</v>
      </c>
      <c r="B48" s="20">
        <f t="shared" si="4"/>
        <v>29111495</v>
      </c>
      <c r="C48" s="45">
        <f t="shared" si="12"/>
        <v>7.3889358842958802E-2</v>
      </c>
      <c r="D48" s="22">
        <f t="shared" si="13"/>
        <v>8.4389358842958812E-2</v>
      </c>
      <c r="E48" s="28">
        <f t="shared" si="5"/>
        <v>204725.03316750008</v>
      </c>
      <c r="F48" s="20">
        <f>E48+B48</f>
        <v>29316220.0331675</v>
      </c>
      <c r="G48" s="41">
        <f t="shared" si="7"/>
        <v>29111495</v>
      </c>
      <c r="H48" s="48">
        <f t="shared" si="1"/>
        <v>0</v>
      </c>
      <c r="J48" s="25">
        <f t="shared" si="2"/>
        <v>37983</v>
      </c>
      <c r="K48" s="20">
        <f t="shared" si="8"/>
        <v>900355</v>
      </c>
      <c r="L48" s="12">
        <f t="shared" si="9"/>
        <v>11254.4375</v>
      </c>
      <c r="M48" s="41">
        <f>M47+K48</f>
        <v>911609.4375</v>
      </c>
      <c r="N48" s="41">
        <f t="shared" si="11"/>
        <v>900355</v>
      </c>
      <c r="O48" s="48">
        <f t="shared" si="3"/>
        <v>0</v>
      </c>
    </row>
    <row r="49" spans="1:1" x14ac:dyDescent="0.2">
      <c r="A49" s="25"/>
    </row>
  </sheetData>
  <sheetProtection sheet="1" objects="1" scenarios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3.140625" bestFit="1" customWidth="1"/>
    <col min="3" max="4" width="12.28515625" bestFit="1" customWidth="1"/>
    <col min="5" max="5" width="9.7109375" bestFit="1" customWidth="1"/>
    <col min="6" max="6" width="12.28515625" bestFit="1" customWidth="1"/>
    <col min="7" max="8" width="12.85546875" bestFit="1" customWidth="1"/>
    <col min="10" max="10" width="10.42578125" bestFit="1" customWidth="1"/>
  </cols>
  <sheetData>
    <row r="1" spans="1:9" x14ac:dyDescent="0.2">
      <c r="A1" s="1" t="s">
        <v>121</v>
      </c>
    </row>
    <row r="3" spans="1:9" s="42" customFormat="1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Summary'!B7</f>
        <v>36766</v>
      </c>
      <c r="B4" s="27">
        <f>'Hawaii Summary'!C7</f>
        <v>13955</v>
      </c>
      <c r="C4" s="28">
        <f>'Hawaii Summary'!F7</f>
        <v>29111495</v>
      </c>
      <c r="D4" s="28">
        <f>'Hawaii Summary'!G7</f>
        <v>29111495</v>
      </c>
      <c r="E4" s="28">
        <f>'Hawaii Summary'!H7</f>
        <v>900355</v>
      </c>
      <c r="F4" s="45">
        <f>'Hawaii Summary'!I7</f>
        <v>0.15</v>
      </c>
      <c r="G4" s="27">
        <f>'Hawaii Summary'!J7</f>
        <v>92</v>
      </c>
      <c r="H4" s="28">
        <f>'Hawaii Summary'!K7</f>
        <v>900355</v>
      </c>
      <c r="I4" s="41"/>
    </row>
    <row r="6" spans="1:9" x14ac:dyDescent="0.2">
      <c r="A6" t="s">
        <v>75</v>
      </c>
      <c r="B6" s="48">
        <f>'Hawaii Summary'!B11</f>
        <v>7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">
      <c r="A10" t="s">
        <v>106</v>
      </c>
      <c r="B10" s="28">
        <f>B4*'Notional Analysis'!C8*'B_D TRS'!B6</f>
        <v>19537000</v>
      </c>
      <c r="C10" s="28">
        <f>B4*B7*'Notional Analysis'!C8</f>
        <v>58611000</v>
      </c>
      <c r="E10" t="s">
        <v>122</v>
      </c>
      <c r="G10" s="20">
        <f>B4*B6*'Notional Analysis'!C8</f>
        <v>19537000</v>
      </c>
    </row>
    <row r="11" spans="1:9" x14ac:dyDescent="0.2">
      <c r="A11" t="s">
        <v>108</v>
      </c>
      <c r="B11" s="20">
        <f>D4+H4</f>
        <v>30011850</v>
      </c>
      <c r="C11" s="28">
        <f>B11</f>
        <v>30011850</v>
      </c>
      <c r="E11" t="s">
        <v>123</v>
      </c>
      <c r="G11" s="54">
        <f>D4+H4</f>
        <v>30011850</v>
      </c>
    </row>
    <row r="12" spans="1:9" x14ac:dyDescent="0.2">
      <c r="A12" t="s">
        <v>111</v>
      </c>
      <c r="B12" s="20">
        <f>IF(B10&gt;=B11,0,IF(B11-B10&gt;=E4,E4,B11-B10))</f>
        <v>900355</v>
      </c>
      <c r="C12" s="20"/>
      <c r="G12" s="20">
        <f>G10-G11</f>
        <v>-10474850</v>
      </c>
    </row>
    <row r="13" spans="1:9" x14ac:dyDescent="0.2">
      <c r="C13" s="28"/>
      <c r="E13" t="s">
        <v>75</v>
      </c>
      <c r="F13" s="20">
        <f>B4*B6*'Notional Analysis'!C8</f>
        <v>19537000</v>
      </c>
    </row>
    <row r="14" spans="1:9" x14ac:dyDescent="0.2">
      <c r="A14" t="s">
        <v>109</v>
      </c>
      <c r="B14" s="20">
        <f>D4</f>
        <v>29111495</v>
      </c>
      <c r="C14" s="28">
        <f>B14</f>
        <v>29111495</v>
      </c>
      <c r="E14" t="s">
        <v>104</v>
      </c>
      <c r="F14" s="20">
        <f>B7*B4*'Notional Analysis'!C8</f>
        <v>58611000</v>
      </c>
    </row>
    <row r="15" spans="1:9" x14ac:dyDescent="0.2">
      <c r="A15" t="s">
        <v>110</v>
      </c>
      <c r="B15" s="54">
        <f>B10-E4+B12</f>
        <v>19537000</v>
      </c>
      <c r="C15" s="59">
        <f>C10-E4+C12</f>
        <v>57710645</v>
      </c>
      <c r="F15" s="20"/>
      <c r="G15" s="20">
        <f>-F14+F13</f>
        <v>-39074000</v>
      </c>
    </row>
    <row r="16" spans="1:9" ht="13.5" thickBot="1" x14ac:dyDescent="0.25">
      <c r="A16" t="s">
        <v>117</v>
      </c>
      <c r="B16" s="20">
        <f>B15-B14</f>
        <v>-9574495</v>
      </c>
      <c r="C16" s="60">
        <f>C15-C14</f>
        <v>28599150</v>
      </c>
      <c r="D16" s="61" t="s">
        <v>115</v>
      </c>
      <c r="F16" s="20"/>
      <c r="G16" s="17">
        <f>G12-G15</f>
        <v>28599150</v>
      </c>
      <c r="H16" s="20">
        <f>C16-G16</f>
        <v>0</v>
      </c>
      <c r="I16" s="62" t="str">
        <f>IF(ABS(H16)&lt;1000000,"Clint says it's OK","Clint says Uh Oh!")</f>
        <v>Clint says it's OK</v>
      </c>
    </row>
    <row r="17" spans="1:6" ht="13.5" thickTop="1" x14ac:dyDescent="0.2">
      <c r="C17" s="28"/>
      <c r="F17" s="20"/>
    </row>
    <row r="18" spans="1:6" x14ac:dyDescent="0.2">
      <c r="A18" t="s">
        <v>112</v>
      </c>
      <c r="B18" s="28">
        <f>C15</f>
        <v>57710645</v>
      </c>
      <c r="C18" s="28"/>
      <c r="F18" s="20"/>
    </row>
    <row r="19" spans="1:6" x14ac:dyDescent="0.2">
      <c r="A19" t="s">
        <v>113</v>
      </c>
      <c r="B19" s="28">
        <f>IF(B15&gt;B18,B15-B18,0)</f>
        <v>0</v>
      </c>
      <c r="C19" s="28"/>
      <c r="F19" s="20"/>
    </row>
    <row r="20" spans="1:6" x14ac:dyDescent="0.2">
      <c r="A20" t="s">
        <v>114</v>
      </c>
      <c r="B20" s="28">
        <f>IF(B18&gt;=B15,B18-B15,0)</f>
        <v>38173645</v>
      </c>
      <c r="C20" s="28"/>
      <c r="F20" s="20"/>
    </row>
    <row r="21" spans="1:6" x14ac:dyDescent="0.2">
      <c r="A21" t="s">
        <v>116</v>
      </c>
      <c r="B21" s="20">
        <f>-B14+B15-B19+B20</f>
        <v>28599150</v>
      </c>
      <c r="C21" s="28"/>
    </row>
    <row r="22" spans="1:6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6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showGridLines="0" topLeftCell="A34" workbookViewId="0">
      <selection activeCell="E45" sqref="E45"/>
    </sheetView>
  </sheetViews>
  <sheetFormatPr defaultRowHeight="12.75" x14ac:dyDescent="0.2"/>
  <cols>
    <col min="2" max="2" width="14.7109375" style="2" bestFit="1" customWidth="1"/>
    <col min="3" max="3" width="13.85546875" customWidth="1"/>
    <col min="4" max="4" width="14" bestFit="1" customWidth="1"/>
    <col min="5" max="6" width="15" bestFit="1" customWidth="1"/>
    <col min="7" max="7" width="11.28515625" bestFit="1" customWidth="1"/>
    <col min="8" max="8" width="10.28515625" hidden="1" customWidth="1"/>
    <col min="9" max="9" width="0" hidden="1" customWidth="1"/>
    <col min="10" max="10" width="12.28515625" hidden="1" customWidth="1"/>
  </cols>
  <sheetData>
    <row r="1" spans="1:6" x14ac:dyDescent="0.2">
      <c r="A1" s="1" t="s">
        <v>0</v>
      </c>
    </row>
    <row r="2" spans="1:6" x14ac:dyDescent="0.2">
      <c r="A2" s="1" t="s">
        <v>1</v>
      </c>
    </row>
    <row r="3" spans="1:6" x14ac:dyDescent="0.2">
      <c r="A3" s="3">
        <v>36790</v>
      </c>
    </row>
    <row r="4" spans="1:6" x14ac:dyDescent="0.2">
      <c r="A4" s="3"/>
    </row>
    <row r="5" spans="1:6" x14ac:dyDescent="0.2">
      <c r="A5" s="3" t="s">
        <v>43</v>
      </c>
      <c r="C5" s="27">
        <v>120589</v>
      </c>
      <c r="D5" s="27">
        <f>C5*C8</f>
        <v>24117800</v>
      </c>
    </row>
    <row r="6" spans="1:6" x14ac:dyDescent="0.2">
      <c r="A6" s="3" t="s">
        <v>42</v>
      </c>
      <c r="C6" s="28">
        <v>2150</v>
      </c>
      <c r="D6" s="63">
        <f>C6/C8</f>
        <v>10.75</v>
      </c>
    </row>
    <row r="7" spans="1:6" x14ac:dyDescent="0.2">
      <c r="A7" s="3" t="s">
        <v>107</v>
      </c>
      <c r="C7" s="29">
        <f>D7*C8</f>
        <v>4200</v>
      </c>
      <c r="D7" s="63">
        <v>21</v>
      </c>
    </row>
    <row r="8" spans="1:6" x14ac:dyDescent="0.2">
      <c r="A8" s="3" t="s">
        <v>44</v>
      </c>
      <c r="C8" s="27">
        <v>200</v>
      </c>
    </row>
    <row r="9" spans="1:6" x14ac:dyDescent="0.2">
      <c r="A9" s="3" t="s">
        <v>46</v>
      </c>
      <c r="C9" s="27">
        <v>90042</v>
      </c>
      <c r="D9" s="27">
        <f>C9*C8</f>
        <v>18008400</v>
      </c>
    </row>
    <row r="11" spans="1:6" x14ac:dyDescent="0.2">
      <c r="A11" t="s">
        <v>2</v>
      </c>
    </row>
    <row r="13" spans="1:6" ht="13.5" thickBot="1" x14ac:dyDescent="0.25">
      <c r="B13" s="94" t="s">
        <v>3</v>
      </c>
      <c r="C13" s="94"/>
      <c r="E13" s="94" t="s">
        <v>4</v>
      </c>
      <c r="F13" s="94"/>
    </row>
    <row r="14" spans="1:6" x14ac:dyDescent="0.2">
      <c r="B14" s="2" t="s">
        <v>5</v>
      </c>
      <c r="C14" s="4">
        <f>30001000-C17</f>
        <v>30001000</v>
      </c>
      <c r="E14" t="s">
        <v>6</v>
      </c>
      <c r="F14" s="5">
        <f>C15*0.9999</f>
        <v>0</v>
      </c>
    </row>
    <row r="15" spans="1:6" x14ac:dyDescent="0.2">
      <c r="B15" s="2" t="s">
        <v>7</v>
      </c>
      <c r="C15" s="5">
        <v>0</v>
      </c>
      <c r="E15" t="s">
        <v>6</v>
      </c>
      <c r="F15" s="5">
        <f>C16</f>
        <v>50000000</v>
      </c>
    </row>
    <row r="16" spans="1:6" x14ac:dyDescent="0.2">
      <c r="B16" s="2" t="s">
        <v>8</v>
      </c>
      <c r="C16" s="5">
        <v>50000000</v>
      </c>
      <c r="E16" t="s">
        <v>9</v>
      </c>
      <c r="F16" s="5">
        <f>C15*(1-0.9999)</f>
        <v>0</v>
      </c>
    </row>
    <row r="17" spans="1:6" x14ac:dyDescent="0.2">
      <c r="C17" s="5"/>
      <c r="E17" t="s">
        <v>10</v>
      </c>
      <c r="F17" s="5">
        <v>30000000</v>
      </c>
    </row>
    <row r="18" spans="1:6" x14ac:dyDescent="0.2">
      <c r="C18" s="5"/>
      <c r="E18" t="s">
        <v>11</v>
      </c>
      <c r="F18" s="5">
        <v>1000</v>
      </c>
    </row>
    <row r="19" spans="1:6" ht="13.5" thickBot="1" x14ac:dyDescent="0.25">
      <c r="C19" s="6">
        <f>SUM(C14:C17)</f>
        <v>80001000</v>
      </c>
      <c r="F19" s="6">
        <f>SUM(F14:F18)</f>
        <v>80001000</v>
      </c>
    </row>
    <row r="20" spans="1:6" ht="13.5" thickTop="1" x14ac:dyDescent="0.2">
      <c r="C20" s="5"/>
      <c r="F20" s="5"/>
    </row>
    <row r="21" spans="1:6" ht="13.5" thickBot="1" x14ac:dyDescent="0.25">
      <c r="C21" s="92" t="s">
        <v>12</v>
      </c>
      <c r="D21" s="92"/>
      <c r="E21" s="92"/>
      <c r="F21" s="5"/>
    </row>
    <row r="22" spans="1:6" x14ac:dyDescent="0.2">
      <c r="C22" t="s">
        <v>13</v>
      </c>
      <c r="E22" s="5">
        <f>C19</f>
        <v>80001000</v>
      </c>
      <c r="F22" s="5"/>
    </row>
    <row r="23" spans="1:6" x14ac:dyDescent="0.2">
      <c r="C23" t="s">
        <v>14</v>
      </c>
      <c r="E23" s="5">
        <v>1000000</v>
      </c>
      <c r="F23" s="5"/>
    </row>
    <row r="24" spans="1:6" x14ac:dyDescent="0.2">
      <c r="C24" t="s">
        <v>15</v>
      </c>
      <c r="E24" s="7">
        <f>F17</f>
        <v>30000000</v>
      </c>
      <c r="F24" s="5"/>
    </row>
    <row r="25" spans="1:6" x14ac:dyDescent="0.2">
      <c r="C25" t="s">
        <v>16</v>
      </c>
      <c r="E25" s="5">
        <f>E22+E23-E24</f>
        <v>51001000</v>
      </c>
      <c r="F25" s="5"/>
    </row>
    <row r="26" spans="1:6" x14ac:dyDescent="0.2">
      <c r="C26" t="s">
        <v>17</v>
      </c>
      <c r="E26" s="8">
        <v>3.0200000000000001E-2</v>
      </c>
      <c r="F26" s="5"/>
    </row>
    <row r="27" spans="1:6" x14ac:dyDescent="0.2">
      <c r="C27" t="s">
        <v>18</v>
      </c>
      <c r="E27" s="5">
        <f>E25*E26</f>
        <v>1540230.2</v>
      </c>
      <c r="F27" s="5"/>
    </row>
    <row r="28" spans="1:6" x14ac:dyDescent="0.2">
      <c r="C28" t="s">
        <v>19</v>
      </c>
      <c r="E28" s="7">
        <f>F17</f>
        <v>30000000</v>
      </c>
      <c r="F28" s="5"/>
    </row>
    <row r="29" spans="1:6" x14ac:dyDescent="0.2">
      <c r="C29" t="s">
        <v>20</v>
      </c>
      <c r="E29" s="5">
        <f>E28-E27</f>
        <v>28459769.800000001</v>
      </c>
      <c r="F29" s="5"/>
    </row>
    <row r="30" spans="1:6" x14ac:dyDescent="0.2">
      <c r="C30" s="9" t="s">
        <v>21</v>
      </c>
      <c r="D30" s="10"/>
      <c r="E30" s="11">
        <f>E29/E26</f>
        <v>942376483.44370854</v>
      </c>
      <c r="F30" s="5"/>
    </row>
    <row r="32" spans="1:6" x14ac:dyDescent="0.2">
      <c r="A32" t="s">
        <v>22</v>
      </c>
    </row>
    <row r="34" spans="2:10" ht="13.5" thickBot="1" x14ac:dyDescent="0.25">
      <c r="B34" s="94" t="s">
        <v>3</v>
      </c>
      <c r="C34" s="94"/>
      <c r="E34" s="94" t="s">
        <v>4</v>
      </c>
      <c r="F34" s="94"/>
      <c r="H34" s="95" t="s">
        <v>51</v>
      </c>
      <c r="I34" s="95"/>
      <c r="J34" s="95"/>
    </row>
    <row r="35" spans="2:10" x14ac:dyDescent="0.2">
      <c r="B35" s="2" t="s">
        <v>5</v>
      </c>
      <c r="C35" s="12">
        <f>C14+C16-C37-39500000</f>
        <v>30000000</v>
      </c>
      <c r="E35" t="s">
        <v>6</v>
      </c>
      <c r="F35" s="5">
        <f>F14</f>
        <v>0</v>
      </c>
      <c r="H35" t="s">
        <v>64</v>
      </c>
      <c r="J35" s="12">
        <f>SUM(F16:F18)</f>
        <v>30001000</v>
      </c>
    </row>
    <row r="36" spans="2:10" x14ac:dyDescent="0.2">
      <c r="B36" s="2" t="s">
        <v>23</v>
      </c>
      <c r="C36" s="5">
        <f>C5*C7</f>
        <v>506473800</v>
      </c>
      <c r="E36" t="s">
        <v>6</v>
      </c>
      <c r="F36" s="5">
        <f>F15</f>
        <v>50000000</v>
      </c>
      <c r="H36" t="s">
        <v>65</v>
      </c>
      <c r="J36" s="38">
        <f>C36-C15</f>
        <v>506473800</v>
      </c>
    </row>
    <row r="37" spans="2:10" x14ac:dyDescent="0.2">
      <c r="B37" s="2" t="s">
        <v>8</v>
      </c>
      <c r="C37" s="12">
        <f>C16-39500000+1000</f>
        <v>10501000</v>
      </c>
      <c r="E37" t="s">
        <v>9</v>
      </c>
      <c r="F37" s="5">
        <f>0.0001*C36</f>
        <v>50647.380000000005</v>
      </c>
      <c r="H37" t="s">
        <v>68</v>
      </c>
      <c r="J37" s="14">
        <f>C16+C14-C37-C35</f>
        <v>39500000</v>
      </c>
    </row>
    <row r="38" spans="2:10" x14ac:dyDescent="0.2">
      <c r="E38" t="s">
        <v>10</v>
      </c>
      <c r="F38" s="5">
        <f>F17</f>
        <v>30000000</v>
      </c>
      <c r="H38" t="s">
        <v>66</v>
      </c>
      <c r="J38" s="12">
        <f>J35+J36-J37</f>
        <v>496974800</v>
      </c>
    </row>
    <row r="39" spans="2:10" x14ac:dyDescent="0.2">
      <c r="E39" t="s">
        <v>11</v>
      </c>
      <c r="F39" s="5">
        <f>C40-SUM(F35:F38)</f>
        <v>466924152.62</v>
      </c>
      <c r="H39" t="s">
        <v>67</v>
      </c>
      <c r="J39" s="12">
        <f>SUM(F37:F39)</f>
        <v>496974800</v>
      </c>
    </row>
    <row r="40" spans="2:10" ht="13.5" thickBot="1" x14ac:dyDescent="0.25">
      <c r="C40" s="13">
        <f>SUM(C35:C39)</f>
        <v>546974800</v>
      </c>
      <c r="F40" s="13">
        <f>SUM(F35:F39)</f>
        <v>546974800</v>
      </c>
      <c r="G40" s="12"/>
      <c r="J40" s="40"/>
    </row>
    <row r="41" spans="2:10" ht="13.5" thickTop="1" x14ac:dyDescent="0.2"/>
    <row r="42" spans="2:10" ht="13.5" thickBot="1" x14ac:dyDescent="0.25">
      <c r="C42" s="92" t="s">
        <v>12</v>
      </c>
      <c r="D42" s="92"/>
      <c r="E42" s="92"/>
      <c r="H42" s="12"/>
    </row>
    <row r="43" spans="2:10" x14ac:dyDescent="0.2">
      <c r="C43" t="s">
        <v>13</v>
      </c>
      <c r="E43" s="12">
        <f>F40</f>
        <v>546974800</v>
      </c>
    </row>
    <row r="44" spans="2:10" x14ac:dyDescent="0.2">
      <c r="C44" t="s">
        <v>14</v>
      </c>
      <c r="E44" s="12">
        <f>E23</f>
        <v>1000000</v>
      </c>
    </row>
    <row r="45" spans="2:10" x14ac:dyDescent="0.2">
      <c r="C45" t="s">
        <v>24</v>
      </c>
      <c r="E45" s="14">
        <f>F38+F37</f>
        <v>30050647.379999999</v>
      </c>
    </row>
    <row r="46" spans="2:10" x14ac:dyDescent="0.2">
      <c r="C46" t="s">
        <v>16</v>
      </c>
      <c r="E46" s="5">
        <f>E43+E44-E45</f>
        <v>517924152.62</v>
      </c>
    </row>
    <row r="47" spans="2:10" x14ac:dyDescent="0.2">
      <c r="C47" t="s">
        <v>17</v>
      </c>
      <c r="E47" s="15">
        <f>E26</f>
        <v>3.0200000000000001E-2</v>
      </c>
    </row>
    <row r="48" spans="2:10" x14ac:dyDescent="0.2">
      <c r="C48" t="s">
        <v>18</v>
      </c>
      <c r="E48" s="5">
        <f>E46*E47</f>
        <v>15641309.409124</v>
      </c>
    </row>
    <row r="49" spans="3:5" x14ac:dyDescent="0.2">
      <c r="C49" t="s">
        <v>19</v>
      </c>
      <c r="E49" s="14">
        <f>F38+F37</f>
        <v>30050647.379999999</v>
      </c>
    </row>
    <row r="50" spans="3:5" x14ac:dyDescent="0.2">
      <c r="C50" t="s">
        <v>20</v>
      </c>
      <c r="E50" s="12">
        <f>E49-E48</f>
        <v>14409337.970875999</v>
      </c>
    </row>
    <row r="51" spans="3:5" x14ac:dyDescent="0.2">
      <c r="C51" s="9" t="s">
        <v>21</v>
      </c>
      <c r="D51" s="10"/>
      <c r="E51" s="11">
        <f>E50/E47</f>
        <v>477130396.38662249</v>
      </c>
    </row>
    <row r="52" spans="3:5" x14ac:dyDescent="0.2">
      <c r="C52" s="30" t="s">
        <v>45</v>
      </c>
      <c r="E52" s="31">
        <f>C9*C7</f>
        <v>378176400</v>
      </c>
    </row>
    <row r="53" spans="3:5" x14ac:dyDescent="0.2">
      <c r="C53" s="30" t="s">
        <v>47</v>
      </c>
      <c r="E53" s="12">
        <f>E51-E52</f>
        <v>98953996.386622488</v>
      </c>
    </row>
    <row r="54" spans="3:5" x14ac:dyDescent="0.2">
      <c r="C54" s="30"/>
      <c r="E54" s="12"/>
    </row>
  </sheetData>
  <mergeCells count="7">
    <mergeCell ref="H34:J34"/>
    <mergeCell ref="C42:E42"/>
    <mergeCell ref="E13:F13"/>
    <mergeCell ref="C21:E21"/>
    <mergeCell ref="B13:C13"/>
    <mergeCell ref="B34:C34"/>
    <mergeCell ref="E34:F34"/>
  </mergeCells>
  <phoneticPr fontId="0" type="noConversion"/>
  <pageMargins left="0.75" right="0.75" top="1" bottom="1" header="0.5" footer="0.5"/>
  <pageSetup scale="8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4"/>
  <sheetViews>
    <sheetView showGridLines="0" workbookViewId="0">
      <selection activeCell="B3" sqref="B3"/>
    </sheetView>
  </sheetViews>
  <sheetFormatPr defaultRowHeight="12.75" x14ac:dyDescent="0.2"/>
  <cols>
    <col min="1" max="1" width="16" customWidth="1"/>
    <col min="2" max="2" width="14" bestFit="1" customWidth="1"/>
    <col min="3" max="3" width="15.28515625" bestFit="1" customWidth="1"/>
    <col min="4" max="4" width="18.140625" bestFit="1" customWidth="1"/>
    <col min="5" max="5" width="14.5703125" bestFit="1" customWidth="1"/>
    <col min="6" max="6" width="16" bestFit="1" customWidth="1"/>
  </cols>
  <sheetData>
    <row r="1" spans="1:6" x14ac:dyDescent="0.2">
      <c r="A1" s="1" t="s">
        <v>74</v>
      </c>
    </row>
    <row r="2" spans="1:6" x14ac:dyDescent="0.2">
      <c r="A2" t="s">
        <v>1</v>
      </c>
    </row>
    <row r="3" spans="1:6" ht="13.5" thickBot="1" x14ac:dyDescent="0.25">
      <c r="A3" t="s">
        <v>25</v>
      </c>
      <c r="B3" s="16">
        <v>36858</v>
      </c>
    </row>
    <row r="4" spans="1:6" x14ac:dyDescent="0.2">
      <c r="A4" s="93" t="s">
        <v>26</v>
      </c>
      <c r="B4" s="93"/>
      <c r="C4" s="74" t="s">
        <v>144</v>
      </c>
      <c r="D4" s="75" t="s">
        <v>145</v>
      </c>
      <c r="E4" s="76" t="s">
        <v>143</v>
      </c>
    </row>
    <row r="5" spans="1:6" hidden="1" x14ac:dyDescent="0.2">
      <c r="A5" t="s">
        <v>27</v>
      </c>
      <c r="B5" s="39">
        <v>7.0000000000000007E-2</v>
      </c>
      <c r="C5" s="68"/>
      <c r="D5" s="69"/>
      <c r="E5" s="70"/>
    </row>
    <row r="6" spans="1:6" hidden="1" x14ac:dyDescent="0.2">
      <c r="A6" t="s">
        <v>28</v>
      </c>
      <c r="B6" s="39">
        <v>7.4999999999999997E-2</v>
      </c>
      <c r="C6" s="68"/>
      <c r="D6" s="69"/>
      <c r="E6" s="70"/>
    </row>
    <row r="7" spans="1:6" hidden="1" x14ac:dyDescent="0.2">
      <c r="A7" t="s">
        <v>29</v>
      </c>
      <c r="B7" s="39">
        <v>7.2499999999999995E-2</v>
      </c>
      <c r="C7" s="68"/>
      <c r="D7" s="69"/>
      <c r="E7" s="70"/>
    </row>
    <row r="8" spans="1:6" ht="13.5" thickBot="1" x14ac:dyDescent="0.25">
      <c r="A8" t="s">
        <v>50</v>
      </c>
      <c r="B8" s="67">
        <v>7</v>
      </c>
      <c r="C8" s="71">
        <v>15.423721771756313</v>
      </c>
      <c r="D8" s="72">
        <v>9.81124244931266</v>
      </c>
      <c r="E8" s="73">
        <v>9.0991774997950881</v>
      </c>
    </row>
    <row r="9" spans="1:6" x14ac:dyDescent="0.2">
      <c r="B9" s="34"/>
      <c r="C9" s="65"/>
    </row>
    <row r="10" spans="1:6" x14ac:dyDescent="0.2">
      <c r="A10" s="95" t="s">
        <v>49</v>
      </c>
      <c r="B10" s="95"/>
      <c r="C10" s="95"/>
      <c r="D10" s="95"/>
      <c r="E10" s="95"/>
    </row>
    <row r="11" spans="1:6" x14ac:dyDescent="0.2">
      <c r="B11" s="32" t="s">
        <v>48</v>
      </c>
      <c r="C11" s="33">
        <f>B3</f>
        <v>36858</v>
      </c>
    </row>
    <row r="12" spans="1:6" ht="13.5" thickBot="1" x14ac:dyDescent="0.25">
      <c r="A12" s="94" t="s">
        <v>3</v>
      </c>
      <c r="B12" s="94"/>
      <c r="D12" s="94" t="s">
        <v>4</v>
      </c>
      <c r="E12" s="94"/>
    </row>
    <row r="13" spans="1:6" x14ac:dyDescent="0.2">
      <c r="A13" s="2" t="s">
        <v>5</v>
      </c>
      <c r="B13" s="27">
        <f>'Notional Analysis'!C35+VLOOKUP(B3,Note_Receivable,8)-'50 NR'!C8</f>
        <v>30000000</v>
      </c>
      <c r="D13" t="s">
        <v>6</v>
      </c>
      <c r="E13" s="27">
        <v>0</v>
      </c>
    </row>
    <row r="14" spans="1:6" x14ac:dyDescent="0.2">
      <c r="A14" s="2" t="s">
        <v>23</v>
      </c>
      <c r="B14" s="27">
        <f>'Notional Analysis'!C5*'Notional Analysis'!C8*(B8)</f>
        <v>168824600</v>
      </c>
      <c r="D14" t="s">
        <v>6</v>
      </c>
      <c r="E14" s="27">
        <f>'50 NP'!J3</f>
        <v>50697916.666666664</v>
      </c>
    </row>
    <row r="15" spans="1:6" x14ac:dyDescent="0.2">
      <c r="A15" s="2" t="s">
        <v>8</v>
      </c>
      <c r="B15" s="27">
        <f>'50 NR'!K3</f>
        <v>10637804.694444444</v>
      </c>
      <c r="D15" t="s">
        <v>69</v>
      </c>
      <c r="E15" s="27">
        <f>'Hawaii Summary'!C18</f>
        <v>247363899</v>
      </c>
      <c r="F15" s="28"/>
    </row>
    <row r="16" spans="1:6" x14ac:dyDescent="0.2">
      <c r="A16" s="2" t="s">
        <v>70</v>
      </c>
      <c r="B16" s="27">
        <f>'Hawaii Summary'!B18</f>
        <v>0</v>
      </c>
      <c r="D16" t="s">
        <v>9</v>
      </c>
      <c r="E16" s="27">
        <f>0.0001*B14</f>
        <v>16882.46</v>
      </c>
    </row>
    <row r="17" spans="1:6" x14ac:dyDescent="0.2">
      <c r="D17" t="s">
        <v>10</v>
      </c>
      <c r="E17" s="27">
        <f>'Notional Analysis'!F38</f>
        <v>30000000</v>
      </c>
    </row>
    <row r="18" spans="1:6" x14ac:dyDescent="0.2">
      <c r="D18" t="s">
        <v>11</v>
      </c>
      <c r="E18" s="27">
        <f>B19-SUM(E13:E17)</f>
        <v>-118616293.43222222</v>
      </c>
    </row>
    <row r="19" spans="1:6" ht="13.5" thickBot="1" x14ac:dyDescent="0.25">
      <c r="B19" s="13">
        <f>SUM(B13:B18)</f>
        <v>209462404.69444445</v>
      </c>
      <c r="E19" s="35">
        <f>SUM(E13:E18)</f>
        <v>209462404.69444445</v>
      </c>
      <c r="F19" s="27"/>
    </row>
    <row r="20" spans="1:6" ht="13.5" thickTop="1" x14ac:dyDescent="0.2">
      <c r="C20" s="27"/>
      <c r="F20" s="27"/>
    </row>
    <row r="21" spans="1:6" ht="13.5" thickBot="1" x14ac:dyDescent="0.25">
      <c r="A21" s="92" t="s">
        <v>51</v>
      </c>
      <c r="B21" s="92"/>
      <c r="C21" s="92"/>
      <c r="F21" s="27"/>
    </row>
    <row r="22" spans="1:6" x14ac:dyDescent="0.2">
      <c r="A22" t="s">
        <v>52</v>
      </c>
      <c r="C22" s="27">
        <f>'Notional Analysis'!F39</f>
        <v>466924152.62</v>
      </c>
      <c r="F22" s="27"/>
    </row>
    <row r="23" spans="1:6" x14ac:dyDescent="0.2">
      <c r="A23" t="s">
        <v>60</v>
      </c>
      <c r="C23" s="27">
        <f>'Notional Analysis'!F38</f>
        <v>30000000</v>
      </c>
      <c r="F23" s="27"/>
    </row>
    <row r="24" spans="1:6" x14ac:dyDescent="0.2">
      <c r="A24" t="s">
        <v>53</v>
      </c>
      <c r="C24" s="36">
        <f>'Notional Analysis'!F37</f>
        <v>50647.380000000005</v>
      </c>
      <c r="F24" s="27"/>
    </row>
    <row r="25" spans="1:6" x14ac:dyDescent="0.2">
      <c r="A25" t="s">
        <v>54</v>
      </c>
      <c r="C25" s="27">
        <f>SUM(C22:C24)</f>
        <v>496974800</v>
      </c>
    </row>
    <row r="26" spans="1:6" x14ac:dyDescent="0.2">
      <c r="A26" t="s">
        <v>55</v>
      </c>
      <c r="C26" s="27">
        <f>'Notional Analysis'!C5*'Notional Analysis'!C8*('Credit Analysis'!B8-'Notional Analysis'!D7)</f>
        <v>-337649200</v>
      </c>
    </row>
    <row r="27" spans="1:6" x14ac:dyDescent="0.2">
      <c r="A27" t="s">
        <v>71</v>
      </c>
      <c r="C27" s="27">
        <f>IF(B16&lt;&gt;0,B16,-E15)</f>
        <v>-247363899</v>
      </c>
    </row>
    <row r="28" spans="1:6" x14ac:dyDescent="0.2">
      <c r="A28" t="s">
        <v>56</v>
      </c>
      <c r="C28" s="36">
        <f>'50 NR'!K4-'258 NP'!J4-'50 NP'!J4</f>
        <v>-561111.97222222213</v>
      </c>
    </row>
    <row r="29" spans="1:6" x14ac:dyDescent="0.2">
      <c r="A29" t="s">
        <v>59</v>
      </c>
      <c r="C29" s="27">
        <f>C25+C26+C27+C28</f>
        <v>-88599410.972222224</v>
      </c>
    </row>
    <row r="30" spans="1:6" x14ac:dyDescent="0.2">
      <c r="A30" t="s">
        <v>57</v>
      </c>
      <c r="C30" s="27">
        <f>E18</f>
        <v>-118616293.43222222</v>
      </c>
    </row>
    <row r="31" spans="1:6" x14ac:dyDescent="0.2">
      <c r="A31" t="s">
        <v>61</v>
      </c>
      <c r="C31" s="27">
        <f>E17</f>
        <v>30000000</v>
      </c>
    </row>
    <row r="32" spans="1:6" x14ac:dyDescent="0.2">
      <c r="A32" t="s">
        <v>58</v>
      </c>
      <c r="C32" s="36">
        <f>E16</f>
        <v>16882.46</v>
      </c>
    </row>
    <row r="33" spans="1:4" x14ac:dyDescent="0.2">
      <c r="A33" t="s">
        <v>62</v>
      </c>
      <c r="C33" s="27">
        <f>C29-C30-C31-C32</f>
        <v>-6.5556378103792667E-9</v>
      </c>
      <c r="D33" s="62" t="str">
        <f>IF(ROUND(C33,1)=0,"OK","Not OK")</f>
        <v>OK</v>
      </c>
    </row>
    <row r="34" spans="1:4" x14ac:dyDescent="0.2">
      <c r="C34" s="27"/>
    </row>
    <row r="35" spans="1:4" ht="13.5" thickBot="1" x14ac:dyDescent="0.25">
      <c r="A35" s="92" t="s">
        <v>72</v>
      </c>
      <c r="B35" s="92"/>
      <c r="C35" s="92"/>
    </row>
    <row r="36" spans="1:4" x14ac:dyDescent="0.2">
      <c r="A36" t="s">
        <v>137</v>
      </c>
      <c r="C36" s="27">
        <f>B19</f>
        <v>209462404.69444445</v>
      </c>
    </row>
    <row r="37" spans="1:4" x14ac:dyDescent="0.2">
      <c r="A37" t="s">
        <v>138</v>
      </c>
      <c r="C37" s="27"/>
    </row>
    <row r="38" spans="1:4" x14ac:dyDescent="0.2">
      <c r="A38" t="s">
        <v>139</v>
      </c>
      <c r="C38" s="27">
        <f>E14</f>
        <v>50697916.666666664</v>
      </c>
    </row>
    <row r="39" spans="1:4" x14ac:dyDescent="0.2">
      <c r="A39" t="s">
        <v>142</v>
      </c>
      <c r="C39" s="27">
        <f>E13</f>
        <v>0</v>
      </c>
    </row>
    <row r="40" spans="1:4" x14ac:dyDescent="0.2">
      <c r="A40" t="s">
        <v>141</v>
      </c>
      <c r="C40" s="27">
        <f>E16</f>
        <v>16882.46</v>
      </c>
    </row>
    <row r="41" spans="1:4" x14ac:dyDescent="0.2">
      <c r="A41" t="s">
        <v>140</v>
      </c>
      <c r="C41" s="36">
        <f>E15-B16</f>
        <v>247363899</v>
      </c>
    </row>
    <row r="42" spans="1:4" ht="13.5" thickBot="1" x14ac:dyDescent="0.25">
      <c r="C42" s="35">
        <f>C36-SUM(C38:C41)</f>
        <v>-88616293.432222217</v>
      </c>
    </row>
    <row r="43" spans="1:4" ht="13.5" thickTop="1" x14ac:dyDescent="0.2">
      <c r="C43" s="27"/>
    </row>
    <row r="44" spans="1:4" ht="13.5" thickBot="1" x14ac:dyDescent="0.25">
      <c r="A44" s="92" t="s">
        <v>12</v>
      </c>
      <c r="B44" s="92"/>
      <c r="C44" s="92"/>
    </row>
    <row r="45" spans="1:4" x14ac:dyDescent="0.2">
      <c r="A45" t="s">
        <v>13</v>
      </c>
      <c r="C45" s="12">
        <f>+E19</f>
        <v>209462404.69444445</v>
      </c>
    </row>
    <row r="46" spans="1:4" x14ac:dyDescent="0.2">
      <c r="A46" t="s">
        <v>14</v>
      </c>
      <c r="C46" s="12">
        <f>+'Notional Analysis'!E44</f>
        <v>1000000</v>
      </c>
    </row>
    <row r="47" spans="1:4" x14ac:dyDescent="0.2">
      <c r="A47" t="s">
        <v>24</v>
      </c>
      <c r="C47" s="14">
        <f>+E16+E17</f>
        <v>30016882.460000001</v>
      </c>
    </row>
    <row r="48" spans="1:4" x14ac:dyDescent="0.2">
      <c r="A48" t="s">
        <v>16</v>
      </c>
      <c r="C48" s="5">
        <f>C45+C46-C47</f>
        <v>180445522.23444444</v>
      </c>
    </row>
    <row r="49" spans="1:3" x14ac:dyDescent="0.2">
      <c r="A49" t="s">
        <v>17</v>
      </c>
      <c r="C49" s="15">
        <f>+'Notional Analysis'!E47</f>
        <v>3.0200000000000001E-2</v>
      </c>
    </row>
    <row r="50" spans="1:3" x14ac:dyDescent="0.2">
      <c r="A50" t="s">
        <v>18</v>
      </c>
      <c r="C50" s="5">
        <f>C48*C49</f>
        <v>5449454.7714802222</v>
      </c>
    </row>
    <row r="51" spans="1:3" x14ac:dyDescent="0.2">
      <c r="A51" t="s">
        <v>19</v>
      </c>
      <c r="C51" s="14">
        <f>+C47</f>
        <v>30016882.460000001</v>
      </c>
    </row>
    <row r="52" spans="1:3" x14ac:dyDescent="0.2">
      <c r="A52" t="s">
        <v>20</v>
      </c>
      <c r="C52" s="12">
        <f>C51-C50</f>
        <v>24567427.68851978</v>
      </c>
    </row>
    <row r="53" spans="1:3" x14ac:dyDescent="0.2">
      <c r="A53" s="9" t="s">
        <v>21</v>
      </c>
      <c r="B53" s="10"/>
      <c r="C53" s="11">
        <f>C52/C49</f>
        <v>813490983.06356883</v>
      </c>
    </row>
    <row r="54" spans="1:3" x14ac:dyDescent="0.2">
      <c r="A54" s="30" t="s">
        <v>45</v>
      </c>
      <c r="C54" s="31">
        <f>+'Notional Analysis'!E52</f>
        <v>378176400</v>
      </c>
    </row>
    <row r="55" spans="1:3" x14ac:dyDescent="0.2">
      <c r="A55" s="30" t="s">
        <v>47</v>
      </c>
      <c r="C55" s="12">
        <f>C53-C54</f>
        <v>435314583.06356883</v>
      </c>
    </row>
    <row r="56" spans="1:3" x14ac:dyDescent="0.2">
      <c r="C56" s="27"/>
    </row>
    <row r="57" spans="1:3" x14ac:dyDescent="0.2">
      <c r="C57" s="27"/>
    </row>
    <row r="58" spans="1:3" x14ac:dyDescent="0.2">
      <c r="C58" s="27"/>
    </row>
    <row r="59" spans="1:3" x14ac:dyDescent="0.2">
      <c r="C59" s="27"/>
    </row>
    <row r="60" spans="1:3" x14ac:dyDescent="0.2">
      <c r="C60" s="27"/>
    </row>
    <row r="61" spans="1:3" x14ac:dyDescent="0.2">
      <c r="C61" s="27"/>
    </row>
    <row r="62" spans="1:3" x14ac:dyDescent="0.2">
      <c r="C62" s="27"/>
    </row>
    <row r="63" spans="1:3" x14ac:dyDescent="0.2">
      <c r="C63" s="27"/>
    </row>
    <row r="64" spans="1:3" x14ac:dyDescent="0.2">
      <c r="C64" s="27"/>
    </row>
    <row r="65" spans="3:3" x14ac:dyDescent="0.2">
      <c r="C65" s="27"/>
    </row>
    <row r="66" spans="3:3" x14ac:dyDescent="0.2">
      <c r="C66" s="27"/>
    </row>
    <row r="67" spans="3:3" x14ac:dyDescent="0.2">
      <c r="C67" s="27"/>
    </row>
    <row r="68" spans="3:3" x14ac:dyDescent="0.2">
      <c r="C68" s="27"/>
    </row>
    <row r="69" spans="3:3" x14ac:dyDescent="0.2">
      <c r="C69" s="27"/>
    </row>
    <row r="70" spans="3:3" x14ac:dyDescent="0.2">
      <c r="C70" s="27"/>
    </row>
    <row r="71" spans="3:3" x14ac:dyDescent="0.2">
      <c r="C71" s="27"/>
    </row>
    <row r="72" spans="3:3" x14ac:dyDescent="0.2">
      <c r="C72" s="27"/>
    </row>
    <row r="73" spans="3:3" x14ac:dyDescent="0.2">
      <c r="C73" s="27"/>
    </row>
    <row r="74" spans="3:3" x14ac:dyDescent="0.2">
      <c r="C74" s="27"/>
    </row>
    <row r="75" spans="3:3" x14ac:dyDescent="0.2">
      <c r="C75" s="27"/>
    </row>
    <row r="76" spans="3:3" x14ac:dyDescent="0.2">
      <c r="C76" s="27"/>
    </row>
    <row r="77" spans="3:3" x14ac:dyDescent="0.2">
      <c r="C77" s="27"/>
    </row>
    <row r="78" spans="3:3" x14ac:dyDescent="0.2">
      <c r="C78" s="27"/>
    </row>
    <row r="79" spans="3:3" x14ac:dyDescent="0.2">
      <c r="C79" s="27"/>
    </row>
    <row r="80" spans="3:3" x14ac:dyDescent="0.2">
      <c r="C80" s="27"/>
    </row>
    <row r="81" spans="3:3" x14ac:dyDescent="0.2">
      <c r="C81" s="27"/>
    </row>
    <row r="82" spans="3:3" x14ac:dyDescent="0.2">
      <c r="C82" s="27"/>
    </row>
    <row r="83" spans="3:3" x14ac:dyDescent="0.2">
      <c r="C83" s="27"/>
    </row>
    <row r="84" spans="3:3" x14ac:dyDescent="0.2">
      <c r="C84" s="27"/>
    </row>
    <row r="85" spans="3:3" x14ac:dyDescent="0.2">
      <c r="C85" s="27"/>
    </row>
    <row r="86" spans="3:3" x14ac:dyDescent="0.2">
      <c r="C86" s="27"/>
    </row>
    <row r="87" spans="3:3" x14ac:dyDescent="0.2">
      <c r="C87" s="27"/>
    </row>
    <row r="88" spans="3:3" x14ac:dyDescent="0.2">
      <c r="C88" s="27"/>
    </row>
    <row r="89" spans="3:3" x14ac:dyDescent="0.2">
      <c r="C89" s="27"/>
    </row>
    <row r="90" spans="3:3" x14ac:dyDescent="0.2">
      <c r="C90" s="27"/>
    </row>
    <row r="91" spans="3:3" x14ac:dyDescent="0.2">
      <c r="C91" s="27"/>
    </row>
    <row r="92" spans="3:3" x14ac:dyDescent="0.2">
      <c r="C92" s="27"/>
    </row>
    <row r="93" spans="3:3" x14ac:dyDescent="0.2">
      <c r="C93" s="27"/>
    </row>
    <row r="94" spans="3:3" x14ac:dyDescent="0.2">
      <c r="C94" s="27"/>
    </row>
    <row r="95" spans="3:3" x14ac:dyDescent="0.2">
      <c r="C95" s="27"/>
    </row>
    <row r="96" spans="3:3" x14ac:dyDescent="0.2">
      <c r="C96" s="27"/>
    </row>
    <row r="97" spans="3:3" x14ac:dyDescent="0.2">
      <c r="C97" s="27"/>
    </row>
    <row r="98" spans="3:3" x14ac:dyDescent="0.2">
      <c r="C98" s="27"/>
    </row>
    <row r="99" spans="3:3" x14ac:dyDescent="0.2">
      <c r="C99" s="27"/>
    </row>
    <row r="100" spans="3:3" x14ac:dyDescent="0.2">
      <c r="C100" s="27"/>
    </row>
    <row r="101" spans="3:3" x14ac:dyDescent="0.2">
      <c r="C101" s="27"/>
    </row>
    <row r="102" spans="3:3" x14ac:dyDescent="0.2">
      <c r="C102" s="27"/>
    </row>
    <row r="103" spans="3:3" x14ac:dyDescent="0.2">
      <c r="C103" s="27"/>
    </row>
    <row r="104" spans="3:3" x14ac:dyDescent="0.2">
      <c r="C104" s="27"/>
    </row>
    <row r="105" spans="3:3" x14ac:dyDescent="0.2">
      <c r="C105" s="27"/>
    </row>
    <row r="106" spans="3:3" x14ac:dyDescent="0.2">
      <c r="C106" s="27"/>
    </row>
    <row r="107" spans="3:3" x14ac:dyDescent="0.2">
      <c r="C107" s="27"/>
    </row>
    <row r="108" spans="3:3" x14ac:dyDescent="0.2">
      <c r="C108" s="27"/>
    </row>
    <row r="109" spans="3:3" x14ac:dyDescent="0.2">
      <c r="C109" s="27"/>
    </row>
    <row r="110" spans="3:3" x14ac:dyDescent="0.2">
      <c r="C110" s="27"/>
    </row>
    <row r="111" spans="3:3" x14ac:dyDescent="0.2">
      <c r="C111" s="27"/>
    </row>
    <row r="112" spans="3:3" x14ac:dyDescent="0.2">
      <c r="C112" s="27"/>
    </row>
    <row r="113" spans="3:3" x14ac:dyDescent="0.2">
      <c r="C113" s="27"/>
    </row>
    <row r="114" spans="3:3" x14ac:dyDescent="0.2">
      <c r="C114" s="27"/>
    </row>
    <row r="115" spans="3:3" x14ac:dyDescent="0.2">
      <c r="C115" s="27"/>
    </row>
    <row r="116" spans="3:3" x14ac:dyDescent="0.2">
      <c r="C116" s="27"/>
    </row>
    <row r="117" spans="3:3" x14ac:dyDescent="0.2">
      <c r="C117" s="27"/>
    </row>
    <row r="118" spans="3:3" x14ac:dyDescent="0.2">
      <c r="C118" s="27"/>
    </row>
    <row r="119" spans="3:3" x14ac:dyDescent="0.2">
      <c r="C119" s="27"/>
    </row>
    <row r="120" spans="3:3" x14ac:dyDescent="0.2">
      <c r="C120" s="27"/>
    </row>
    <row r="121" spans="3:3" x14ac:dyDescent="0.2">
      <c r="C121" s="27"/>
    </row>
    <row r="122" spans="3:3" x14ac:dyDescent="0.2">
      <c r="C122" s="27"/>
    </row>
    <row r="123" spans="3:3" x14ac:dyDescent="0.2">
      <c r="C123" s="27"/>
    </row>
    <row r="124" spans="3:3" x14ac:dyDescent="0.2">
      <c r="C124" s="27"/>
    </row>
    <row r="125" spans="3:3" x14ac:dyDescent="0.2">
      <c r="C125" s="27"/>
    </row>
    <row r="126" spans="3:3" x14ac:dyDescent="0.2">
      <c r="C126" s="27"/>
    </row>
    <row r="127" spans="3:3" x14ac:dyDescent="0.2">
      <c r="C127" s="27"/>
    </row>
    <row r="128" spans="3:3" x14ac:dyDescent="0.2">
      <c r="C128" s="27"/>
    </row>
    <row r="129" spans="3:3" x14ac:dyDescent="0.2">
      <c r="C129" s="27"/>
    </row>
    <row r="130" spans="3:3" x14ac:dyDescent="0.2">
      <c r="C130" s="27"/>
    </row>
    <row r="131" spans="3:3" x14ac:dyDescent="0.2">
      <c r="C131" s="27"/>
    </row>
    <row r="132" spans="3:3" x14ac:dyDescent="0.2">
      <c r="C132" s="27"/>
    </row>
    <row r="133" spans="3:3" x14ac:dyDescent="0.2">
      <c r="C133" s="27"/>
    </row>
    <row r="134" spans="3:3" x14ac:dyDescent="0.2">
      <c r="C134" s="27"/>
    </row>
    <row r="135" spans="3:3" x14ac:dyDescent="0.2">
      <c r="C135" s="27"/>
    </row>
    <row r="136" spans="3:3" x14ac:dyDescent="0.2">
      <c r="C136" s="27"/>
    </row>
    <row r="137" spans="3:3" x14ac:dyDescent="0.2">
      <c r="C137" s="27"/>
    </row>
    <row r="138" spans="3:3" x14ac:dyDescent="0.2">
      <c r="C138" s="27"/>
    </row>
    <row r="139" spans="3:3" x14ac:dyDescent="0.2">
      <c r="C139" s="27"/>
    </row>
    <row r="140" spans="3:3" x14ac:dyDescent="0.2">
      <c r="C140" s="27"/>
    </row>
    <row r="141" spans="3:3" x14ac:dyDescent="0.2">
      <c r="C141" s="27"/>
    </row>
    <row r="142" spans="3:3" x14ac:dyDescent="0.2">
      <c r="C142" s="27"/>
    </row>
    <row r="143" spans="3:3" x14ac:dyDescent="0.2">
      <c r="C143" s="27"/>
    </row>
    <row r="144" spans="3:3" x14ac:dyDescent="0.2">
      <c r="C144" s="27"/>
    </row>
    <row r="145" spans="3:3" x14ac:dyDescent="0.2">
      <c r="C145" s="27"/>
    </row>
    <row r="146" spans="3:3" x14ac:dyDescent="0.2">
      <c r="C146" s="27"/>
    </row>
    <row r="147" spans="3:3" x14ac:dyDescent="0.2">
      <c r="C147" s="27"/>
    </row>
    <row r="148" spans="3:3" x14ac:dyDescent="0.2">
      <c r="C148" s="27"/>
    </row>
    <row r="149" spans="3:3" x14ac:dyDescent="0.2">
      <c r="C149" s="27"/>
    </row>
    <row r="150" spans="3:3" x14ac:dyDescent="0.2">
      <c r="C150" s="27"/>
    </row>
    <row r="151" spans="3:3" x14ac:dyDescent="0.2">
      <c r="C151" s="27"/>
    </row>
    <row r="152" spans="3:3" x14ac:dyDescent="0.2">
      <c r="C152" s="27"/>
    </row>
    <row r="153" spans="3:3" x14ac:dyDescent="0.2">
      <c r="C153" s="27"/>
    </row>
    <row r="154" spans="3:3" x14ac:dyDescent="0.2">
      <c r="C154" s="27"/>
    </row>
    <row r="155" spans="3:3" x14ac:dyDescent="0.2">
      <c r="C155" s="27"/>
    </row>
    <row r="156" spans="3:3" x14ac:dyDescent="0.2">
      <c r="C156" s="27"/>
    </row>
    <row r="157" spans="3:3" x14ac:dyDescent="0.2">
      <c r="C157" s="27"/>
    </row>
    <row r="158" spans="3:3" x14ac:dyDescent="0.2">
      <c r="C158" s="27"/>
    </row>
    <row r="159" spans="3:3" x14ac:dyDescent="0.2">
      <c r="C159" s="27"/>
    </row>
    <row r="160" spans="3:3" x14ac:dyDescent="0.2">
      <c r="C160" s="27"/>
    </row>
    <row r="161" spans="3:3" x14ac:dyDescent="0.2">
      <c r="C161" s="27"/>
    </row>
    <row r="162" spans="3:3" x14ac:dyDescent="0.2">
      <c r="C162" s="27"/>
    </row>
    <row r="163" spans="3:3" x14ac:dyDescent="0.2">
      <c r="C163" s="27"/>
    </row>
    <row r="164" spans="3:3" x14ac:dyDescent="0.2">
      <c r="C164" s="27"/>
    </row>
    <row r="165" spans="3:3" x14ac:dyDescent="0.2">
      <c r="C165" s="27"/>
    </row>
    <row r="166" spans="3:3" x14ac:dyDescent="0.2">
      <c r="C166" s="27"/>
    </row>
    <row r="167" spans="3:3" x14ac:dyDescent="0.2">
      <c r="C167" s="27"/>
    </row>
    <row r="168" spans="3:3" x14ac:dyDescent="0.2">
      <c r="C168" s="27"/>
    </row>
    <row r="169" spans="3:3" x14ac:dyDescent="0.2">
      <c r="C169" s="27"/>
    </row>
    <row r="170" spans="3:3" x14ac:dyDescent="0.2">
      <c r="C170" s="27"/>
    </row>
    <row r="171" spans="3:3" x14ac:dyDescent="0.2">
      <c r="C171" s="27"/>
    </row>
    <row r="172" spans="3:3" x14ac:dyDescent="0.2">
      <c r="C172" s="27"/>
    </row>
    <row r="173" spans="3:3" x14ac:dyDescent="0.2">
      <c r="C173" s="27"/>
    </row>
    <row r="174" spans="3:3" x14ac:dyDescent="0.2">
      <c r="C174" s="27"/>
    </row>
    <row r="175" spans="3:3" x14ac:dyDescent="0.2">
      <c r="C175" s="27"/>
    </row>
    <row r="176" spans="3:3" x14ac:dyDescent="0.2">
      <c r="C176" s="27"/>
    </row>
    <row r="177" spans="3:3" x14ac:dyDescent="0.2">
      <c r="C177" s="27"/>
    </row>
    <row r="178" spans="3:3" x14ac:dyDescent="0.2">
      <c r="C178" s="27"/>
    </row>
    <row r="179" spans="3:3" x14ac:dyDescent="0.2">
      <c r="C179" s="27"/>
    </row>
    <row r="180" spans="3:3" x14ac:dyDescent="0.2">
      <c r="C180" s="27"/>
    </row>
    <row r="181" spans="3:3" x14ac:dyDescent="0.2">
      <c r="C181" s="27"/>
    </row>
    <row r="182" spans="3:3" x14ac:dyDescent="0.2">
      <c r="C182" s="27"/>
    </row>
    <row r="183" spans="3:3" x14ac:dyDescent="0.2">
      <c r="C183" s="27"/>
    </row>
    <row r="184" spans="3:3" x14ac:dyDescent="0.2">
      <c r="C184" s="27"/>
    </row>
    <row r="185" spans="3:3" x14ac:dyDescent="0.2">
      <c r="C185" s="27"/>
    </row>
    <row r="186" spans="3:3" x14ac:dyDescent="0.2">
      <c r="C186" s="27"/>
    </row>
    <row r="187" spans="3:3" x14ac:dyDescent="0.2">
      <c r="C187" s="27"/>
    </row>
    <row r="188" spans="3:3" x14ac:dyDescent="0.2">
      <c r="C188" s="27"/>
    </row>
    <row r="189" spans="3:3" x14ac:dyDescent="0.2">
      <c r="C189" s="27"/>
    </row>
    <row r="190" spans="3:3" x14ac:dyDescent="0.2">
      <c r="C190" s="27"/>
    </row>
    <row r="191" spans="3:3" x14ac:dyDescent="0.2">
      <c r="C191" s="27"/>
    </row>
    <row r="192" spans="3:3" x14ac:dyDescent="0.2">
      <c r="C192" s="27"/>
    </row>
    <row r="193" spans="3:3" x14ac:dyDescent="0.2">
      <c r="C193" s="27"/>
    </row>
    <row r="194" spans="3:3" x14ac:dyDescent="0.2">
      <c r="C194" s="27"/>
    </row>
    <row r="195" spans="3:3" x14ac:dyDescent="0.2">
      <c r="C195" s="27"/>
    </row>
    <row r="196" spans="3:3" x14ac:dyDescent="0.2">
      <c r="C196" s="27"/>
    </row>
    <row r="197" spans="3:3" x14ac:dyDescent="0.2">
      <c r="C197" s="27"/>
    </row>
    <row r="198" spans="3:3" x14ac:dyDescent="0.2">
      <c r="C198" s="27"/>
    </row>
    <row r="199" spans="3:3" x14ac:dyDescent="0.2">
      <c r="C199" s="27"/>
    </row>
    <row r="200" spans="3:3" x14ac:dyDescent="0.2">
      <c r="C200" s="27"/>
    </row>
    <row r="201" spans="3:3" x14ac:dyDescent="0.2">
      <c r="C201" s="27"/>
    </row>
    <row r="202" spans="3:3" x14ac:dyDescent="0.2">
      <c r="C202" s="27"/>
    </row>
    <row r="203" spans="3:3" x14ac:dyDescent="0.2">
      <c r="C203" s="27"/>
    </row>
    <row r="204" spans="3:3" x14ac:dyDescent="0.2">
      <c r="C204" s="27"/>
    </row>
    <row r="205" spans="3:3" x14ac:dyDescent="0.2">
      <c r="C205" s="27"/>
    </row>
    <row r="206" spans="3:3" x14ac:dyDescent="0.2">
      <c r="C206" s="27"/>
    </row>
    <row r="207" spans="3:3" x14ac:dyDescent="0.2">
      <c r="C207" s="27"/>
    </row>
    <row r="208" spans="3:3" x14ac:dyDescent="0.2">
      <c r="C208" s="27"/>
    </row>
    <row r="209" spans="3:3" x14ac:dyDescent="0.2">
      <c r="C209" s="27"/>
    </row>
    <row r="210" spans="3:3" x14ac:dyDescent="0.2">
      <c r="C210" s="27"/>
    </row>
    <row r="211" spans="3:3" x14ac:dyDescent="0.2">
      <c r="C211" s="27"/>
    </row>
    <row r="212" spans="3:3" x14ac:dyDescent="0.2">
      <c r="C212" s="27"/>
    </row>
    <row r="213" spans="3:3" x14ac:dyDescent="0.2">
      <c r="C213" s="27"/>
    </row>
    <row r="214" spans="3:3" x14ac:dyDescent="0.2">
      <c r="C214" s="27"/>
    </row>
    <row r="215" spans="3:3" x14ac:dyDescent="0.2">
      <c r="C215" s="27"/>
    </row>
    <row r="216" spans="3:3" x14ac:dyDescent="0.2">
      <c r="C216" s="27"/>
    </row>
    <row r="217" spans="3:3" x14ac:dyDescent="0.2">
      <c r="C217" s="27"/>
    </row>
    <row r="218" spans="3:3" x14ac:dyDescent="0.2">
      <c r="C218" s="27"/>
    </row>
    <row r="219" spans="3:3" x14ac:dyDescent="0.2">
      <c r="C219" s="27"/>
    </row>
    <row r="220" spans="3:3" x14ac:dyDescent="0.2">
      <c r="C220" s="27"/>
    </row>
    <row r="221" spans="3:3" x14ac:dyDescent="0.2">
      <c r="C221" s="27"/>
    </row>
    <row r="222" spans="3:3" x14ac:dyDescent="0.2">
      <c r="C222" s="27"/>
    </row>
    <row r="223" spans="3:3" x14ac:dyDescent="0.2">
      <c r="C223" s="27"/>
    </row>
    <row r="224" spans="3:3" x14ac:dyDescent="0.2">
      <c r="C224" s="27"/>
    </row>
    <row r="225" spans="3:3" x14ac:dyDescent="0.2">
      <c r="C225" s="27"/>
    </row>
    <row r="226" spans="3:3" x14ac:dyDescent="0.2">
      <c r="C226" s="27"/>
    </row>
    <row r="227" spans="3:3" x14ac:dyDescent="0.2">
      <c r="C227" s="27"/>
    </row>
    <row r="228" spans="3:3" x14ac:dyDescent="0.2">
      <c r="C228" s="27"/>
    </row>
    <row r="229" spans="3:3" x14ac:dyDescent="0.2">
      <c r="C229" s="27"/>
    </row>
    <row r="230" spans="3:3" x14ac:dyDescent="0.2">
      <c r="C230" s="27"/>
    </row>
    <row r="231" spans="3:3" x14ac:dyDescent="0.2">
      <c r="C231" s="27"/>
    </row>
    <row r="232" spans="3:3" x14ac:dyDescent="0.2">
      <c r="C232" s="27"/>
    </row>
    <row r="233" spans="3:3" x14ac:dyDescent="0.2">
      <c r="C233" s="27"/>
    </row>
    <row r="234" spans="3:3" x14ac:dyDescent="0.2">
      <c r="C234" s="27"/>
    </row>
    <row r="235" spans="3:3" x14ac:dyDescent="0.2">
      <c r="C235" s="27"/>
    </row>
    <row r="236" spans="3:3" x14ac:dyDescent="0.2">
      <c r="C236" s="27"/>
    </row>
    <row r="237" spans="3:3" x14ac:dyDescent="0.2">
      <c r="C237" s="27"/>
    </row>
    <row r="238" spans="3:3" x14ac:dyDescent="0.2">
      <c r="C238" s="27"/>
    </row>
    <row r="239" spans="3:3" x14ac:dyDescent="0.2">
      <c r="C239" s="27"/>
    </row>
    <row r="240" spans="3:3" x14ac:dyDescent="0.2">
      <c r="C240" s="27"/>
    </row>
    <row r="241" spans="3:3" x14ac:dyDescent="0.2">
      <c r="C241" s="27"/>
    </row>
    <row r="242" spans="3:3" x14ac:dyDescent="0.2">
      <c r="C242" s="27"/>
    </row>
    <row r="243" spans="3:3" x14ac:dyDescent="0.2">
      <c r="C243" s="27"/>
    </row>
    <row r="244" spans="3:3" x14ac:dyDescent="0.2">
      <c r="C244" s="27"/>
    </row>
    <row r="245" spans="3:3" x14ac:dyDescent="0.2">
      <c r="C245" s="27"/>
    </row>
    <row r="246" spans="3:3" x14ac:dyDescent="0.2">
      <c r="C246" s="27"/>
    </row>
    <row r="247" spans="3:3" x14ac:dyDescent="0.2">
      <c r="C247" s="27"/>
    </row>
    <row r="248" spans="3:3" x14ac:dyDescent="0.2">
      <c r="C248" s="27"/>
    </row>
    <row r="249" spans="3:3" x14ac:dyDescent="0.2">
      <c r="C249" s="27"/>
    </row>
    <row r="250" spans="3:3" x14ac:dyDescent="0.2">
      <c r="C250" s="27"/>
    </row>
    <row r="251" spans="3:3" x14ac:dyDescent="0.2">
      <c r="C251" s="27"/>
    </row>
    <row r="252" spans="3:3" x14ac:dyDescent="0.2">
      <c r="C252" s="27"/>
    </row>
    <row r="253" spans="3:3" x14ac:dyDescent="0.2">
      <c r="C253" s="27"/>
    </row>
    <row r="254" spans="3:3" x14ac:dyDescent="0.2">
      <c r="C254" s="27"/>
    </row>
    <row r="255" spans="3:3" x14ac:dyDescent="0.2">
      <c r="C255" s="27"/>
    </row>
    <row r="256" spans="3:3" x14ac:dyDescent="0.2">
      <c r="C256" s="27"/>
    </row>
    <row r="257" spans="3:3" x14ac:dyDescent="0.2">
      <c r="C257" s="27"/>
    </row>
    <row r="258" spans="3:3" x14ac:dyDescent="0.2">
      <c r="C258" s="27"/>
    </row>
    <row r="259" spans="3:3" x14ac:dyDescent="0.2">
      <c r="C259" s="27"/>
    </row>
    <row r="260" spans="3:3" x14ac:dyDescent="0.2">
      <c r="C260" s="27"/>
    </row>
    <row r="261" spans="3:3" x14ac:dyDescent="0.2">
      <c r="C261" s="27"/>
    </row>
    <row r="262" spans="3:3" x14ac:dyDescent="0.2">
      <c r="C262" s="27"/>
    </row>
    <row r="263" spans="3:3" x14ac:dyDescent="0.2">
      <c r="C263" s="27"/>
    </row>
    <row r="264" spans="3:3" x14ac:dyDescent="0.2">
      <c r="C264" s="27"/>
    </row>
    <row r="265" spans="3:3" x14ac:dyDescent="0.2">
      <c r="C265" s="27"/>
    </row>
    <row r="266" spans="3:3" x14ac:dyDescent="0.2">
      <c r="C266" s="27"/>
    </row>
    <row r="267" spans="3:3" x14ac:dyDescent="0.2">
      <c r="C267" s="27"/>
    </row>
    <row r="268" spans="3:3" x14ac:dyDescent="0.2">
      <c r="C268" s="27"/>
    </row>
    <row r="269" spans="3:3" x14ac:dyDescent="0.2">
      <c r="C269" s="27"/>
    </row>
    <row r="270" spans="3:3" x14ac:dyDescent="0.2">
      <c r="C270" s="27"/>
    </row>
    <row r="271" spans="3:3" x14ac:dyDescent="0.2">
      <c r="C271" s="27"/>
    </row>
    <row r="272" spans="3:3" x14ac:dyDescent="0.2">
      <c r="C272" s="27"/>
    </row>
    <row r="273" spans="3:3" x14ac:dyDescent="0.2">
      <c r="C273" s="27"/>
    </row>
    <row r="274" spans="3:3" x14ac:dyDescent="0.2">
      <c r="C274" s="27"/>
    </row>
    <row r="275" spans="3:3" x14ac:dyDescent="0.2">
      <c r="C275" s="27"/>
    </row>
    <row r="276" spans="3:3" x14ac:dyDescent="0.2">
      <c r="C276" s="27"/>
    </row>
    <row r="277" spans="3:3" x14ac:dyDescent="0.2">
      <c r="C277" s="27"/>
    </row>
    <row r="278" spans="3:3" x14ac:dyDescent="0.2">
      <c r="C278" s="27"/>
    </row>
    <row r="279" spans="3:3" x14ac:dyDescent="0.2">
      <c r="C279" s="27"/>
    </row>
    <row r="280" spans="3:3" x14ac:dyDescent="0.2">
      <c r="C280" s="27"/>
    </row>
    <row r="281" spans="3:3" x14ac:dyDescent="0.2">
      <c r="C281" s="27"/>
    </row>
    <row r="282" spans="3:3" x14ac:dyDescent="0.2">
      <c r="C282" s="27"/>
    </row>
    <row r="283" spans="3:3" x14ac:dyDescent="0.2">
      <c r="C283" s="27"/>
    </row>
    <row r="284" spans="3:3" x14ac:dyDescent="0.2">
      <c r="C284" s="27"/>
    </row>
    <row r="285" spans="3:3" x14ac:dyDescent="0.2">
      <c r="C285" s="27"/>
    </row>
    <row r="286" spans="3:3" x14ac:dyDescent="0.2">
      <c r="C286" s="27"/>
    </row>
    <row r="287" spans="3:3" x14ac:dyDescent="0.2">
      <c r="C287" s="27"/>
    </row>
    <row r="288" spans="3:3" x14ac:dyDescent="0.2">
      <c r="C288" s="27"/>
    </row>
    <row r="289" spans="3:3" x14ac:dyDescent="0.2">
      <c r="C289" s="27"/>
    </row>
    <row r="290" spans="3:3" x14ac:dyDescent="0.2">
      <c r="C290" s="27"/>
    </row>
    <row r="291" spans="3:3" x14ac:dyDescent="0.2">
      <c r="C291" s="27"/>
    </row>
    <row r="292" spans="3:3" x14ac:dyDescent="0.2">
      <c r="C292" s="27"/>
    </row>
    <row r="293" spans="3:3" x14ac:dyDescent="0.2">
      <c r="C293" s="27"/>
    </row>
    <row r="294" spans="3:3" x14ac:dyDescent="0.2">
      <c r="C294" s="27"/>
    </row>
    <row r="295" spans="3:3" x14ac:dyDescent="0.2">
      <c r="C295" s="27"/>
    </row>
    <row r="296" spans="3:3" x14ac:dyDescent="0.2">
      <c r="C296" s="27"/>
    </row>
    <row r="297" spans="3:3" x14ac:dyDescent="0.2">
      <c r="C297" s="27"/>
    </row>
    <row r="298" spans="3:3" x14ac:dyDescent="0.2">
      <c r="C298" s="27"/>
    </row>
    <row r="299" spans="3:3" x14ac:dyDescent="0.2">
      <c r="C299" s="27"/>
    </row>
    <row r="300" spans="3:3" x14ac:dyDescent="0.2">
      <c r="C300" s="27"/>
    </row>
    <row r="301" spans="3:3" x14ac:dyDescent="0.2">
      <c r="C301" s="27"/>
    </row>
    <row r="302" spans="3:3" x14ac:dyDescent="0.2">
      <c r="C302" s="27"/>
    </row>
    <row r="303" spans="3:3" x14ac:dyDescent="0.2">
      <c r="C303" s="27"/>
    </row>
    <row r="304" spans="3:3" x14ac:dyDescent="0.2">
      <c r="C304" s="27"/>
    </row>
    <row r="305" spans="3:3" x14ac:dyDescent="0.2">
      <c r="C305" s="27"/>
    </row>
    <row r="306" spans="3:3" x14ac:dyDescent="0.2">
      <c r="C306" s="27"/>
    </row>
    <row r="307" spans="3:3" x14ac:dyDescent="0.2">
      <c r="C307" s="27"/>
    </row>
    <row r="308" spans="3:3" x14ac:dyDescent="0.2">
      <c r="C308" s="27"/>
    </row>
    <row r="309" spans="3:3" x14ac:dyDescent="0.2">
      <c r="C309" s="27"/>
    </row>
    <row r="310" spans="3:3" x14ac:dyDescent="0.2">
      <c r="C310" s="27"/>
    </row>
    <row r="311" spans="3:3" x14ac:dyDescent="0.2">
      <c r="C311" s="27"/>
    </row>
    <row r="312" spans="3:3" x14ac:dyDescent="0.2">
      <c r="C312" s="27"/>
    </row>
    <row r="313" spans="3:3" x14ac:dyDescent="0.2">
      <c r="C313" s="27"/>
    </row>
    <row r="314" spans="3:3" x14ac:dyDescent="0.2">
      <c r="C314" s="27"/>
    </row>
    <row r="315" spans="3:3" x14ac:dyDescent="0.2">
      <c r="C315" s="27"/>
    </row>
    <row r="316" spans="3:3" x14ac:dyDescent="0.2">
      <c r="C316" s="27"/>
    </row>
    <row r="317" spans="3:3" x14ac:dyDescent="0.2">
      <c r="C317" s="27"/>
    </row>
    <row r="318" spans="3:3" x14ac:dyDescent="0.2">
      <c r="C318" s="27"/>
    </row>
    <row r="319" spans="3:3" x14ac:dyDescent="0.2">
      <c r="C319" s="27"/>
    </row>
    <row r="320" spans="3:3" x14ac:dyDescent="0.2">
      <c r="C320" s="27"/>
    </row>
    <row r="321" spans="3:3" x14ac:dyDescent="0.2">
      <c r="C321" s="27"/>
    </row>
    <row r="322" spans="3:3" x14ac:dyDescent="0.2">
      <c r="C322" s="27"/>
    </row>
    <row r="323" spans="3:3" x14ac:dyDescent="0.2">
      <c r="C323" s="27"/>
    </row>
    <row r="324" spans="3:3" x14ac:dyDescent="0.2">
      <c r="C324" s="27"/>
    </row>
    <row r="325" spans="3:3" x14ac:dyDescent="0.2">
      <c r="C325" s="27"/>
    </row>
    <row r="326" spans="3:3" x14ac:dyDescent="0.2">
      <c r="C326" s="27"/>
    </row>
    <row r="327" spans="3:3" x14ac:dyDescent="0.2">
      <c r="C327" s="27"/>
    </row>
    <row r="328" spans="3:3" x14ac:dyDescent="0.2">
      <c r="C328" s="27"/>
    </row>
    <row r="329" spans="3:3" x14ac:dyDescent="0.2">
      <c r="C329" s="27"/>
    </row>
    <row r="330" spans="3:3" x14ac:dyDescent="0.2">
      <c r="C330" s="27"/>
    </row>
    <row r="331" spans="3:3" x14ac:dyDescent="0.2">
      <c r="C331" s="27"/>
    </row>
    <row r="332" spans="3:3" x14ac:dyDescent="0.2">
      <c r="C332" s="27"/>
    </row>
    <row r="333" spans="3:3" x14ac:dyDescent="0.2">
      <c r="C333" s="27"/>
    </row>
    <row r="334" spans="3:3" x14ac:dyDescent="0.2">
      <c r="C334" s="27"/>
    </row>
    <row r="335" spans="3:3" x14ac:dyDescent="0.2">
      <c r="C335" s="27"/>
    </row>
    <row r="336" spans="3:3" x14ac:dyDescent="0.2">
      <c r="C336" s="27"/>
    </row>
    <row r="337" spans="3:3" x14ac:dyDescent="0.2">
      <c r="C337" s="27"/>
    </row>
    <row r="338" spans="3:3" x14ac:dyDescent="0.2">
      <c r="C338" s="27"/>
    </row>
    <row r="339" spans="3:3" x14ac:dyDescent="0.2">
      <c r="C339" s="27"/>
    </row>
    <row r="340" spans="3:3" x14ac:dyDescent="0.2">
      <c r="C340" s="27"/>
    </row>
    <row r="341" spans="3:3" x14ac:dyDescent="0.2">
      <c r="C341" s="27"/>
    </row>
    <row r="342" spans="3:3" x14ac:dyDescent="0.2">
      <c r="C342" s="27"/>
    </row>
    <row r="343" spans="3:3" x14ac:dyDescent="0.2">
      <c r="C343" s="27"/>
    </row>
    <row r="344" spans="3:3" x14ac:dyDescent="0.2">
      <c r="C344" s="27"/>
    </row>
    <row r="345" spans="3:3" x14ac:dyDescent="0.2">
      <c r="C345" s="27"/>
    </row>
    <row r="346" spans="3:3" x14ac:dyDescent="0.2">
      <c r="C346" s="27"/>
    </row>
    <row r="347" spans="3:3" x14ac:dyDescent="0.2">
      <c r="C347" s="27"/>
    </row>
    <row r="348" spans="3:3" x14ac:dyDescent="0.2">
      <c r="C348" s="27"/>
    </row>
    <row r="349" spans="3:3" x14ac:dyDescent="0.2">
      <c r="C349" s="27"/>
    </row>
    <row r="350" spans="3:3" x14ac:dyDescent="0.2">
      <c r="C350" s="27"/>
    </row>
    <row r="351" spans="3:3" x14ac:dyDescent="0.2">
      <c r="C351" s="27"/>
    </row>
    <row r="352" spans="3:3" x14ac:dyDescent="0.2">
      <c r="C352" s="27"/>
    </row>
    <row r="353" spans="3:3" x14ac:dyDescent="0.2">
      <c r="C353" s="27"/>
    </row>
    <row r="354" spans="3:3" x14ac:dyDescent="0.2">
      <c r="C354" s="27"/>
    </row>
    <row r="355" spans="3:3" x14ac:dyDescent="0.2">
      <c r="C355" s="27"/>
    </row>
    <row r="356" spans="3:3" x14ac:dyDescent="0.2">
      <c r="C356" s="27"/>
    </row>
    <row r="357" spans="3:3" x14ac:dyDescent="0.2">
      <c r="C357" s="27"/>
    </row>
    <row r="358" spans="3:3" x14ac:dyDescent="0.2">
      <c r="C358" s="27"/>
    </row>
    <row r="359" spans="3:3" x14ac:dyDescent="0.2">
      <c r="C359" s="27"/>
    </row>
    <row r="360" spans="3:3" x14ac:dyDescent="0.2">
      <c r="C360" s="27"/>
    </row>
    <row r="361" spans="3:3" x14ac:dyDescent="0.2">
      <c r="C361" s="27"/>
    </row>
    <row r="362" spans="3:3" x14ac:dyDescent="0.2">
      <c r="C362" s="27"/>
    </row>
    <row r="363" spans="3:3" x14ac:dyDescent="0.2">
      <c r="C363" s="27"/>
    </row>
    <row r="364" spans="3:3" x14ac:dyDescent="0.2">
      <c r="C364" s="27"/>
    </row>
    <row r="365" spans="3:3" x14ac:dyDescent="0.2">
      <c r="C365" s="27"/>
    </row>
    <row r="366" spans="3:3" x14ac:dyDescent="0.2">
      <c r="C366" s="27"/>
    </row>
    <row r="367" spans="3:3" x14ac:dyDescent="0.2">
      <c r="C367" s="27"/>
    </row>
    <row r="368" spans="3:3" x14ac:dyDescent="0.2">
      <c r="C368" s="27"/>
    </row>
    <row r="369" spans="3:3" x14ac:dyDescent="0.2">
      <c r="C369" s="27"/>
    </row>
    <row r="370" spans="3:3" x14ac:dyDescent="0.2">
      <c r="C370" s="27"/>
    </row>
    <row r="371" spans="3:3" x14ac:dyDescent="0.2">
      <c r="C371" s="27"/>
    </row>
    <row r="372" spans="3:3" x14ac:dyDescent="0.2">
      <c r="C372" s="27"/>
    </row>
    <row r="373" spans="3:3" x14ac:dyDescent="0.2">
      <c r="C373" s="27"/>
    </row>
    <row r="374" spans="3:3" x14ac:dyDescent="0.2">
      <c r="C374" s="27"/>
    </row>
    <row r="375" spans="3:3" x14ac:dyDescent="0.2">
      <c r="C375" s="27"/>
    </row>
    <row r="376" spans="3:3" x14ac:dyDescent="0.2">
      <c r="C376" s="27"/>
    </row>
    <row r="377" spans="3:3" x14ac:dyDescent="0.2">
      <c r="C377" s="27"/>
    </row>
    <row r="378" spans="3:3" x14ac:dyDescent="0.2">
      <c r="C378" s="27"/>
    </row>
    <row r="379" spans="3:3" x14ac:dyDescent="0.2">
      <c r="C379" s="27"/>
    </row>
    <row r="380" spans="3:3" x14ac:dyDescent="0.2">
      <c r="C380" s="27"/>
    </row>
    <row r="381" spans="3:3" x14ac:dyDescent="0.2">
      <c r="C381" s="27"/>
    </row>
    <row r="382" spans="3:3" x14ac:dyDescent="0.2">
      <c r="C382" s="27"/>
    </row>
    <row r="383" spans="3:3" x14ac:dyDescent="0.2">
      <c r="C383" s="27"/>
    </row>
    <row r="384" spans="3:3" x14ac:dyDescent="0.2">
      <c r="C384" s="27"/>
    </row>
    <row r="385" spans="3:3" x14ac:dyDescent="0.2">
      <c r="C385" s="27"/>
    </row>
    <row r="386" spans="3:3" x14ac:dyDescent="0.2">
      <c r="C386" s="27"/>
    </row>
    <row r="387" spans="3:3" x14ac:dyDescent="0.2">
      <c r="C387" s="27"/>
    </row>
    <row r="388" spans="3:3" x14ac:dyDescent="0.2">
      <c r="C388" s="27"/>
    </row>
    <row r="389" spans="3:3" x14ac:dyDescent="0.2">
      <c r="C389" s="27"/>
    </row>
    <row r="390" spans="3:3" x14ac:dyDescent="0.2">
      <c r="C390" s="27"/>
    </row>
    <row r="391" spans="3:3" x14ac:dyDescent="0.2">
      <c r="C391" s="27"/>
    </row>
    <row r="392" spans="3:3" x14ac:dyDescent="0.2">
      <c r="C392" s="27"/>
    </row>
    <row r="393" spans="3:3" x14ac:dyDescent="0.2">
      <c r="C393" s="27"/>
    </row>
    <row r="394" spans="3:3" x14ac:dyDescent="0.2">
      <c r="C394" s="27"/>
    </row>
    <row r="395" spans="3:3" x14ac:dyDescent="0.2">
      <c r="C395" s="27"/>
    </row>
    <row r="396" spans="3:3" x14ac:dyDescent="0.2">
      <c r="C396" s="27"/>
    </row>
    <row r="397" spans="3:3" x14ac:dyDescent="0.2">
      <c r="C397" s="27"/>
    </row>
    <row r="398" spans="3:3" x14ac:dyDescent="0.2">
      <c r="C398" s="27"/>
    </row>
    <row r="399" spans="3:3" x14ac:dyDescent="0.2">
      <c r="C399" s="27"/>
    </row>
    <row r="400" spans="3:3" x14ac:dyDescent="0.2">
      <c r="C400" s="27"/>
    </row>
    <row r="401" spans="3:3" x14ac:dyDescent="0.2">
      <c r="C401" s="27"/>
    </row>
    <row r="402" spans="3:3" x14ac:dyDescent="0.2">
      <c r="C402" s="27"/>
    </row>
    <row r="403" spans="3:3" x14ac:dyDescent="0.2">
      <c r="C403" s="27"/>
    </row>
    <row r="404" spans="3:3" x14ac:dyDescent="0.2">
      <c r="C404" s="27"/>
    </row>
    <row r="405" spans="3:3" x14ac:dyDescent="0.2">
      <c r="C405" s="27"/>
    </row>
    <row r="406" spans="3:3" x14ac:dyDescent="0.2">
      <c r="C406" s="27"/>
    </row>
    <row r="407" spans="3:3" x14ac:dyDescent="0.2">
      <c r="C407" s="27"/>
    </row>
    <row r="408" spans="3:3" x14ac:dyDescent="0.2">
      <c r="C408" s="27"/>
    </row>
    <row r="409" spans="3:3" x14ac:dyDescent="0.2">
      <c r="C409" s="27"/>
    </row>
    <row r="410" spans="3:3" x14ac:dyDescent="0.2">
      <c r="C410" s="27"/>
    </row>
    <row r="411" spans="3:3" x14ac:dyDescent="0.2">
      <c r="C411" s="27"/>
    </row>
    <row r="412" spans="3:3" x14ac:dyDescent="0.2">
      <c r="C412" s="27"/>
    </row>
    <row r="413" spans="3:3" x14ac:dyDescent="0.2">
      <c r="C413" s="27"/>
    </row>
    <row r="414" spans="3:3" x14ac:dyDescent="0.2">
      <c r="C414" s="27"/>
    </row>
    <row r="415" spans="3:3" x14ac:dyDescent="0.2">
      <c r="C415" s="27"/>
    </row>
    <row r="416" spans="3:3" x14ac:dyDescent="0.2">
      <c r="C416" s="27"/>
    </row>
    <row r="417" spans="3:3" x14ac:dyDescent="0.2">
      <c r="C417" s="27"/>
    </row>
    <row r="418" spans="3:3" x14ac:dyDescent="0.2">
      <c r="C418" s="27"/>
    </row>
    <row r="419" spans="3:3" x14ac:dyDescent="0.2">
      <c r="C419" s="27"/>
    </row>
    <row r="420" spans="3:3" x14ac:dyDescent="0.2">
      <c r="C420" s="27"/>
    </row>
    <row r="421" spans="3:3" x14ac:dyDescent="0.2">
      <c r="C421" s="27"/>
    </row>
    <row r="422" spans="3:3" x14ac:dyDescent="0.2">
      <c r="C422" s="27"/>
    </row>
    <row r="423" spans="3:3" x14ac:dyDescent="0.2">
      <c r="C423" s="27"/>
    </row>
    <row r="424" spans="3:3" x14ac:dyDescent="0.2">
      <c r="C424" s="27"/>
    </row>
  </sheetData>
  <mergeCells count="7">
    <mergeCell ref="A44:C44"/>
    <mergeCell ref="A4:B4"/>
    <mergeCell ref="A12:B12"/>
    <mergeCell ref="D12:E12"/>
    <mergeCell ref="A10:E10"/>
    <mergeCell ref="A21:C21"/>
    <mergeCell ref="A35:C3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showGridLines="0" workbookViewId="0">
      <pane ySplit="7" topLeftCell="A8" activePane="bottomLeft" state="frozenSplit"/>
      <selection activeCell="D19" sqref="D19"/>
      <selection pane="bottomLeft" activeCell="A8" sqref="A8"/>
    </sheetView>
  </sheetViews>
  <sheetFormatPr defaultRowHeight="12.75" x14ac:dyDescent="0.2"/>
  <cols>
    <col min="1" max="1" width="12.28515625" bestFit="1" customWidth="1"/>
    <col min="2" max="2" width="14.85546875" bestFit="1" customWidth="1"/>
    <col min="3" max="3" width="13.42578125" bestFit="1" customWidth="1"/>
    <col min="4" max="4" width="11.28515625" bestFit="1" customWidth="1"/>
    <col min="5" max="5" width="14.140625" bestFit="1" customWidth="1"/>
    <col min="6" max="6" width="12.28515625" bestFit="1" customWidth="1"/>
    <col min="8" max="8" width="12.28515625" hidden="1" customWidth="1"/>
    <col min="9" max="9" width="11.28515625" hidden="1" customWidth="1"/>
    <col min="10" max="10" width="16.85546875" bestFit="1" customWidth="1"/>
    <col min="11" max="11" width="14" bestFit="1" customWidth="1"/>
  </cols>
  <sheetData>
    <row r="1" spans="1:11" x14ac:dyDescent="0.2">
      <c r="A1" s="95" t="s">
        <v>30</v>
      </c>
      <c r="B1" s="95"/>
      <c r="E1" t="s">
        <v>88</v>
      </c>
      <c r="F1" s="25">
        <f>'Credit Analysis'!B3</f>
        <v>36858</v>
      </c>
      <c r="J1" t="s">
        <v>36</v>
      </c>
      <c r="K1" s="28">
        <f>VLOOKUP(F1,Note_Receivable,6)</f>
        <v>10501000</v>
      </c>
    </row>
    <row r="2" spans="1:11" x14ac:dyDescent="0.2">
      <c r="A2" t="s">
        <v>31</v>
      </c>
      <c r="B2" s="19">
        <v>50000000</v>
      </c>
      <c r="C2" s="20">
        <f>B2-C8</f>
        <v>10501000</v>
      </c>
      <c r="E2" t="s">
        <v>126</v>
      </c>
      <c r="F2" s="25">
        <f>VLOOKUP(F1,Note_Receivable,1)</f>
        <v>36791</v>
      </c>
      <c r="J2" t="s">
        <v>129</v>
      </c>
      <c r="K2" s="28">
        <f>F4*F3/(6*30)</f>
        <v>136804.69444444447</v>
      </c>
    </row>
    <row r="3" spans="1:11" ht="13.5" thickBot="1" x14ac:dyDescent="0.25">
      <c r="A3" t="s">
        <v>32</v>
      </c>
      <c r="B3" s="21">
        <f>'Credit Analysis'!B5</f>
        <v>7.0000000000000007E-2</v>
      </c>
      <c r="C3" s="22">
        <f>B3</f>
        <v>7.0000000000000007E-2</v>
      </c>
      <c r="E3" t="s">
        <v>127</v>
      </c>
      <c r="F3" s="27">
        <f>F1-F2</f>
        <v>67</v>
      </c>
      <c r="K3" s="17">
        <f>K1+K2</f>
        <v>10637804.694444444</v>
      </c>
    </row>
    <row r="4" spans="1:11" ht="13.5" thickTop="1" x14ac:dyDescent="0.2">
      <c r="A4" t="s">
        <v>33</v>
      </c>
      <c r="B4" s="23">
        <f>5*2</f>
        <v>10</v>
      </c>
      <c r="C4">
        <f>B4</f>
        <v>10</v>
      </c>
      <c r="E4" t="s">
        <v>128</v>
      </c>
      <c r="F4" s="28">
        <f>VLOOKUP(F1+(6*30),Note_Receivable,4)</f>
        <v>367535.00000000006</v>
      </c>
      <c r="J4" t="s">
        <v>130</v>
      </c>
      <c r="K4" s="28">
        <f>VLOOKUP(F1,Note_Receivable,9)+K2</f>
        <v>136804.69444444447</v>
      </c>
    </row>
    <row r="5" spans="1:11" x14ac:dyDescent="0.2">
      <c r="A5" t="s">
        <v>34</v>
      </c>
      <c r="B5" s="24">
        <f>PMT(B3/2,B4,-B2)</f>
        <v>6012068.393369575</v>
      </c>
      <c r="C5" s="24">
        <f>PMT(C3/2,C4,-C2)</f>
        <v>1262654.6039754781</v>
      </c>
    </row>
    <row r="7" spans="1:11" s="18" customFormat="1" ht="25.5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37" t="s">
        <v>63</v>
      </c>
      <c r="I7" s="18" t="s">
        <v>38</v>
      </c>
    </row>
    <row r="8" spans="1:11" x14ac:dyDescent="0.2">
      <c r="A8" s="25">
        <v>36791</v>
      </c>
      <c r="B8" s="20">
        <f>B2</f>
        <v>50000000</v>
      </c>
      <c r="C8" s="20">
        <f>'Notional Analysis'!C16-'Notional Analysis'!C37</f>
        <v>39499000</v>
      </c>
      <c r="D8" s="20"/>
      <c r="E8" s="20">
        <f>C8</f>
        <v>39499000</v>
      </c>
      <c r="F8" s="20">
        <f t="shared" ref="F8:F18" si="0">B8-E8</f>
        <v>10501000</v>
      </c>
      <c r="G8">
        <v>60</v>
      </c>
      <c r="H8" s="20">
        <f>C8</f>
        <v>39499000</v>
      </c>
      <c r="I8" s="20">
        <f>D8</f>
        <v>0</v>
      </c>
    </row>
    <row r="9" spans="1:11" x14ac:dyDescent="0.2">
      <c r="A9" s="25">
        <v>36972</v>
      </c>
      <c r="B9" s="20">
        <f t="shared" ref="B9:B18" si="1">F8</f>
        <v>10501000</v>
      </c>
      <c r="C9" s="20">
        <f>C5</f>
        <v>1262654.6039754781</v>
      </c>
      <c r="D9" s="20">
        <f>B9*$B$3/2</f>
        <v>367535.00000000006</v>
      </c>
      <c r="E9" s="20">
        <f t="shared" ref="E9:E18" si="2">C9-D9</f>
        <v>895119.60397547809</v>
      </c>
      <c r="F9" s="20">
        <f t="shared" si="0"/>
        <v>9605880.3960245214</v>
      </c>
      <c r="G9">
        <v>59</v>
      </c>
      <c r="H9" s="20">
        <f t="shared" ref="H9:H18" si="3">H8+C9</f>
        <v>40761654.603975475</v>
      </c>
      <c r="I9" s="20">
        <f t="shared" ref="I9:I18" si="4">I8+D9</f>
        <v>367535.00000000006</v>
      </c>
    </row>
    <row r="10" spans="1:11" x14ac:dyDescent="0.2">
      <c r="A10" s="25">
        <v>37156</v>
      </c>
      <c r="B10" s="20">
        <f t="shared" si="1"/>
        <v>9605880.3960245214</v>
      </c>
      <c r="C10" s="26">
        <f t="shared" ref="C10:C18" si="5">C9</f>
        <v>1262654.6039754781</v>
      </c>
      <c r="D10" s="20">
        <f t="shared" ref="D10:D18" si="6">B10*$B$3/2</f>
        <v>336205.81386085827</v>
      </c>
      <c r="E10" s="20">
        <f t="shared" si="2"/>
        <v>926448.79011461977</v>
      </c>
      <c r="F10" s="20">
        <f t="shared" si="0"/>
        <v>8679431.6059099026</v>
      </c>
      <c r="G10">
        <v>58</v>
      </c>
      <c r="H10" s="20">
        <f t="shared" si="3"/>
        <v>42024309.20795095</v>
      </c>
      <c r="I10" s="20">
        <f t="shared" si="4"/>
        <v>703740.81386085832</v>
      </c>
    </row>
    <row r="11" spans="1:11" x14ac:dyDescent="0.2">
      <c r="A11" s="25">
        <v>37337</v>
      </c>
      <c r="B11" s="20">
        <f t="shared" si="1"/>
        <v>8679431.6059099026</v>
      </c>
      <c r="C11" s="20">
        <f t="shared" si="5"/>
        <v>1262654.6039754781</v>
      </c>
      <c r="D11" s="20">
        <f t="shared" si="6"/>
        <v>303780.1062068466</v>
      </c>
      <c r="E11" s="20">
        <f t="shared" si="2"/>
        <v>958874.49776863144</v>
      </c>
      <c r="F11" s="20">
        <f t="shared" si="0"/>
        <v>7720557.1081412714</v>
      </c>
      <c r="G11">
        <v>57</v>
      </c>
      <c r="H11" s="20">
        <f t="shared" si="3"/>
        <v>43286963.811926425</v>
      </c>
      <c r="I11" s="20">
        <f t="shared" si="4"/>
        <v>1007520.920067705</v>
      </c>
    </row>
    <row r="12" spans="1:11" x14ac:dyDescent="0.2">
      <c r="A12" s="25">
        <v>37521</v>
      </c>
      <c r="B12" s="20">
        <f t="shared" si="1"/>
        <v>7720557.1081412714</v>
      </c>
      <c r="C12" s="20">
        <f t="shared" si="5"/>
        <v>1262654.6039754781</v>
      </c>
      <c r="D12" s="20">
        <f t="shared" si="6"/>
        <v>270219.49878494453</v>
      </c>
      <c r="E12" s="20">
        <f t="shared" si="2"/>
        <v>992435.10519053356</v>
      </c>
      <c r="F12" s="20">
        <f t="shared" si="0"/>
        <v>6728122.0029507382</v>
      </c>
      <c r="G12">
        <v>56</v>
      </c>
      <c r="H12" s="20">
        <f t="shared" si="3"/>
        <v>44549618.415901899</v>
      </c>
      <c r="I12" s="20">
        <f t="shared" si="4"/>
        <v>1277740.4188526496</v>
      </c>
    </row>
    <row r="13" spans="1:11" x14ac:dyDescent="0.2">
      <c r="A13" s="25">
        <v>37702</v>
      </c>
      <c r="B13" s="20">
        <f t="shared" si="1"/>
        <v>6728122.0029507382</v>
      </c>
      <c r="C13" s="20">
        <f t="shared" si="5"/>
        <v>1262654.6039754781</v>
      </c>
      <c r="D13" s="20">
        <f t="shared" si="6"/>
        <v>235484.27010327586</v>
      </c>
      <c r="E13" s="20">
        <f t="shared" si="2"/>
        <v>1027170.3338722022</v>
      </c>
      <c r="F13" s="20">
        <f t="shared" si="0"/>
        <v>5700951.6690785363</v>
      </c>
      <c r="G13">
        <v>55</v>
      </c>
      <c r="H13" s="20">
        <f t="shared" si="3"/>
        <v>45812273.019877374</v>
      </c>
      <c r="I13" s="20">
        <f t="shared" si="4"/>
        <v>1513224.6889559254</v>
      </c>
    </row>
    <row r="14" spans="1:11" x14ac:dyDescent="0.2">
      <c r="A14" s="25">
        <v>37886</v>
      </c>
      <c r="B14" s="20">
        <f t="shared" si="1"/>
        <v>5700951.6690785363</v>
      </c>
      <c r="C14" s="20">
        <f t="shared" si="5"/>
        <v>1262654.6039754781</v>
      </c>
      <c r="D14" s="20">
        <f t="shared" si="6"/>
        <v>199533.30841774878</v>
      </c>
      <c r="E14" s="20">
        <f t="shared" si="2"/>
        <v>1063121.2955577294</v>
      </c>
      <c r="F14" s="20">
        <f t="shared" si="0"/>
        <v>4637830.3735208064</v>
      </c>
      <c r="G14">
        <v>54</v>
      </c>
      <c r="H14" s="20">
        <f t="shared" si="3"/>
        <v>47074927.623852849</v>
      </c>
      <c r="I14" s="20">
        <f t="shared" si="4"/>
        <v>1712757.9973736741</v>
      </c>
    </row>
    <row r="15" spans="1:11" x14ac:dyDescent="0.2">
      <c r="A15" s="25">
        <v>38068</v>
      </c>
      <c r="B15" s="20">
        <f t="shared" si="1"/>
        <v>4637830.3735208064</v>
      </c>
      <c r="C15" s="20">
        <f t="shared" si="5"/>
        <v>1262654.6039754781</v>
      </c>
      <c r="D15" s="20">
        <f t="shared" si="6"/>
        <v>162324.06307322823</v>
      </c>
      <c r="E15" s="20">
        <f t="shared" si="2"/>
        <v>1100330.54090225</v>
      </c>
      <c r="F15" s="20">
        <f t="shared" si="0"/>
        <v>3537499.8326185565</v>
      </c>
      <c r="G15">
        <v>53</v>
      </c>
      <c r="H15" s="20">
        <f t="shared" si="3"/>
        <v>48337582.227828324</v>
      </c>
      <c r="I15" s="20">
        <f t="shared" si="4"/>
        <v>1875082.0604469022</v>
      </c>
    </row>
    <row r="16" spans="1:11" x14ac:dyDescent="0.2">
      <c r="A16" s="25">
        <v>38252</v>
      </c>
      <c r="B16" s="20">
        <f t="shared" si="1"/>
        <v>3537499.8326185565</v>
      </c>
      <c r="C16" s="20">
        <f t="shared" si="5"/>
        <v>1262654.6039754781</v>
      </c>
      <c r="D16" s="20">
        <f t="shared" si="6"/>
        <v>123812.49414164948</v>
      </c>
      <c r="E16" s="20">
        <f t="shared" si="2"/>
        <v>1138842.1098338286</v>
      </c>
      <c r="F16" s="20">
        <f t="shared" si="0"/>
        <v>2398657.7227847278</v>
      </c>
      <c r="G16">
        <v>52</v>
      </c>
      <c r="H16" s="20">
        <f t="shared" si="3"/>
        <v>49600236.831803799</v>
      </c>
      <c r="I16" s="20">
        <f t="shared" si="4"/>
        <v>1998894.5545885516</v>
      </c>
    </row>
    <row r="17" spans="1:9" x14ac:dyDescent="0.2">
      <c r="A17" s="25">
        <v>38433</v>
      </c>
      <c r="B17" s="20">
        <f t="shared" si="1"/>
        <v>2398657.7227847278</v>
      </c>
      <c r="C17" s="20">
        <f t="shared" si="5"/>
        <v>1262654.6039754781</v>
      </c>
      <c r="D17" s="20">
        <f t="shared" si="6"/>
        <v>83953.020297465482</v>
      </c>
      <c r="E17" s="20">
        <f t="shared" si="2"/>
        <v>1178701.5836780127</v>
      </c>
      <c r="F17" s="20">
        <f t="shared" si="0"/>
        <v>1219956.1391067151</v>
      </c>
      <c r="G17">
        <v>51</v>
      </c>
      <c r="H17" s="20">
        <f t="shared" si="3"/>
        <v>50862891.435779274</v>
      </c>
      <c r="I17" s="20">
        <f t="shared" si="4"/>
        <v>2082847.574886017</v>
      </c>
    </row>
    <row r="18" spans="1:9" x14ac:dyDescent="0.2">
      <c r="A18" s="25">
        <v>38617</v>
      </c>
      <c r="B18" s="20">
        <f t="shared" si="1"/>
        <v>1219956.1391067151</v>
      </c>
      <c r="C18" s="20">
        <f t="shared" si="5"/>
        <v>1262654.6039754781</v>
      </c>
      <c r="D18" s="20">
        <f t="shared" si="6"/>
        <v>42698.464868735035</v>
      </c>
      <c r="E18" s="20">
        <f t="shared" si="2"/>
        <v>1219956.139106743</v>
      </c>
      <c r="F18" s="20">
        <f t="shared" si="0"/>
        <v>-2.7939677238464355E-8</v>
      </c>
      <c r="G18">
        <v>50</v>
      </c>
      <c r="H18" s="20">
        <f t="shared" si="3"/>
        <v>52125546.039754748</v>
      </c>
      <c r="I18" s="20">
        <f t="shared" si="4"/>
        <v>2125546.0397547521</v>
      </c>
    </row>
    <row r="19" spans="1:9" ht="205.5" customHeight="1" x14ac:dyDescent="0.2"/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2.75" x14ac:dyDescent="0.2"/>
  <cols>
    <col min="1" max="1" width="12.28515625" customWidth="1"/>
    <col min="2" max="2" width="14.85546875" customWidth="1"/>
    <col min="3" max="3" width="13.42578125" bestFit="1" customWidth="1"/>
    <col min="4" max="4" width="12.28515625" bestFit="1" customWidth="1"/>
    <col min="5" max="5" width="14.140625" bestFit="1" customWidth="1"/>
    <col min="6" max="6" width="13.28515625" bestFit="1" customWidth="1"/>
    <col min="7" max="7" width="9.140625" hidden="1" customWidth="1"/>
    <col min="8" max="8" width="13.28515625" hidden="1" customWidth="1"/>
    <col min="9" max="9" width="14.7109375" bestFit="1" customWidth="1"/>
    <col min="10" max="10" width="16" bestFit="1" customWidth="1"/>
  </cols>
  <sheetData>
    <row r="1" spans="1:10" x14ac:dyDescent="0.2">
      <c r="A1" s="95" t="s">
        <v>41</v>
      </c>
      <c r="B1" s="95"/>
      <c r="E1" t="s">
        <v>88</v>
      </c>
      <c r="F1" s="25">
        <f>'Credit Analysis'!B3</f>
        <v>36858</v>
      </c>
      <c r="I1" t="s">
        <v>36</v>
      </c>
      <c r="J1" s="28">
        <f>VLOOKUP(F1,Lg_Payable,6)</f>
        <v>0</v>
      </c>
    </row>
    <row r="2" spans="1:10" x14ac:dyDescent="0.2">
      <c r="A2" t="s">
        <v>31</v>
      </c>
      <c r="B2" s="19">
        <f>'Notional Analysis'!F35</f>
        <v>0</v>
      </c>
      <c r="E2" t="s">
        <v>126</v>
      </c>
      <c r="F2" s="25">
        <f>VLOOKUP(F1,Lg_Payable,1)</f>
        <v>36791</v>
      </c>
      <c r="I2" t="s">
        <v>129</v>
      </c>
      <c r="J2" s="28">
        <f>F4*F3/(6*30)</f>
        <v>0</v>
      </c>
    </row>
    <row r="3" spans="1:10" ht="13.5" thickBot="1" x14ac:dyDescent="0.25">
      <c r="A3" t="s">
        <v>32</v>
      </c>
      <c r="B3" s="21">
        <f>'Credit Analysis'!B7</f>
        <v>7.2499999999999995E-2</v>
      </c>
      <c r="E3" t="s">
        <v>127</v>
      </c>
      <c r="F3" s="27">
        <f>F1-F2</f>
        <v>67</v>
      </c>
      <c r="J3" s="17">
        <f>J1+J2</f>
        <v>0</v>
      </c>
    </row>
    <row r="4" spans="1:10" ht="13.5" thickTop="1" x14ac:dyDescent="0.2">
      <c r="A4" t="s">
        <v>33</v>
      </c>
      <c r="B4" s="23">
        <f>5*2</f>
        <v>10</v>
      </c>
      <c r="E4" t="s">
        <v>128</v>
      </c>
      <c r="F4" s="28">
        <f>VLOOKUP(F1+(6*30),Lg_Payable,4)</f>
        <v>0</v>
      </c>
      <c r="I4" t="s">
        <v>131</v>
      </c>
      <c r="J4" s="28">
        <f>VLOOKUP(F1,Lg_Payable,8)+J2</f>
        <v>0</v>
      </c>
    </row>
    <row r="5" spans="1:10" x14ac:dyDescent="0.2">
      <c r="A5" t="s">
        <v>34</v>
      </c>
      <c r="B5" s="24">
        <f>PMT(B3/2,B4,-B2)</f>
        <v>0</v>
      </c>
    </row>
    <row r="7" spans="1:10" s="18" customFormat="1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">
      <c r="A8" s="25">
        <v>36791</v>
      </c>
      <c r="B8" s="20">
        <f>B2</f>
        <v>0</v>
      </c>
      <c r="C8" s="20"/>
      <c r="D8" s="20"/>
      <c r="E8" s="20"/>
      <c r="F8" s="20">
        <f t="shared" ref="F8:F18" si="0">B8-E8</f>
        <v>0</v>
      </c>
      <c r="G8">
        <v>60</v>
      </c>
      <c r="H8" s="20">
        <f>D8</f>
        <v>0</v>
      </c>
    </row>
    <row r="9" spans="1:10" x14ac:dyDescent="0.2">
      <c r="A9" s="25">
        <v>36972</v>
      </c>
      <c r="B9" s="20">
        <f t="shared" ref="B9:B18" si="1">F8</f>
        <v>0</v>
      </c>
      <c r="C9" s="20"/>
      <c r="D9" s="20">
        <f>B9*$B$3/2</f>
        <v>0</v>
      </c>
      <c r="E9" s="20">
        <f t="shared" ref="E9:E18" si="2">C9-D9</f>
        <v>0</v>
      </c>
      <c r="F9" s="20">
        <f t="shared" si="0"/>
        <v>0</v>
      </c>
      <c r="G9">
        <v>59</v>
      </c>
      <c r="H9" s="20">
        <f t="shared" ref="H9:H40" si="3">H8+D9</f>
        <v>0</v>
      </c>
    </row>
    <row r="10" spans="1:10" x14ac:dyDescent="0.2">
      <c r="A10" s="25">
        <v>37156</v>
      </c>
      <c r="B10" s="20">
        <f t="shared" si="1"/>
        <v>0</v>
      </c>
      <c r="C10" s="26"/>
      <c r="D10" s="20">
        <f t="shared" ref="D10:D18" si="4">B10*$B$3/2</f>
        <v>0</v>
      </c>
      <c r="E10" s="20">
        <f t="shared" si="2"/>
        <v>0</v>
      </c>
      <c r="F10" s="20">
        <f t="shared" si="0"/>
        <v>0</v>
      </c>
      <c r="G10">
        <v>58</v>
      </c>
      <c r="H10" s="20">
        <f t="shared" si="3"/>
        <v>0</v>
      </c>
    </row>
    <row r="11" spans="1:10" x14ac:dyDescent="0.2">
      <c r="A11" s="25">
        <v>37337</v>
      </c>
      <c r="B11" s="20">
        <f t="shared" si="1"/>
        <v>0</v>
      </c>
      <c r="C11" s="20"/>
      <c r="D11" s="20">
        <f t="shared" si="4"/>
        <v>0</v>
      </c>
      <c r="E11" s="20">
        <f t="shared" si="2"/>
        <v>0</v>
      </c>
      <c r="F11" s="20">
        <f t="shared" si="0"/>
        <v>0</v>
      </c>
      <c r="G11">
        <v>57</v>
      </c>
      <c r="H11" s="20">
        <f t="shared" si="3"/>
        <v>0</v>
      </c>
    </row>
    <row r="12" spans="1:10" x14ac:dyDescent="0.2">
      <c r="A12" s="25">
        <v>37521</v>
      </c>
      <c r="B12" s="20">
        <f t="shared" si="1"/>
        <v>0</v>
      </c>
      <c r="C12" s="20"/>
      <c r="D12" s="20">
        <f t="shared" si="4"/>
        <v>0</v>
      </c>
      <c r="E12" s="20">
        <f t="shared" si="2"/>
        <v>0</v>
      </c>
      <c r="F12" s="20">
        <f t="shared" si="0"/>
        <v>0</v>
      </c>
      <c r="G12">
        <v>56</v>
      </c>
      <c r="H12" s="20">
        <f t="shared" si="3"/>
        <v>0</v>
      </c>
    </row>
    <row r="13" spans="1:10" x14ac:dyDescent="0.2">
      <c r="A13" s="25">
        <v>37702</v>
      </c>
      <c r="B13" s="20">
        <f t="shared" si="1"/>
        <v>0</v>
      </c>
      <c r="C13" s="20"/>
      <c r="D13" s="20">
        <f t="shared" si="4"/>
        <v>0</v>
      </c>
      <c r="E13" s="20">
        <f t="shared" si="2"/>
        <v>0</v>
      </c>
      <c r="F13" s="20">
        <f t="shared" si="0"/>
        <v>0</v>
      </c>
      <c r="G13">
        <v>55</v>
      </c>
      <c r="H13" s="20">
        <f t="shared" si="3"/>
        <v>0</v>
      </c>
    </row>
    <row r="14" spans="1:10" x14ac:dyDescent="0.2">
      <c r="A14" s="25">
        <v>37886</v>
      </c>
      <c r="B14" s="20">
        <f t="shared" si="1"/>
        <v>0</v>
      </c>
      <c r="C14" s="20"/>
      <c r="D14" s="20">
        <f t="shared" si="4"/>
        <v>0</v>
      </c>
      <c r="E14" s="20">
        <f t="shared" si="2"/>
        <v>0</v>
      </c>
      <c r="F14" s="20">
        <f t="shared" si="0"/>
        <v>0</v>
      </c>
      <c r="G14">
        <v>54</v>
      </c>
      <c r="H14" s="20">
        <f t="shared" si="3"/>
        <v>0</v>
      </c>
    </row>
    <row r="15" spans="1:10" x14ac:dyDescent="0.2">
      <c r="A15" s="25">
        <v>38068</v>
      </c>
      <c r="B15" s="20">
        <f t="shared" si="1"/>
        <v>0</v>
      </c>
      <c r="C15" s="20"/>
      <c r="D15" s="20">
        <f t="shared" si="4"/>
        <v>0</v>
      </c>
      <c r="E15" s="20">
        <f t="shared" si="2"/>
        <v>0</v>
      </c>
      <c r="F15" s="20">
        <f t="shared" si="0"/>
        <v>0</v>
      </c>
      <c r="G15">
        <v>53</v>
      </c>
      <c r="H15" s="20">
        <f t="shared" si="3"/>
        <v>0</v>
      </c>
    </row>
    <row r="16" spans="1:10" x14ac:dyDescent="0.2">
      <c r="A16" s="25">
        <v>38252</v>
      </c>
      <c r="B16" s="20">
        <f t="shared" si="1"/>
        <v>0</v>
      </c>
      <c r="C16" s="20"/>
      <c r="D16" s="20">
        <f t="shared" si="4"/>
        <v>0</v>
      </c>
      <c r="E16" s="20">
        <f t="shared" si="2"/>
        <v>0</v>
      </c>
      <c r="F16" s="20">
        <f t="shared" si="0"/>
        <v>0</v>
      </c>
      <c r="G16">
        <v>52</v>
      </c>
      <c r="H16" s="20">
        <f t="shared" si="3"/>
        <v>0</v>
      </c>
    </row>
    <row r="17" spans="1:8" x14ac:dyDescent="0.2">
      <c r="A17" s="25">
        <v>38433</v>
      </c>
      <c r="B17" s="20">
        <f t="shared" si="1"/>
        <v>0</v>
      </c>
      <c r="C17" s="20"/>
      <c r="D17" s="20">
        <f t="shared" si="4"/>
        <v>0</v>
      </c>
      <c r="E17" s="20">
        <f t="shared" si="2"/>
        <v>0</v>
      </c>
      <c r="F17" s="20">
        <f t="shared" si="0"/>
        <v>0</v>
      </c>
      <c r="G17">
        <v>51</v>
      </c>
      <c r="H17" s="20">
        <f t="shared" si="3"/>
        <v>0</v>
      </c>
    </row>
    <row r="18" spans="1:8" x14ac:dyDescent="0.2">
      <c r="A18" s="25">
        <v>38617</v>
      </c>
      <c r="B18" s="20">
        <f t="shared" si="1"/>
        <v>0</v>
      </c>
      <c r="C18" s="20">
        <f>B18+D18</f>
        <v>0</v>
      </c>
      <c r="D18" s="20">
        <f t="shared" si="4"/>
        <v>0</v>
      </c>
      <c r="E18" s="20">
        <f t="shared" si="2"/>
        <v>0</v>
      </c>
      <c r="F18" s="20">
        <f t="shared" si="0"/>
        <v>0</v>
      </c>
      <c r="G18">
        <v>50</v>
      </c>
      <c r="H18" s="20">
        <f t="shared" si="3"/>
        <v>0</v>
      </c>
    </row>
    <row r="19" spans="1:8" x14ac:dyDescent="0.2">
      <c r="A19" s="25"/>
      <c r="B19" s="20"/>
      <c r="C19" s="20"/>
      <c r="D19" s="20"/>
      <c r="E19" s="20"/>
      <c r="F19" s="20"/>
      <c r="G19">
        <v>49</v>
      </c>
      <c r="H19" s="20">
        <f t="shared" si="3"/>
        <v>0</v>
      </c>
    </row>
    <row r="20" spans="1:8" x14ac:dyDescent="0.2">
      <c r="A20" s="25"/>
      <c r="B20" s="20"/>
      <c r="C20" s="20"/>
      <c r="D20" s="20"/>
      <c r="E20" s="20"/>
      <c r="F20" s="20"/>
      <c r="G20">
        <v>48</v>
      </c>
      <c r="H20" s="20">
        <f t="shared" si="3"/>
        <v>0</v>
      </c>
    </row>
    <row r="21" spans="1:8" x14ac:dyDescent="0.2">
      <c r="A21" s="25"/>
      <c r="B21" s="20"/>
      <c r="C21" s="20"/>
      <c r="D21" s="20"/>
      <c r="E21" s="20"/>
      <c r="F21" s="20"/>
      <c r="G21">
        <v>47</v>
      </c>
      <c r="H21" s="20">
        <f t="shared" si="3"/>
        <v>0</v>
      </c>
    </row>
    <row r="22" spans="1:8" x14ac:dyDescent="0.2">
      <c r="A22" s="25"/>
      <c r="B22" s="20"/>
      <c r="C22" s="20"/>
      <c r="D22" s="20"/>
      <c r="E22" s="20"/>
      <c r="F22" s="20"/>
      <c r="G22">
        <v>46</v>
      </c>
      <c r="H22" s="20">
        <f t="shared" si="3"/>
        <v>0</v>
      </c>
    </row>
    <row r="23" spans="1:8" x14ac:dyDescent="0.2">
      <c r="A23" s="25"/>
      <c r="B23" s="20"/>
      <c r="C23" s="20"/>
      <c r="D23" s="20"/>
      <c r="E23" s="20"/>
      <c r="F23" s="20"/>
      <c r="G23">
        <v>45</v>
      </c>
      <c r="H23" s="20">
        <f t="shared" si="3"/>
        <v>0</v>
      </c>
    </row>
    <row r="24" spans="1:8" x14ac:dyDescent="0.2">
      <c r="A24" s="25"/>
      <c r="B24" s="20"/>
      <c r="C24" s="20"/>
      <c r="D24" s="20"/>
      <c r="E24" s="20"/>
      <c r="F24" s="20"/>
      <c r="G24">
        <v>44</v>
      </c>
      <c r="H24" s="20">
        <f t="shared" si="3"/>
        <v>0</v>
      </c>
    </row>
    <row r="25" spans="1:8" x14ac:dyDescent="0.2">
      <c r="A25" s="25"/>
      <c r="B25" s="20"/>
      <c r="C25" s="20"/>
      <c r="D25" s="20"/>
      <c r="E25" s="20"/>
      <c r="F25" s="20"/>
      <c r="G25">
        <v>43</v>
      </c>
      <c r="H25" s="20">
        <f t="shared" si="3"/>
        <v>0</v>
      </c>
    </row>
    <row r="26" spans="1:8" x14ac:dyDescent="0.2">
      <c r="A26" s="25"/>
      <c r="B26" s="20"/>
      <c r="C26" s="20"/>
      <c r="D26" s="20"/>
      <c r="E26" s="20"/>
      <c r="F26" s="20"/>
      <c r="G26">
        <v>42</v>
      </c>
      <c r="H26" s="20">
        <f t="shared" si="3"/>
        <v>0</v>
      </c>
    </row>
    <row r="27" spans="1:8" x14ac:dyDescent="0.2">
      <c r="A27" s="25"/>
      <c r="B27" s="20"/>
      <c r="C27" s="20"/>
      <c r="D27" s="20"/>
      <c r="E27" s="20"/>
      <c r="F27" s="20"/>
      <c r="G27">
        <v>41</v>
      </c>
      <c r="H27" s="20">
        <f t="shared" si="3"/>
        <v>0</v>
      </c>
    </row>
    <row r="28" spans="1:8" x14ac:dyDescent="0.2">
      <c r="A28" s="25"/>
      <c r="B28" s="20"/>
      <c r="C28" s="20"/>
      <c r="D28" s="20"/>
      <c r="E28" s="20"/>
      <c r="F28" s="20"/>
      <c r="G28">
        <v>40</v>
      </c>
      <c r="H28" s="20">
        <f t="shared" si="3"/>
        <v>0</v>
      </c>
    </row>
    <row r="29" spans="1:8" x14ac:dyDescent="0.2">
      <c r="A29" s="25"/>
      <c r="B29" s="20"/>
      <c r="C29" s="20"/>
      <c r="D29" s="20"/>
      <c r="E29" s="20"/>
      <c r="F29" s="20"/>
      <c r="G29">
        <v>39</v>
      </c>
      <c r="H29" s="20">
        <f t="shared" si="3"/>
        <v>0</v>
      </c>
    </row>
    <row r="30" spans="1:8" x14ac:dyDescent="0.2">
      <c r="A30" s="25"/>
      <c r="B30" s="20"/>
      <c r="C30" s="20"/>
      <c r="D30" s="20"/>
      <c r="E30" s="20"/>
      <c r="F30" s="20"/>
      <c r="G30">
        <v>38</v>
      </c>
      <c r="H30" s="20">
        <f t="shared" si="3"/>
        <v>0</v>
      </c>
    </row>
    <row r="31" spans="1:8" x14ac:dyDescent="0.2">
      <c r="A31" s="25"/>
      <c r="B31" s="20"/>
      <c r="C31" s="20"/>
      <c r="D31" s="20"/>
      <c r="E31" s="20"/>
      <c r="F31" s="20"/>
      <c r="G31">
        <v>37</v>
      </c>
      <c r="H31" s="20">
        <f t="shared" si="3"/>
        <v>0</v>
      </c>
    </row>
    <row r="32" spans="1:8" x14ac:dyDescent="0.2">
      <c r="A32" s="25"/>
      <c r="B32" s="20"/>
      <c r="C32" s="20"/>
      <c r="D32" s="20"/>
      <c r="E32" s="20"/>
      <c r="F32" s="20"/>
      <c r="G32">
        <v>36</v>
      </c>
      <c r="H32" s="20">
        <f t="shared" si="3"/>
        <v>0</v>
      </c>
    </row>
    <row r="33" spans="1:8" x14ac:dyDescent="0.2">
      <c r="A33" s="25"/>
      <c r="B33" s="20"/>
      <c r="C33" s="20"/>
      <c r="D33" s="20"/>
      <c r="E33" s="20"/>
      <c r="F33" s="20"/>
      <c r="G33">
        <v>35</v>
      </c>
      <c r="H33" s="20">
        <f t="shared" si="3"/>
        <v>0</v>
      </c>
    </row>
    <row r="34" spans="1:8" x14ac:dyDescent="0.2">
      <c r="A34" s="25"/>
      <c r="B34" s="20"/>
      <c r="C34" s="20"/>
      <c r="D34" s="20"/>
      <c r="E34" s="20"/>
      <c r="F34" s="20"/>
      <c r="G34">
        <v>34</v>
      </c>
      <c r="H34" s="20">
        <f t="shared" si="3"/>
        <v>0</v>
      </c>
    </row>
    <row r="35" spans="1:8" x14ac:dyDescent="0.2">
      <c r="A35" s="25"/>
      <c r="B35" s="20"/>
      <c r="C35" s="20"/>
      <c r="D35" s="20"/>
      <c r="E35" s="20"/>
      <c r="F35" s="20"/>
      <c r="G35">
        <v>33</v>
      </c>
      <c r="H35" s="20">
        <f t="shared" si="3"/>
        <v>0</v>
      </c>
    </row>
    <row r="36" spans="1:8" x14ac:dyDescent="0.2">
      <c r="A36" s="25"/>
      <c r="B36" s="20"/>
      <c r="C36" s="20"/>
      <c r="D36" s="20"/>
      <c r="E36" s="20"/>
      <c r="F36" s="20"/>
      <c r="G36">
        <v>32</v>
      </c>
      <c r="H36" s="20">
        <f t="shared" si="3"/>
        <v>0</v>
      </c>
    </row>
    <row r="37" spans="1:8" x14ac:dyDescent="0.2">
      <c r="A37" s="25"/>
      <c r="B37" s="20"/>
      <c r="C37" s="20"/>
      <c r="D37" s="20"/>
      <c r="E37" s="20"/>
      <c r="F37" s="20"/>
      <c r="G37">
        <v>31</v>
      </c>
      <c r="H37" s="20">
        <f t="shared" si="3"/>
        <v>0</v>
      </c>
    </row>
    <row r="38" spans="1:8" x14ac:dyDescent="0.2">
      <c r="A38" s="25"/>
      <c r="B38" s="20"/>
      <c r="C38" s="20"/>
      <c r="D38" s="20"/>
      <c r="E38" s="20"/>
      <c r="F38" s="20"/>
      <c r="G38">
        <v>30</v>
      </c>
      <c r="H38" s="20">
        <f t="shared" si="3"/>
        <v>0</v>
      </c>
    </row>
    <row r="39" spans="1:8" x14ac:dyDescent="0.2">
      <c r="A39" s="25"/>
      <c r="B39" s="20"/>
      <c r="C39" s="20"/>
      <c r="D39" s="20"/>
      <c r="E39" s="20"/>
      <c r="F39" s="20"/>
      <c r="G39">
        <v>29</v>
      </c>
      <c r="H39" s="20">
        <f t="shared" si="3"/>
        <v>0</v>
      </c>
    </row>
    <row r="40" spans="1:8" x14ac:dyDescent="0.2">
      <c r="A40" s="25"/>
      <c r="B40" s="20"/>
      <c r="C40" s="20"/>
      <c r="D40" s="20"/>
      <c r="E40" s="20"/>
      <c r="F40" s="20"/>
      <c r="G40">
        <v>28</v>
      </c>
      <c r="H40" s="20">
        <f t="shared" si="3"/>
        <v>0</v>
      </c>
    </row>
    <row r="41" spans="1:8" x14ac:dyDescent="0.2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0</v>
      </c>
    </row>
    <row r="42" spans="1:8" x14ac:dyDescent="0.2">
      <c r="A42" s="25"/>
      <c r="B42" s="20"/>
      <c r="C42" s="20"/>
      <c r="D42" s="20"/>
      <c r="E42" s="20"/>
      <c r="F42" s="20"/>
      <c r="G42">
        <v>26</v>
      </c>
      <c r="H42" s="20">
        <f t="shared" si="5"/>
        <v>0</v>
      </c>
    </row>
    <row r="43" spans="1:8" x14ac:dyDescent="0.2">
      <c r="A43" s="25"/>
      <c r="B43" s="20"/>
      <c r="C43" s="20"/>
      <c r="D43" s="20"/>
      <c r="E43" s="20"/>
      <c r="F43" s="20"/>
      <c r="G43">
        <v>25</v>
      </c>
      <c r="H43" s="20">
        <f t="shared" si="5"/>
        <v>0</v>
      </c>
    </row>
    <row r="44" spans="1:8" x14ac:dyDescent="0.2">
      <c r="A44" s="25"/>
      <c r="B44" s="20"/>
      <c r="C44" s="20"/>
      <c r="D44" s="20"/>
      <c r="E44" s="20"/>
      <c r="F44" s="20"/>
      <c r="G44">
        <v>24</v>
      </c>
      <c r="H44" s="20">
        <f t="shared" si="5"/>
        <v>0</v>
      </c>
    </row>
    <row r="45" spans="1:8" x14ac:dyDescent="0.2">
      <c r="A45" s="25"/>
      <c r="B45" s="20"/>
      <c r="C45" s="20"/>
      <c r="D45" s="20"/>
      <c r="E45" s="20"/>
      <c r="F45" s="20"/>
      <c r="G45">
        <v>23</v>
      </c>
      <c r="H45" s="20">
        <f t="shared" si="5"/>
        <v>0</v>
      </c>
    </row>
    <row r="46" spans="1:8" x14ac:dyDescent="0.2">
      <c r="A46" s="25"/>
      <c r="B46" s="20"/>
      <c r="C46" s="20"/>
      <c r="D46" s="20"/>
      <c r="E46" s="20"/>
      <c r="F46" s="20"/>
      <c r="G46">
        <v>22</v>
      </c>
      <c r="H46" s="20">
        <f t="shared" si="5"/>
        <v>0</v>
      </c>
    </row>
    <row r="47" spans="1:8" x14ac:dyDescent="0.2">
      <c r="A47" s="25"/>
      <c r="B47" s="20"/>
      <c r="C47" s="20"/>
      <c r="D47" s="20"/>
      <c r="E47" s="20"/>
      <c r="F47" s="20"/>
      <c r="G47">
        <v>21</v>
      </c>
      <c r="H47" s="20">
        <f t="shared" si="5"/>
        <v>0</v>
      </c>
    </row>
    <row r="48" spans="1:8" x14ac:dyDescent="0.2">
      <c r="A48" s="25"/>
      <c r="B48" s="20"/>
      <c r="C48" s="20"/>
      <c r="D48" s="20"/>
      <c r="E48" s="20"/>
      <c r="F48" s="20"/>
      <c r="G48">
        <v>20</v>
      </c>
      <c r="H48" s="20">
        <f t="shared" si="5"/>
        <v>0</v>
      </c>
    </row>
    <row r="49" spans="1:8" x14ac:dyDescent="0.2">
      <c r="A49" s="25"/>
      <c r="B49" s="20"/>
      <c r="C49" s="20"/>
      <c r="D49" s="20"/>
      <c r="E49" s="20"/>
      <c r="F49" s="20"/>
      <c r="G49">
        <v>19</v>
      </c>
      <c r="H49" s="20">
        <f t="shared" si="5"/>
        <v>0</v>
      </c>
    </row>
    <row r="50" spans="1:8" x14ac:dyDescent="0.2">
      <c r="A50" s="25"/>
      <c r="B50" s="20"/>
      <c r="C50" s="20"/>
      <c r="D50" s="20"/>
      <c r="E50" s="20"/>
      <c r="F50" s="20"/>
      <c r="G50">
        <v>18</v>
      </c>
      <c r="H50" s="20">
        <f t="shared" si="5"/>
        <v>0</v>
      </c>
    </row>
    <row r="51" spans="1:8" x14ac:dyDescent="0.2">
      <c r="A51" s="25"/>
      <c r="B51" s="20"/>
      <c r="C51" s="20"/>
      <c r="D51" s="20"/>
      <c r="E51" s="20"/>
      <c r="F51" s="20"/>
      <c r="G51">
        <v>17</v>
      </c>
      <c r="H51" s="20">
        <f t="shared" si="5"/>
        <v>0</v>
      </c>
    </row>
    <row r="52" spans="1:8" x14ac:dyDescent="0.2">
      <c r="A52" s="25"/>
      <c r="B52" s="20"/>
      <c r="C52" s="20"/>
      <c r="D52" s="20"/>
      <c r="E52" s="20"/>
      <c r="F52" s="20"/>
      <c r="G52">
        <v>16</v>
      </c>
      <c r="H52" s="20">
        <f t="shared" si="5"/>
        <v>0</v>
      </c>
    </row>
    <row r="53" spans="1:8" x14ac:dyDescent="0.2">
      <c r="A53" s="25"/>
      <c r="B53" s="20"/>
      <c r="C53" s="20"/>
      <c r="D53" s="20"/>
      <c r="E53" s="20"/>
      <c r="F53" s="20"/>
      <c r="G53">
        <v>15</v>
      </c>
      <c r="H53" s="20">
        <f t="shared" si="5"/>
        <v>0</v>
      </c>
    </row>
    <row r="54" spans="1:8" x14ac:dyDescent="0.2">
      <c r="A54" s="25"/>
      <c r="B54" s="20"/>
      <c r="C54" s="20"/>
      <c r="D54" s="20"/>
      <c r="E54" s="20"/>
      <c r="F54" s="20"/>
      <c r="G54">
        <v>14</v>
      </c>
      <c r="H54" s="20">
        <f t="shared" si="5"/>
        <v>0</v>
      </c>
    </row>
    <row r="55" spans="1:8" x14ac:dyDescent="0.2">
      <c r="A55" s="25"/>
      <c r="B55" s="20"/>
      <c r="C55" s="20"/>
      <c r="D55" s="20"/>
      <c r="E55" s="20"/>
      <c r="F55" s="20"/>
      <c r="G55">
        <v>13</v>
      </c>
      <c r="H55" s="20">
        <f t="shared" si="5"/>
        <v>0</v>
      </c>
    </row>
    <row r="56" spans="1:8" x14ac:dyDescent="0.2">
      <c r="A56" s="25"/>
      <c r="B56" s="20"/>
      <c r="C56" s="20"/>
      <c r="D56" s="20"/>
      <c r="E56" s="20"/>
      <c r="F56" s="20"/>
      <c r="G56">
        <v>12</v>
      </c>
      <c r="H56" s="20">
        <f t="shared" si="5"/>
        <v>0</v>
      </c>
    </row>
    <row r="57" spans="1:8" x14ac:dyDescent="0.2">
      <c r="A57" s="25"/>
      <c r="B57" s="20"/>
      <c r="C57" s="20"/>
      <c r="D57" s="20"/>
      <c r="E57" s="20"/>
      <c r="F57" s="20"/>
      <c r="G57">
        <v>11</v>
      </c>
      <c r="H57" s="20">
        <f t="shared" si="5"/>
        <v>0</v>
      </c>
    </row>
    <row r="58" spans="1:8" x14ac:dyDescent="0.2">
      <c r="A58" s="25"/>
      <c r="B58" s="20"/>
      <c r="C58" s="20"/>
      <c r="D58" s="20"/>
      <c r="E58" s="20"/>
      <c r="F58" s="20"/>
      <c r="G58">
        <v>10</v>
      </c>
      <c r="H58" s="20">
        <f t="shared" si="5"/>
        <v>0</v>
      </c>
    </row>
    <row r="59" spans="1:8" x14ac:dyDescent="0.2">
      <c r="A59" s="25"/>
      <c r="B59" s="20"/>
      <c r="C59" s="20"/>
      <c r="D59" s="20"/>
      <c r="E59" s="20"/>
      <c r="F59" s="20"/>
      <c r="G59">
        <v>9</v>
      </c>
      <c r="H59" s="20">
        <f t="shared" si="5"/>
        <v>0</v>
      </c>
    </row>
    <row r="60" spans="1:8" x14ac:dyDescent="0.2">
      <c r="A60" s="25"/>
      <c r="B60" s="20"/>
      <c r="C60" s="20"/>
      <c r="D60" s="20"/>
      <c r="E60" s="20"/>
      <c r="F60" s="20"/>
      <c r="G60">
        <v>8</v>
      </c>
      <c r="H60" s="20">
        <f t="shared" si="5"/>
        <v>0</v>
      </c>
    </row>
    <row r="61" spans="1:8" x14ac:dyDescent="0.2">
      <c r="A61" s="25"/>
      <c r="B61" s="20"/>
      <c r="C61" s="20"/>
      <c r="D61" s="20"/>
      <c r="E61" s="20"/>
      <c r="F61" s="20"/>
      <c r="G61">
        <v>7</v>
      </c>
      <c r="H61" s="20">
        <f t="shared" si="5"/>
        <v>0</v>
      </c>
    </row>
    <row r="62" spans="1:8" x14ac:dyDescent="0.2">
      <c r="A62" s="25"/>
      <c r="B62" s="20"/>
      <c r="C62" s="20"/>
      <c r="D62" s="20"/>
      <c r="E62" s="20"/>
      <c r="F62" s="20"/>
      <c r="G62">
        <v>6</v>
      </c>
      <c r="H62" s="20">
        <f t="shared" si="5"/>
        <v>0</v>
      </c>
    </row>
    <row r="63" spans="1:8" x14ac:dyDescent="0.2">
      <c r="A63" s="25"/>
      <c r="B63" s="20"/>
      <c r="C63" s="20"/>
      <c r="D63" s="20"/>
      <c r="E63" s="20"/>
      <c r="F63" s="20"/>
      <c r="G63">
        <v>5</v>
      </c>
      <c r="H63" s="20">
        <f t="shared" si="5"/>
        <v>0</v>
      </c>
    </row>
    <row r="64" spans="1:8" x14ac:dyDescent="0.2">
      <c r="A64" s="25"/>
      <c r="B64" s="20"/>
      <c r="C64" s="20"/>
      <c r="D64" s="20"/>
      <c r="E64" s="20"/>
      <c r="F64" s="20"/>
      <c r="G64">
        <v>4</v>
      </c>
      <c r="H64" s="20">
        <f t="shared" si="5"/>
        <v>0</v>
      </c>
    </row>
    <row r="65" spans="1:8" x14ac:dyDescent="0.2">
      <c r="A65" s="25"/>
      <c r="B65" s="20"/>
      <c r="C65" s="20"/>
      <c r="D65" s="20"/>
      <c r="E65" s="20"/>
      <c r="F65" s="20"/>
      <c r="G65">
        <v>3</v>
      </c>
      <c r="H65" s="20">
        <f t="shared" si="5"/>
        <v>0</v>
      </c>
    </row>
    <row r="66" spans="1:8" x14ac:dyDescent="0.2">
      <c r="A66" s="25"/>
      <c r="B66" s="20"/>
      <c r="C66" s="20"/>
      <c r="D66" s="20"/>
      <c r="E66" s="20"/>
      <c r="F66" s="20"/>
      <c r="G66">
        <v>2</v>
      </c>
      <c r="H66" s="20">
        <f t="shared" si="5"/>
        <v>0</v>
      </c>
    </row>
    <row r="67" spans="1:8" x14ac:dyDescent="0.2">
      <c r="A67" s="25"/>
      <c r="B67" s="20"/>
      <c r="C67" s="20"/>
      <c r="D67" s="20"/>
      <c r="E67" s="20"/>
      <c r="F67" s="20"/>
      <c r="G67">
        <v>1</v>
      </c>
      <c r="H67" s="20">
        <f t="shared" si="5"/>
        <v>0</v>
      </c>
    </row>
    <row r="68" spans="1:8" x14ac:dyDescent="0.2">
      <c r="A68" s="25"/>
      <c r="B68" s="20"/>
      <c r="C68" s="20"/>
      <c r="D68" s="20"/>
      <c r="E68" s="20"/>
      <c r="F68" s="20"/>
      <c r="G68">
        <v>0</v>
      </c>
      <c r="H68" s="20">
        <f t="shared" si="5"/>
        <v>0</v>
      </c>
    </row>
    <row r="69" spans="1:8" x14ac:dyDescent="0.2">
      <c r="C69" s="20"/>
      <c r="D69" s="20"/>
      <c r="E69" s="20"/>
      <c r="F69" s="20"/>
    </row>
    <row r="70" spans="1:8" x14ac:dyDescent="0.2">
      <c r="C70" s="20"/>
      <c r="D70" s="20"/>
      <c r="E70" s="20"/>
      <c r="F70" s="20"/>
    </row>
    <row r="71" spans="1:8" x14ac:dyDescent="0.2">
      <c r="C71" s="20"/>
      <c r="D71" s="20"/>
      <c r="E71" s="20"/>
      <c r="F71" s="20"/>
    </row>
    <row r="72" spans="1:8" x14ac:dyDescent="0.2">
      <c r="C72" s="20"/>
      <c r="D72" s="20"/>
      <c r="E72" s="20"/>
      <c r="F72" s="20"/>
    </row>
    <row r="73" spans="1:8" x14ac:dyDescent="0.2">
      <c r="C73" s="20"/>
      <c r="D73" s="20"/>
      <c r="E73" s="20"/>
      <c r="F73" s="20"/>
    </row>
    <row r="74" spans="1:8" x14ac:dyDescent="0.2">
      <c r="C74" s="20"/>
      <c r="D74" s="20"/>
      <c r="E74" s="20"/>
      <c r="F74" s="20"/>
    </row>
    <row r="75" spans="1:8" x14ac:dyDescent="0.2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2.75" x14ac:dyDescent="0.2"/>
  <cols>
    <col min="1" max="1" width="12.28515625" customWidth="1"/>
    <col min="2" max="2" width="14.85546875" customWidth="1"/>
    <col min="3" max="3" width="12.28515625" bestFit="1" customWidth="1"/>
    <col min="4" max="4" width="11.28515625" customWidth="1"/>
    <col min="5" max="5" width="12.28515625" bestFit="1" customWidth="1"/>
    <col min="6" max="6" width="13.28515625" customWidth="1"/>
    <col min="7" max="7" width="0" hidden="1" customWidth="1"/>
    <col min="8" max="8" width="12.28515625" hidden="1" customWidth="1"/>
    <col min="9" max="9" width="14.7109375" bestFit="1" customWidth="1"/>
    <col min="10" max="10" width="13.42578125" bestFit="1" customWidth="1"/>
  </cols>
  <sheetData>
    <row r="1" spans="1:10" x14ac:dyDescent="0.2">
      <c r="A1" s="95" t="s">
        <v>39</v>
      </c>
      <c r="B1" s="95"/>
      <c r="E1" t="s">
        <v>88</v>
      </c>
      <c r="F1" s="25">
        <f>'Credit Analysis'!B3</f>
        <v>36858</v>
      </c>
      <c r="I1" t="s">
        <v>36</v>
      </c>
      <c r="J1" s="28">
        <f>VLOOKUP(F1,Small_Payable,6)</f>
        <v>50000000</v>
      </c>
    </row>
    <row r="2" spans="1:10" x14ac:dyDescent="0.2">
      <c r="A2" t="s">
        <v>31</v>
      </c>
      <c r="B2" s="19">
        <v>50000000</v>
      </c>
      <c r="E2" t="s">
        <v>126</v>
      </c>
      <c r="F2" s="25">
        <f>VLOOKUP(F1,Small_Payable,1)</f>
        <v>36791</v>
      </c>
      <c r="I2" t="s">
        <v>129</v>
      </c>
      <c r="J2" s="28">
        <f>F4*F3/(6*30)</f>
        <v>697916.66666666663</v>
      </c>
    </row>
    <row r="3" spans="1:10" ht="13.5" thickBot="1" x14ac:dyDescent="0.25">
      <c r="A3" t="s">
        <v>32</v>
      </c>
      <c r="B3" s="21">
        <f>'Credit Analysis'!B6</f>
        <v>7.4999999999999997E-2</v>
      </c>
      <c r="E3" t="s">
        <v>127</v>
      </c>
      <c r="F3" s="27">
        <f>F1-F2</f>
        <v>67</v>
      </c>
      <c r="J3" s="17">
        <f>J1+J2</f>
        <v>50697916.666666664</v>
      </c>
    </row>
    <row r="4" spans="1:10" ht="13.5" thickTop="1" x14ac:dyDescent="0.2">
      <c r="A4" t="s">
        <v>33</v>
      </c>
      <c r="B4" s="23">
        <f>5*2</f>
        <v>10</v>
      </c>
      <c r="E4" t="s">
        <v>128</v>
      </c>
      <c r="F4" s="28">
        <f>VLOOKUP(F1+(6*30),Small_Payable,4)</f>
        <v>1875000</v>
      </c>
      <c r="I4" t="s">
        <v>131</v>
      </c>
      <c r="J4" s="28">
        <f>VLOOKUP(F1,Small_Payable,8)+J2</f>
        <v>697916.66666666663</v>
      </c>
    </row>
    <row r="5" spans="1:10" x14ac:dyDescent="0.2">
      <c r="A5" t="s">
        <v>34</v>
      </c>
      <c r="B5" s="41">
        <f>PMT(B3/2,B4,-B2)</f>
        <v>6088067.1162854237</v>
      </c>
    </row>
    <row r="7" spans="1:10" s="18" customFormat="1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">
      <c r="A8" s="25">
        <v>36791</v>
      </c>
      <c r="B8" s="20">
        <f>B2</f>
        <v>50000000</v>
      </c>
      <c r="C8" s="20"/>
      <c r="D8" s="20"/>
      <c r="E8" s="20"/>
      <c r="F8" s="20">
        <f t="shared" ref="F8:F18" si="0">B8-E8</f>
        <v>50000000</v>
      </c>
      <c r="G8">
        <v>60</v>
      </c>
      <c r="H8" s="20">
        <f>D8</f>
        <v>0</v>
      </c>
    </row>
    <row r="9" spans="1:10" x14ac:dyDescent="0.2">
      <c r="A9" s="25">
        <v>36972</v>
      </c>
      <c r="B9" s="20">
        <f t="shared" ref="B9:B18" si="1">F8</f>
        <v>50000000</v>
      </c>
      <c r="C9" s="20"/>
      <c r="D9" s="20">
        <f>B9*$B$3/2</f>
        <v>1875000</v>
      </c>
      <c r="E9" s="20">
        <f t="shared" ref="E9:E18" si="2">C9-D9</f>
        <v>-1875000</v>
      </c>
      <c r="F9" s="20">
        <f t="shared" si="0"/>
        <v>51875000</v>
      </c>
      <c r="G9">
        <v>59</v>
      </c>
      <c r="H9" s="20">
        <f t="shared" ref="H9:H40" si="3">H8+D9</f>
        <v>1875000</v>
      </c>
    </row>
    <row r="10" spans="1:10" x14ac:dyDescent="0.2">
      <c r="A10" s="25">
        <v>37156</v>
      </c>
      <c r="B10" s="20">
        <f t="shared" si="1"/>
        <v>51875000</v>
      </c>
      <c r="C10" s="26"/>
      <c r="D10" s="20">
        <f t="shared" ref="D10:D18" si="4">B10*$B$3/2</f>
        <v>1945312.5</v>
      </c>
      <c r="E10" s="20">
        <f t="shared" si="2"/>
        <v>-1945312.5</v>
      </c>
      <c r="F10" s="20">
        <f t="shared" si="0"/>
        <v>53820312.5</v>
      </c>
      <c r="G10">
        <v>58</v>
      </c>
      <c r="H10" s="20">
        <f t="shared" si="3"/>
        <v>3820312.5</v>
      </c>
    </row>
    <row r="11" spans="1:10" x14ac:dyDescent="0.2">
      <c r="A11" s="25">
        <v>37337</v>
      </c>
      <c r="B11" s="20">
        <f t="shared" si="1"/>
        <v>53820312.5</v>
      </c>
      <c r="C11" s="20"/>
      <c r="D11" s="20">
        <f t="shared" si="4"/>
        <v>2018261.71875</v>
      </c>
      <c r="E11" s="20">
        <f t="shared" si="2"/>
        <v>-2018261.71875</v>
      </c>
      <c r="F11" s="20">
        <f t="shared" si="0"/>
        <v>55838574.21875</v>
      </c>
      <c r="G11">
        <v>57</v>
      </c>
      <c r="H11" s="20">
        <f t="shared" si="3"/>
        <v>5838574.21875</v>
      </c>
    </row>
    <row r="12" spans="1:10" x14ac:dyDescent="0.2">
      <c r="A12" s="25">
        <v>37521</v>
      </c>
      <c r="B12" s="20">
        <f t="shared" si="1"/>
        <v>55838574.21875</v>
      </c>
      <c r="C12" s="20"/>
      <c r="D12" s="20">
        <f t="shared" si="4"/>
        <v>2093946.533203125</v>
      </c>
      <c r="E12" s="20">
        <f t="shared" si="2"/>
        <v>-2093946.533203125</v>
      </c>
      <c r="F12" s="20">
        <f t="shared" si="0"/>
        <v>57932520.751953125</v>
      </c>
      <c r="G12">
        <v>56</v>
      </c>
      <c r="H12" s="20">
        <f t="shared" si="3"/>
        <v>7932520.751953125</v>
      </c>
    </row>
    <row r="13" spans="1:10" x14ac:dyDescent="0.2">
      <c r="A13" s="25">
        <v>37702</v>
      </c>
      <c r="B13" s="20">
        <f t="shared" si="1"/>
        <v>57932520.751953125</v>
      </c>
      <c r="C13" s="20"/>
      <c r="D13" s="20">
        <f t="shared" si="4"/>
        <v>2172469.5281982422</v>
      </c>
      <c r="E13" s="20">
        <f t="shared" si="2"/>
        <v>-2172469.5281982422</v>
      </c>
      <c r="F13" s="20">
        <f t="shared" si="0"/>
        <v>60104990.280151367</v>
      </c>
      <c r="G13">
        <v>55</v>
      </c>
      <c r="H13" s="20">
        <f t="shared" si="3"/>
        <v>10104990.280151367</v>
      </c>
    </row>
    <row r="14" spans="1:10" x14ac:dyDescent="0.2">
      <c r="A14" s="25">
        <v>37886</v>
      </c>
      <c r="B14" s="20">
        <f t="shared" si="1"/>
        <v>60104990.280151367</v>
      </c>
      <c r="C14" s="20"/>
      <c r="D14" s="20">
        <f t="shared" si="4"/>
        <v>2253937.1355056763</v>
      </c>
      <c r="E14" s="20">
        <f t="shared" si="2"/>
        <v>-2253937.1355056763</v>
      </c>
      <c r="F14" s="20">
        <f t="shared" si="0"/>
        <v>62358927.415657043</v>
      </c>
      <c r="G14">
        <v>54</v>
      </c>
      <c r="H14" s="20">
        <f t="shared" si="3"/>
        <v>12358927.415657043</v>
      </c>
    </row>
    <row r="15" spans="1:10" x14ac:dyDescent="0.2">
      <c r="A15" s="25">
        <v>38068</v>
      </c>
      <c r="B15" s="20">
        <f t="shared" si="1"/>
        <v>62358927.415657043</v>
      </c>
      <c r="C15" s="20"/>
      <c r="D15" s="20">
        <f t="shared" si="4"/>
        <v>2338459.7780871391</v>
      </c>
      <c r="E15" s="20">
        <f t="shared" si="2"/>
        <v>-2338459.7780871391</v>
      </c>
      <c r="F15" s="20">
        <f t="shared" si="0"/>
        <v>64697387.193744183</v>
      </c>
      <c r="G15">
        <v>53</v>
      </c>
      <c r="H15" s="20">
        <f t="shared" si="3"/>
        <v>14697387.193744183</v>
      </c>
    </row>
    <row r="16" spans="1:10" x14ac:dyDescent="0.2">
      <c r="A16" s="25">
        <v>38252</v>
      </c>
      <c r="B16" s="20">
        <f t="shared" si="1"/>
        <v>64697387.193744183</v>
      </c>
      <c r="C16" s="20"/>
      <c r="D16" s="20">
        <f t="shared" si="4"/>
        <v>2426152.0197654068</v>
      </c>
      <c r="E16" s="20">
        <f t="shared" si="2"/>
        <v>-2426152.0197654068</v>
      </c>
      <c r="F16" s="20">
        <f t="shared" si="0"/>
        <v>67123539.213509589</v>
      </c>
      <c r="G16">
        <v>52</v>
      </c>
      <c r="H16" s="20">
        <f t="shared" si="3"/>
        <v>17123539.213509589</v>
      </c>
    </row>
    <row r="17" spans="1:8" x14ac:dyDescent="0.2">
      <c r="A17" s="25">
        <v>38433</v>
      </c>
      <c r="B17" s="20">
        <f t="shared" si="1"/>
        <v>67123539.213509589</v>
      </c>
      <c r="C17" s="20"/>
      <c r="D17" s="20">
        <f t="shared" si="4"/>
        <v>2517132.7205066094</v>
      </c>
      <c r="E17" s="20">
        <f t="shared" si="2"/>
        <v>-2517132.7205066094</v>
      </c>
      <c r="F17" s="20">
        <f t="shared" si="0"/>
        <v>69640671.934016198</v>
      </c>
      <c r="G17">
        <v>51</v>
      </c>
      <c r="H17" s="20">
        <f t="shared" si="3"/>
        <v>19640671.934016198</v>
      </c>
    </row>
    <row r="18" spans="1:8" x14ac:dyDescent="0.2">
      <c r="A18" s="25">
        <v>38617</v>
      </c>
      <c r="B18" s="20">
        <f t="shared" si="1"/>
        <v>69640671.934016198</v>
      </c>
      <c r="C18" s="20">
        <f>B18+D18</f>
        <v>72252197.131541803</v>
      </c>
      <c r="D18" s="20">
        <f t="shared" si="4"/>
        <v>2611525.1975256074</v>
      </c>
      <c r="E18" s="20">
        <f t="shared" si="2"/>
        <v>69640671.934016198</v>
      </c>
      <c r="F18" s="20">
        <f t="shared" si="0"/>
        <v>0</v>
      </c>
      <c r="G18">
        <v>50</v>
      </c>
      <c r="H18" s="20">
        <f t="shared" si="3"/>
        <v>22252197.131541803</v>
      </c>
    </row>
    <row r="19" spans="1:8" x14ac:dyDescent="0.2">
      <c r="A19" s="25"/>
      <c r="B19" s="20"/>
      <c r="C19" s="20"/>
      <c r="D19" s="20"/>
      <c r="E19" s="20"/>
      <c r="F19" s="20"/>
      <c r="G19">
        <v>49</v>
      </c>
      <c r="H19" s="20">
        <f t="shared" si="3"/>
        <v>22252197.131541803</v>
      </c>
    </row>
    <row r="20" spans="1:8" x14ac:dyDescent="0.2">
      <c r="A20" s="25"/>
      <c r="B20" s="20"/>
      <c r="C20" s="20"/>
      <c r="D20" s="20"/>
      <c r="E20" s="20"/>
      <c r="F20" s="20"/>
      <c r="G20">
        <v>48</v>
      </c>
      <c r="H20" s="20">
        <f t="shared" si="3"/>
        <v>22252197.131541803</v>
      </c>
    </row>
    <row r="21" spans="1:8" x14ac:dyDescent="0.2">
      <c r="A21" s="25"/>
      <c r="B21" s="20"/>
      <c r="C21" s="20"/>
      <c r="D21" s="20"/>
      <c r="E21" s="20"/>
      <c r="F21" s="20"/>
      <c r="G21">
        <v>47</v>
      </c>
      <c r="H21" s="20">
        <f t="shared" si="3"/>
        <v>22252197.131541803</v>
      </c>
    </row>
    <row r="22" spans="1:8" x14ac:dyDescent="0.2">
      <c r="A22" s="25"/>
      <c r="B22" s="20"/>
      <c r="C22" s="20"/>
      <c r="D22" s="20"/>
      <c r="E22" s="20"/>
      <c r="F22" s="20"/>
      <c r="G22">
        <v>46</v>
      </c>
      <c r="H22" s="20">
        <f t="shared" si="3"/>
        <v>22252197.131541803</v>
      </c>
    </row>
    <row r="23" spans="1:8" x14ac:dyDescent="0.2">
      <c r="A23" s="25"/>
      <c r="B23" s="20"/>
      <c r="C23" s="20"/>
      <c r="D23" s="20"/>
      <c r="E23" s="20"/>
      <c r="F23" s="20"/>
      <c r="G23">
        <v>45</v>
      </c>
      <c r="H23" s="20">
        <f t="shared" si="3"/>
        <v>22252197.131541803</v>
      </c>
    </row>
    <row r="24" spans="1:8" x14ac:dyDescent="0.2">
      <c r="A24" s="25"/>
      <c r="B24" s="20"/>
      <c r="C24" s="20"/>
      <c r="D24" s="20"/>
      <c r="E24" s="20"/>
      <c r="F24" s="20"/>
      <c r="G24">
        <v>44</v>
      </c>
      <c r="H24" s="20">
        <f t="shared" si="3"/>
        <v>22252197.131541803</v>
      </c>
    </row>
    <row r="25" spans="1:8" x14ac:dyDescent="0.2">
      <c r="A25" s="25"/>
      <c r="B25" s="20"/>
      <c r="C25" s="20"/>
      <c r="D25" s="20"/>
      <c r="E25" s="20"/>
      <c r="F25" s="20"/>
      <c r="G25">
        <v>43</v>
      </c>
      <c r="H25" s="20">
        <f t="shared" si="3"/>
        <v>22252197.131541803</v>
      </c>
    </row>
    <row r="26" spans="1:8" x14ac:dyDescent="0.2">
      <c r="A26" s="25"/>
      <c r="B26" s="20"/>
      <c r="C26" s="20"/>
      <c r="D26" s="20"/>
      <c r="E26" s="20"/>
      <c r="F26" s="20"/>
      <c r="G26">
        <v>42</v>
      </c>
      <c r="H26" s="20">
        <f t="shared" si="3"/>
        <v>22252197.131541803</v>
      </c>
    </row>
    <row r="27" spans="1:8" x14ac:dyDescent="0.2">
      <c r="A27" s="25"/>
      <c r="B27" s="20"/>
      <c r="C27" s="20"/>
      <c r="D27" s="20"/>
      <c r="E27" s="20"/>
      <c r="F27" s="20"/>
      <c r="G27">
        <v>41</v>
      </c>
      <c r="H27" s="20">
        <f t="shared" si="3"/>
        <v>22252197.131541803</v>
      </c>
    </row>
    <row r="28" spans="1:8" x14ac:dyDescent="0.2">
      <c r="A28" s="25"/>
      <c r="B28" s="20"/>
      <c r="C28" s="20"/>
      <c r="D28" s="20"/>
      <c r="E28" s="20"/>
      <c r="F28" s="20"/>
      <c r="G28">
        <v>40</v>
      </c>
      <c r="H28" s="20">
        <f t="shared" si="3"/>
        <v>22252197.131541803</v>
      </c>
    </row>
    <row r="29" spans="1:8" x14ac:dyDescent="0.2">
      <c r="A29" s="25"/>
      <c r="B29" s="20"/>
      <c r="C29" s="20"/>
      <c r="D29" s="20"/>
      <c r="E29" s="20"/>
      <c r="F29" s="20"/>
      <c r="G29">
        <v>39</v>
      </c>
      <c r="H29" s="20">
        <f t="shared" si="3"/>
        <v>22252197.131541803</v>
      </c>
    </row>
    <row r="30" spans="1:8" x14ac:dyDescent="0.2">
      <c r="A30" s="25"/>
      <c r="B30" s="20"/>
      <c r="C30" s="20"/>
      <c r="D30" s="20"/>
      <c r="E30" s="20"/>
      <c r="F30" s="20"/>
      <c r="G30">
        <v>38</v>
      </c>
      <c r="H30" s="20">
        <f t="shared" si="3"/>
        <v>22252197.131541803</v>
      </c>
    </row>
    <row r="31" spans="1:8" x14ac:dyDescent="0.2">
      <c r="A31" s="25"/>
      <c r="B31" s="20"/>
      <c r="C31" s="20"/>
      <c r="D31" s="20"/>
      <c r="E31" s="20"/>
      <c r="F31" s="20"/>
      <c r="G31">
        <v>37</v>
      </c>
      <c r="H31" s="20">
        <f t="shared" si="3"/>
        <v>22252197.131541803</v>
      </c>
    </row>
    <row r="32" spans="1:8" x14ac:dyDescent="0.2">
      <c r="A32" s="25"/>
      <c r="B32" s="20"/>
      <c r="C32" s="20"/>
      <c r="D32" s="20"/>
      <c r="E32" s="20"/>
      <c r="F32" s="20"/>
      <c r="G32">
        <v>36</v>
      </c>
      <c r="H32" s="20">
        <f t="shared" si="3"/>
        <v>22252197.131541803</v>
      </c>
    </row>
    <row r="33" spans="1:8" x14ac:dyDescent="0.2">
      <c r="A33" s="25"/>
      <c r="B33" s="20"/>
      <c r="C33" s="20"/>
      <c r="D33" s="20"/>
      <c r="E33" s="20"/>
      <c r="F33" s="20"/>
      <c r="G33">
        <v>35</v>
      </c>
      <c r="H33" s="20">
        <f t="shared" si="3"/>
        <v>22252197.131541803</v>
      </c>
    </row>
    <row r="34" spans="1:8" x14ac:dyDescent="0.2">
      <c r="A34" s="25"/>
      <c r="B34" s="20"/>
      <c r="C34" s="20"/>
      <c r="D34" s="20"/>
      <c r="E34" s="20"/>
      <c r="F34" s="20"/>
      <c r="G34">
        <v>34</v>
      </c>
      <c r="H34" s="20">
        <f t="shared" si="3"/>
        <v>22252197.131541803</v>
      </c>
    </row>
    <row r="35" spans="1:8" x14ac:dyDescent="0.2">
      <c r="A35" s="25"/>
      <c r="B35" s="20"/>
      <c r="C35" s="20"/>
      <c r="D35" s="20"/>
      <c r="E35" s="20"/>
      <c r="F35" s="20"/>
      <c r="G35">
        <v>33</v>
      </c>
      <c r="H35" s="20">
        <f t="shared" si="3"/>
        <v>22252197.131541803</v>
      </c>
    </row>
    <row r="36" spans="1:8" x14ac:dyDescent="0.2">
      <c r="A36" s="25"/>
      <c r="B36" s="20"/>
      <c r="C36" s="20"/>
      <c r="D36" s="20"/>
      <c r="E36" s="20"/>
      <c r="F36" s="20"/>
      <c r="G36">
        <v>32</v>
      </c>
      <c r="H36" s="20">
        <f t="shared" si="3"/>
        <v>22252197.131541803</v>
      </c>
    </row>
    <row r="37" spans="1:8" x14ac:dyDescent="0.2">
      <c r="A37" s="25"/>
      <c r="B37" s="20"/>
      <c r="C37" s="20"/>
      <c r="D37" s="20"/>
      <c r="E37" s="20"/>
      <c r="F37" s="20"/>
      <c r="G37">
        <v>31</v>
      </c>
      <c r="H37" s="20">
        <f t="shared" si="3"/>
        <v>22252197.131541803</v>
      </c>
    </row>
    <row r="38" spans="1:8" x14ac:dyDescent="0.2">
      <c r="A38" s="25"/>
      <c r="B38" s="20"/>
      <c r="C38" s="20"/>
      <c r="D38" s="20"/>
      <c r="E38" s="20"/>
      <c r="F38" s="20"/>
      <c r="G38">
        <v>30</v>
      </c>
      <c r="H38" s="20">
        <f t="shared" si="3"/>
        <v>22252197.131541803</v>
      </c>
    </row>
    <row r="39" spans="1:8" x14ac:dyDescent="0.2">
      <c r="A39" s="25"/>
      <c r="B39" s="20"/>
      <c r="C39" s="20"/>
      <c r="D39" s="20"/>
      <c r="E39" s="20"/>
      <c r="F39" s="20"/>
      <c r="G39">
        <v>29</v>
      </c>
      <c r="H39" s="20">
        <f t="shared" si="3"/>
        <v>22252197.131541803</v>
      </c>
    </row>
    <row r="40" spans="1:8" x14ac:dyDescent="0.2">
      <c r="A40" s="25"/>
      <c r="B40" s="20"/>
      <c r="C40" s="20"/>
      <c r="D40" s="20"/>
      <c r="E40" s="20"/>
      <c r="F40" s="20"/>
      <c r="G40">
        <v>28</v>
      </c>
      <c r="H40" s="20">
        <f t="shared" si="3"/>
        <v>22252197.131541803</v>
      </c>
    </row>
    <row r="41" spans="1:8" x14ac:dyDescent="0.2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22252197.131541803</v>
      </c>
    </row>
    <row r="42" spans="1:8" x14ac:dyDescent="0.2">
      <c r="A42" s="25"/>
      <c r="B42" s="20"/>
      <c r="C42" s="20"/>
      <c r="D42" s="20"/>
      <c r="E42" s="20"/>
      <c r="F42" s="20"/>
      <c r="G42">
        <v>26</v>
      </c>
      <c r="H42" s="20">
        <f t="shared" si="5"/>
        <v>22252197.131541803</v>
      </c>
    </row>
    <row r="43" spans="1:8" x14ac:dyDescent="0.2">
      <c r="A43" s="25"/>
      <c r="B43" s="20"/>
      <c r="C43" s="20"/>
      <c r="D43" s="20"/>
      <c r="E43" s="20"/>
      <c r="F43" s="20"/>
      <c r="G43">
        <v>25</v>
      </c>
      <c r="H43" s="20">
        <f t="shared" si="5"/>
        <v>22252197.131541803</v>
      </c>
    </row>
    <row r="44" spans="1:8" x14ac:dyDescent="0.2">
      <c r="A44" s="25"/>
      <c r="B44" s="20"/>
      <c r="C44" s="20"/>
      <c r="D44" s="20"/>
      <c r="E44" s="20"/>
      <c r="F44" s="20"/>
      <c r="G44">
        <v>24</v>
      </c>
      <c r="H44" s="20">
        <f t="shared" si="5"/>
        <v>22252197.131541803</v>
      </c>
    </row>
    <row r="45" spans="1:8" x14ac:dyDescent="0.2">
      <c r="A45" s="25"/>
      <c r="B45" s="20"/>
      <c r="C45" s="20"/>
      <c r="D45" s="20"/>
      <c r="E45" s="20"/>
      <c r="F45" s="20"/>
      <c r="G45">
        <v>23</v>
      </c>
      <c r="H45" s="20">
        <f t="shared" si="5"/>
        <v>22252197.131541803</v>
      </c>
    </row>
    <row r="46" spans="1:8" x14ac:dyDescent="0.2">
      <c r="A46" s="25"/>
      <c r="B46" s="20"/>
      <c r="C46" s="20"/>
      <c r="D46" s="20"/>
      <c r="E46" s="20"/>
      <c r="F46" s="20"/>
      <c r="G46">
        <v>22</v>
      </c>
      <c r="H46" s="20">
        <f t="shared" si="5"/>
        <v>22252197.131541803</v>
      </c>
    </row>
    <row r="47" spans="1:8" x14ac:dyDescent="0.2">
      <c r="A47" s="25"/>
      <c r="B47" s="20"/>
      <c r="C47" s="20"/>
      <c r="D47" s="20"/>
      <c r="E47" s="20"/>
      <c r="F47" s="20"/>
      <c r="G47">
        <v>21</v>
      </c>
      <c r="H47" s="20">
        <f t="shared" si="5"/>
        <v>22252197.131541803</v>
      </c>
    </row>
    <row r="48" spans="1:8" x14ac:dyDescent="0.2">
      <c r="A48" s="25"/>
      <c r="B48" s="20"/>
      <c r="C48" s="20"/>
      <c r="D48" s="20"/>
      <c r="E48" s="20"/>
      <c r="F48" s="20"/>
      <c r="G48">
        <v>20</v>
      </c>
      <c r="H48" s="20">
        <f t="shared" si="5"/>
        <v>22252197.131541803</v>
      </c>
    </row>
    <row r="49" spans="1:8" x14ac:dyDescent="0.2">
      <c r="A49" s="25"/>
      <c r="B49" s="20"/>
      <c r="C49" s="20"/>
      <c r="D49" s="20"/>
      <c r="E49" s="20"/>
      <c r="F49" s="20"/>
      <c r="G49">
        <v>19</v>
      </c>
      <c r="H49" s="20">
        <f t="shared" si="5"/>
        <v>22252197.131541803</v>
      </c>
    </row>
    <row r="50" spans="1:8" x14ac:dyDescent="0.2">
      <c r="A50" s="25"/>
      <c r="B50" s="20"/>
      <c r="C50" s="20"/>
      <c r="D50" s="20"/>
      <c r="E50" s="20"/>
      <c r="F50" s="20"/>
      <c r="G50">
        <v>18</v>
      </c>
      <c r="H50" s="20">
        <f t="shared" si="5"/>
        <v>22252197.131541803</v>
      </c>
    </row>
    <row r="51" spans="1:8" x14ac:dyDescent="0.2">
      <c r="A51" s="25"/>
      <c r="B51" s="20"/>
      <c r="C51" s="20"/>
      <c r="D51" s="20"/>
      <c r="E51" s="20"/>
      <c r="F51" s="20"/>
      <c r="G51">
        <v>17</v>
      </c>
      <c r="H51" s="20">
        <f t="shared" si="5"/>
        <v>22252197.131541803</v>
      </c>
    </row>
    <row r="52" spans="1:8" x14ac:dyDescent="0.2">
      <c r="A52" s="25"/>
      <c r="B52" s="20"/>
      <c r="C52" s="20"/>
      <c r="D52" s="20"/>
      <c r="E52" s="20"/>
      <c r="F52" s="20"/>
      <c r="G52">
        <v>16</v>
      </c>
      <c r="H52" s="20">
        <f t="shared" si="5"/>
        <v>22252197.131541803</v>
      </c>
    </row>
    <row r="53" spans="1:8" x14ac:dyDescent="0.2">
      <c r="A53" s="25"/>
      <c r="B53" s="20"/>
      <c r="C53" s="20"/>
      <c r="D53" s="20"/>
      <c r="E53" s="20"/>
      <c r="F53" s="20"/>
      <c r="G53">
        <v>15</v>
      </c>
      <c r="H53" s="20">
        <f t="shared" si="5"/>
        <v>22252197.131541803</v>
      </c>
    </row>
    <row r="54" spans="1:8" x14ac:dyDescent="0.2">
      <c r="A54" s="25"/>
      <c r="B54" s="20"/>
      <c r="C54" s="20"/>
      <c r="D54" s="20"/>
      <c r="E54" s="20"/>
      <c r="F54" s="20"/>
      <c r="G54">
        <v>14</v>
      </c>
      <c r="H54" s="20">
        <f t="shared" si="5"/>
        <v>22252197.131541803</v>
      </c>
    </row>
    <row r="55" spans="1:8" x14ac:dyDescent="0.2">
      <c r="A55" s="25"/>
      <c r="B55" s="20"/>
      <c r="C55" s="20"/>
      <c r="D55" s="20"/>
      <c r="E55" s="20"/>
      <c r="F55" s="20"/>
      <c r="G55">
        <v>13</v>
      </c>
      <c r="H55" s="20">
        <f t="shared" si="5"/>
        <v>22252197.131541803</v>
      </c>
    </row>
    <row r="56" spans="1:8" x14ac:dyDescent="0.2">
      <c r="A56" s="25"/>
      <c r="B56" s="20"/>
      <c r="C56" s="20"/>
      <c r="D56" s="20"/>
      <c r="E56" s="20"/>
      <c r="F56" s="20"/>
      <c r="G56">
        <v>12</v>
      </c>
      <c r="H56" s="20">
        <f t="shared" si="5"/>
        <v>22252197.131541803</v>
      </c>
    </row>
    <row r="57" spans="1:8" x14ac:dyDescent="0.2">
      <c r="A57" s="25"/>
      <c r="B57" s="20"/>
      <c r="C57" s="20"/>
      <c r="D57" s="20"/>
      <c r="E57" s="20"/>
      <c r="F57" s="20"/>
      <c r="G57">
        <v>11</v>
      </c>
      <c r="H57" s="20">
        <f t="shared" si="5"/>
        <v>22252197.131541803</v>
      </c>
    </row>
    <row r="58" spans="1:8" x14ac:dyDescent="0.2">
      <c r="A58" s="25"/>
      <c r="B58" s="20"/>
      <c r="C58" s="20"/>
      <c r="D58" s="20"/>
      <c r="E58" s="20"/>
      <c r="F58" s="20"/>
      <c r="G58">
        <v>10</v>
      </c>
      <c r="H58" s="20">
        <f t="shared" si="5"/>
        <v>22252197.131541803</v>
      </c>
    </row>
    <row r="59" spans="1:8" x14ac:dyDescent="0.2">
      <c r="A59" s="25"/>
      <c r="B59" s="20"/>
      <c r="C59" s="20"/>
      <c r="D59" s="20"/>
      <c r="E59" s="20"/>
      <c r="F59" s="20"/>
      <c r="G59">
        <v>9</v>
      </c>
      <c r="H59" s="20">
        <f t="shared" si="5"/>
        <v>22252197.131541803</v>
      </c>
    </row>
    <row r="60" spans="1:8" x14ac:dyDescent="0.2">
      <c r="A60" s="25"/>
      <c r="B60" s="20"/>
      <c r="C60" s="20"/>
      <c r="D60" s="20"/>
      <c r="E60" s="20"/>
      <c r="F60" s="20"/>
      <c r="G60">
        <v>8</v>
      </c>
      <c r="H60" s="20">
        <f t="shared" si="5"/>
        <v>22252197.131541803</v>
      </c>
    </row>
    <row r="61" spans="1:8" x14ac:dyDescent="0.2">
      <c r="A61" s="25"/>
      <c r="B61" s="20"/>
      <c r="C61" s="20"/>
      <c r="D61" s="20"/>
      <c r="E61" s="20"/>
      <c r="F61" s="20"/>
      <c r="G61">
        <v>7</v>
      </c>
      <c r="H61" s="20">
        <f t="shared" si="5"/>
        <v>22252197.131541803</v>
      </c>
    </row>
    <row r="62" spans="1:8" x14ac:dyDescent="0.2">
      <c r="A62" s="25"/>
      <c r="B62" s="20"/>
      <c r="C62" s="20"/>
      <c r="D62" s="20"/>
      <c r="E62" s="20"/>
      <c r="F62" s="20"/>
      <c r="G62">
        <v>6</v>
      </c>
      <c r="H62" s="20">
        <f t="shared" si="5"/>
        <v>22252197.131541803</v>
      </c>
    </row>
    <row r="63" spans="1:8" x14ac:dyDescent="0.2">
      <c r="A63" s="25"/>
      <c r="B63" s="20"/>
      <c r="C63" s="20"/>
      <c r="D63" s="20"/>
      <c r="E63" s="20"/>
      <c r="F63" s="20"/>
      <c r="G63">
        <v>5</v>
      </c>
      <c r="H63" s="20">
        <f t="shared" si="5"/>
        <v>22252197.131541803</v>
      </c>
    </row>
    <row r="64" spans="1:8" x14ac:dyDescent="0.2">
      <c r="A64" s="25"/>
      <c r="B64" s="20"/>
      <c r="C64" s="20"/>
      <c r="D64" s="20"/>
      <c r="E64" s="20"/>
      <c r="F64" s="20"/>
      <c r="G64">
        <v>4</v>
      </c>
      <c r="H64" s="20">
        <f t="shared" si="5"/>
        <v>22252197.131541803</v>
      </c>
    </row>
    <row r="65" spans="1:8" x14ac:dyDescent="0.2">
      <c r="A65" s="25"/>
      <c r="B65" s="20"/>
      <c r="C65" s="20"/>
      <c r="D65" s="20"/>
      <c r="E65" s="20"/>
      <c r="F65" s="20"/>
      <c r="G65">
        <v>3</v>
      </c>
      <c r="H65" s="20">
        <f t="shared" si="5"/>
        <v>22252197.131541803</v>
      </c>
    </row>
    <row r="66" spans="1:8" x14ac:dyDescent="0.2">
      <c r="A66" s="25"/>
      <c r="B66" s="20"/>
      <c r="C66" s="20"/>
      <c r="D66" s="20"/>
      <c r="E66" s="20"/>
      <c r="F66" s="20"/>
      <c r="G66">
        <v>2</v>
      </c>
      <c r="H66" s="20">
        <f t="shared" si="5"/>
        <v>22252197.131541803</v>
      </c>
    </row>
    <row r="67" spans="1:8" x14ac:dyDescent="0.2">
      <c r="A67" s="25"/>
      <c r="B67" s="20"/>
      <c r="C67" s="20"/>
      <c r="D67" s="20"/>
      <c r="E67" s="20"/>
      <c r="F67" s="20"/>
      <c r="G67">
        <v>1</v>
      </c>
      <c r="H67" s="20">
        <f t="shared" si="5"/>
        <v>22252197.131541803</v>
      </c>
    </row>
    <row r="68" spans="1:8" x14ac:dyDescent="0.2">
      <c r="A68" s="25"/>
      <c r="B68" s="20"/>
      <c r="C68" s="20"/>
      <c r="D68" s="20"/>
      <c r="E68" s="20"/>
      <c r="F68" s="20"/>
      <c r="G68">
        <v>0</v>
      </c>
      <c r="H68" s="20">
        <f t="shared" si="5"/>
        <v>22252197.131541803</v>
      </c>
    </row>
    <row r="69" spans="1:8" x14ac:dyDescent="0.2">
      <c r="C69" s="20"/>
      <c r="D69" s="20"/>
      <c r="E69" s="20"/>
      <c r="F69" s="20"/>
    </row>
    <row r="70" spans="1:8" x14ac:dyDescent="0.2">
      <c r="C70" s="20"/>
      <c r="D70" s="20"/>
      <c r="E70" s="20"/>
      <c r="F70" s="20"/>
    </row>
    <row r="71" spans="1:8" x14ac:dyDescent="0.2">
      <c r="C71" s="20"/>
      <c r="D71" s="20"/>
      <c r="E71" s="20"/>
      <c r="F71" s="20"/>
    </row>
    <row r="72" spans="1:8" x14ac:dyDescent="0.2">
      <c r="C72" s="20"/>
      <c r="D72" s="20"/>
      <c r="E72" s="20"/>
      <c r="F72" s="20"/>
    </row>
    <row r="73" spans="1:8" x14ac:dyDescent="0.2">
      <c r="C73" s="20"/>
      <c r="D73" s="20"/>
      <c r="E73" s="20"/>
      <c r="F73" s="20"/>
    </row>
    <row r="74" spans="1:8" x14ac:dyDescent="0.2">
      <c r="C74" s="20"/>
      <c r="D74" s="20"/>
      <c r="E74" s="20"/>
      <c r="F74" s="20"/>
    </row>
    <row r="75" spans="1:8" x14ac:dyDescent="0.2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showGridLines="0" workbookViewId="0">
      <selection activeCell="D27" sqref="D27"/>
    </sheetView>
  </sheetViews>
  <sheetFormatPr defaultRowHeight="12.75" x14ac:dyDescent="0.2"/>
  <cols>
    <col min="1" max="1" width="10.5703125" customWidth="1"/>
    <col min="2" max="2" width="12.28515625" bestFit="1" customWidth="1"/>
    <col min="3" max="3" width="13.5703125" customWidth="1"/>
    <col min="4" max="4" width="10.28515625" bestFit="1" customWidth="1"/>
    <col min="5" max="5" width="13.42578125" bestFit="1" customWidth="1"/>
    <col min="6" max="6" width="15" bestFit="1" customWidth="1"/>
    <col min="7" max="8" width="12.28515625" bestFit="1" customWidth="1"/>
    <col min="9" max="9" width="7.28515625" bestFit="1" customWidth="1"/>
    <col min="10" max="10" width="5.28515625" bestFit="1" customWidth="1"/>
    <col min="11" max="11" width="11.28515625" bestFit="1" customWidth="1"/>
    <col min="12" max="12" width="13.42578125" bestFit="1" customWidth="1"/>
  </cols>
  <sheetData>
    <row r="1" spans="1:11" x14ac:dyDescent="0.2">
      <c r="A1" t="s">
        <v>76</v>
      </c>
    </row>
    <row r="2" spans="1:11" x14ac:dyDescent="0.2">
      <c r="A2" t="s">
        <v>88</v>
      </c>
      <c r="B2" s="25">
        <f>'Credit Analysis'!B3</f>
        <v>36858</v>
      </c>
    </row>
    <row r="4" spans="1:11" s="42" customFormat="1" ht="26.25" thickBot="1" x14ac:dyDescent="0.25">
      <c r="A4" s="43" t="s">
        <v>77</v>
      </c>
      <c r="B4" s="43" t="s">
        <v>25</v>
      </c>
      <c r="C4" s="43" t="s">
        <v>81</v>
      </c>
      <c r="D4" s="43" t="s">
        <v>82</v>
      </c>
      <c r="E4" s="43" t="s">
        <v>83</v>
      </c>
      <c r="F4" s="43" t="s">
        <v>84</v>
      </c>
      <c r="G4" s="43" t="s">
        <v>95</v>
      </c>
      <c r="H4" s="43" t="s">
        <v>73</v>
      </c>
      <c r="I4" s="43" t="s">
        <v>85</v>
      </c>
      <c r="J4" s="43" t="s">
        <v>87</v>
      </c>
      <c r="K4" s="43" t="s">
        <v>93</v>
      </c>
    </row>
    <row r="5" spans="1:11" x14ac:dyDescent="0.2">
      <c r="A5" t="s">
        <v>78</v>
      </c>
      <c r="B5" s="25">
        <v>36616</v>
      </c>
      <c r="C5" s="27">
        <v>33832</v>
      </c>
      <c r="D5" s="44">
        <v>591</v>
      </c>
      <c r="E5" s="20">
        <f>C5*D5</f>
        <v>19994712</v>
      </c>
      <c r="F5" s="28">
        <v>18023750</v>
      </c>
      <c r="G5" s="28">
        <f>'A Amort'!E5</f>
        <v>18133795.006944444</v>
      </c>
      <c r="H5" s="28">
        <v>1976250</v>
      </c>
      <c r="I5" s="45">
        <v>0.15</v>
      </c>
      <c r="J5" s="27">
        <f>B2-B5</f>
        <v>242</v>
      </c>
      <c r="K5">
        <f>'A Amort'!N5</f>
        <v>1999306.25</v>
      </c>
    </row>
    <row r="6" spans="1:11" x14ac:dyDescent="0.2">
      <c r="A6" t="s">
        <v>79</v>
      </c>
      <c r="B6" s="25">
        <v>36798</v>
      </c>
      <c r="C6" s="27">
        <v>42291</v>
      </c>
      <c r="D6" s="44">
        <f>(F6+H6)/C6</f>
        <v>2150</v>
      </c>
      <c r="E6" s="20">
        <f>C6*D6</f>
        <v>90925650</v>
      </c>
      <c r="F6" s="28">
        <v>86971504</v>
      </c>
      <c r="G6" s="28">
        <f>'B_D Amort'!E5</f>
        <v>87540442.588666663</v>
      </c>
      <c r="H6" s="28">
        <v>3954146</v>
      </c>
      <c r="I6" s="45">
        <v>0.15</v>
      </c>
      <c r="J6" s="27">
        <f>B2-B6</f>
        <v>60</v>
      </c>
      <c r="K6" s="41">
        <f>'B_D Amort'!N5</f>
        <v>4003572.8250000002</v>
      </c>
    </row>
    <row r="7" spans="1:11" x14ac:dyDescent="0.2">
      <c r="A7" t="s">
        <v>80</v>
      </c>
      <c r="B7" s="25">
        <v>36766</v>
      </c>
      <c r="C7" s="27">
        <v>13955</v>
      </c>
      <c r="D7" s="44">
        <f>(F7+H7)/C7</f>
        <v>2150.6162665711213</v>
      </c>
      <c r="E7" s="20">
        <f>C7*D7</f>
        <v>30011849.999999996</v>
      </c>
      <c r="F7" s="28">
        <v>29111495</v>
      </c>
      <c r="G7" s="28">
        <f>'C Amort'!E5</f>
        <v>29111495</v>
      </c>
      <c r="H7" s="28">
        <v>900355</v>
      </c>
      <c r="I7" s="45">
        <v>0.15</v>
      </c>
      <c r="J7" s="27">
        <f>B2-B7</f>
        <v>92</v>
      </c>
      <c r="K7" s="41">
        <f>'C Amort'!N5</f>
        <v>900355</v>
      </c>
    </row>
    <row r="8" spans="1:11" ht="13.5" thickBot="1" x14ac:dyDescent="0.25">
      <c r="C8" s="35">
        <f>SUM(C5:C7)</f>
        <v>90078</v>
      </c>
      <c r="E8" s="50">
        <f>SUM(E5:E7)</f>
        <v>140932212</v>
      </c>
      <c r="F8" s="35">
        <f>SUM(F5:F7)</f>
        <v>134106749</v>
      </c>
      <c r="G8" s="35">
        <f>SUM(G5:G7)</f>
        <v>134785732.5956111</v>
      </c>
      <c r="H8" s="35">
        <f>SUM(H5:H7)</f>
        <v>6830751</v>
      </c>
      <c r="K8" s="35">
        <f>SUM(K5:K7)</f>
        <v>6903234.0750000002</v>
      </c>
    </row>
    <row r="9" spans="1:11" ht="13.5" thickTop="1" x14ac:dyDescent="0.2">
      <c r="C9" s="12"/>
    </row>
    <row r="10" spans="1:11" x14ac:dyDescent="0.2">
      <c r="A10" t="s">
        <v>104</v>
      </c>
      <c r="B10" s="48">
        <f>'Notional Analysis'!D7</f>
        <v>21</v>
      </c>
    </row>
    <row r="11" spans="1:11" x14ac:dyDescent="0.2">
      <c r="A11" t="s">
        <v>75</v>
      </c>
      <c r="B11" s="48">
        <f>'Credit Analysis'!B8</f>
        <v>7</v>
      </c>
    </row>
    <row r="13" spans="1:11" x14ac:dyDescent="0.2">
      <c r="A13" s="95" t="s">
        <v>120</v>
      </c>
      <c r="B13" s="95"/>
      <c r="C13" s="95"/>
      <c r="D13" s="95"/>
    </row>
    <row r="14" spans="1:11" ht="13.5" thickBot="1" x14ac:dyDescent="0.25">
      <c r="A14" s="64"/>
      <c r="B14" s="55" t="s">
        <v>118</v>
      </c>
      <c r="C14" s="55" t="s">
        <v>119</v>
      </c>
      <c r="D14" s="64"/>
    </row>
    <row r="15" spans="1:11" x14ac:dyDescent="0.2">
      <c r="A15" t="s">
        <v>78</v>
      </c>
      <c r="B15" s="28">
        <f>'A TRS'!B19</f>
        <v>0</v>
      </c>
      <c r="C15" s="28">
        <f>'A TRS'!B20</f>
        <v>94729600</v>
      </c>
    </row>
    <row r="16" spans="1:11" x14ac:dyDescent="0.2">
      <c r="A16" t="s">
        <v>79</v>
      </c>
      <c r="B16" s="28">
        <f>'B_D TRS'!B19</f>
        <v>0</v>
      </c>
      <c r="C16" s="28">
        <f>'B_D TRS'!B20</f>
        <v>114460654</v>
      </c>
    </row>
    <row r="17" spans="1:3" x14ac:dyDescent="0.2">
      <c r="A17" t="s">
        <v>80</v>
      </c>
      <c r="B17" s="28">
        <f>'C TRS'!B19</f>
        <v>0</v>
      </c>
      <c r="C17" s="28">
        <f>'C TRS'!B20</f>
        <v>38173645</v>
      </c>
    </row>
    <row r="18" spans="1:3" ht="13.5" thickBot="1" x14ac:dyDescent="0.25">
      <c r="A18" s="1" t="s">
        <v>125</v>
      </c>
      <c r="B18" s="50">
        <f>SUM(B15:B17)</f>
        <v>0</v>
      </c>
      <c r="C18" s="50">
        <f>SUM(C15:C17)</f>
        <v>247363899</v>
      </c>
    </row>
    <row r="19" spans="1:3" ht="13.5" thickTop="1" x14ac:dyDescent="0.2"/>
  </sheetData>
  <sheetProtection sheet="1" objects="1" scenarios="1"/>
  <mergeCells count="1">
    <mergeCell ref="A13:D1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showGridLines="0" topLeftCell="C1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28515625" bestFit="1" customWidth="1"/>
    <col min="2" max="2" width="12.28515625" customWidth="1"/>
    <col min="3" max="3" width="8.140625" style="45" bestFit="1" customWidth="1"/>
    <col min="4" max="4" width="12" bestFit="1" customWidth="1"/>
    <col min="5" max="5" width="12.42578125" bestFit="1" customWidth="1"/>
    <col min="6" max="6" width="12.28515625" style="41" customWidth="1"/>
    <col min="7" max="7" width="12.7109375" style="41" bestFit="1" customWidth="1"/>
    <col min="8" max="8" width="12.28515625" customWidth="1"/>
    <col min="10" max="10" width="11.7109375" customWidth="1"/>
    <col min="11" max="11" width="12.42578125" bestFit="1" customWidth="1"/>
    <col min="12" max="12" width="10.42578125" bestFit="1" customWidth="1"/>
    <col min="13" max="13" width="13.5703125" style="41" bestFit="1" customWidth="1"/>
    <col min="14" max="15" width="11.5703125" bestFit="1" customWidth="1"/>
  </cols>
  <sheetData>
    <row r="1" spans="1:15" x14ac:dyDescent="0.2">
      <c r="A1" s="1" t="s">
        <v>132</v>
      </c>
      <c r="F1"/>
      <c r="G1" s="41" t="s">
        <v>94</v>
      </c>
      <c r="H1" s="25">
        <f>'Credit Analysis'!B3</f>
        <v>36858</v>
      </c>
      <c r="K1" s="1" t="s">
        <v>133</v>
      </c>
      <c r="M1"/>
      <c r="N1" s="41"/>
    </row>
    <row r="2" spans="1:15" x14ac:dyDescent="0.2">
      <c r="D2" t="s">
        <v>87</v>
      </c>
      <c r="E2" s="27">
        <f>H1-H2</f>
        <v>28</v>
      </c>
      <c r="F2"/>
      <c r="G2" s="41" t="s">
        <v>99</v>
      </c>
      <c r="H2" s="25">
        <f>VLOOKUP(H1,A_Debt,1)</f>
        <v>36830</v>
      </c>
      <c r="M2"/>
      <c r="N2" s="41"/>
    </row>
    <row r="3" spans="1:15" x14ac:dyDescent="0.2">
      <c r="A3" t="s">
        <v>31</v>
      </c>
      <c r="B3" s="28">
        <f>'Hawaii Summary'!F5</f>
        <v>18023750</v>
      </c>
      <c r="D3" t="s">
        <v>36</v>
      </c>
      <c r="E3" s="28">
        <f>VLOOKUP($H$1,A_Debt,8)</f>
        <v>18023750</v>
      </c>
      <c r="H3" s="25"/>
      <c r="J3" s="1" t="s">
        <v>31</v>
      </c>
      <c r="K3" s="28">
        <f>'Hawaii Summary'!H5</f>
        <v>1976250</v>
      </c>
      <c r="M3" t="s">
        <v>36</v>
      </c>
      <c r="N3" s="28">
        <f>VLOOKUP($H$1,A_Equity,6)</f>
        <v>1976250</v>
      </c>
    </row>
    <row r="4" spans="1:15" x14ac:dyDescent="0.2">
      <c r="A4" t="s">
        <v>25</v>
      </c>
      <c r="B4" s="25">
        <f>'Hawaii Summary'!B5</f>
        <v>36616</v>
      </c>
      <c r="D4" t="s">
        <v>98</v>
      </c>
      <c r="E4" s="28">
        <f>F4*$E$2/30</f>
        <v>110045.00694444447</v>
      </c>
      <c r="F4" s="41">
        <f>VLOOKUP($H$1+30,A_Debt,5)</f>
        <v>117905.36458333336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23056.25</v>
      </c>
      <c r="O4" s="41">
        <f>VLOOKUP($H$1+30,A_Equity,3)</f>
        <v>24703.125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134</v>
      </c>
      <c r="E5" s="50">
        <f>E3+E4</f>
        <v>18133795.006944444</v>
      </c>
      <c r="H5" s="27"/>
      <c r="J5" s="1" t="s">
        <v>33</v>
      </c>
      <c r="K5" s="27">
        <f>COUNT(J8:J53)-1</f>
        <v>45</v>
      </c>
      <c r="M5" t="s">
        <v>135</v>
      </c>
      <c r="N5" s="17">
        <f>SUM(N3:N4)</f>
        <v>1999306.25</v>
      </c>
    </row>
    <row r="6" spans="1:15" ht="13.5" thickTop="1" x14ac:dyDescent="0.2">
      <c r="E6" s="27"/>
      <c r="J6" s="1" t="s">
        <v>34</v>
      </c>
      <c r="K6" s="24">
        <f>PMT(K4/12,K5,-K3)</f>
        <v>57686.972211215965</v>
      </c>
    </row>
    <row r="7" spans="1:15" s="37" customFormat="1" ht="26.25" thickBot="1" x14ac:dyDescent="0.25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">
      <c r="A8" s="25">
        <f>B4</f>
        <v>36616</v>
      </c>
      <c r="B8" s="20">
        <f>B3</f>
        <v>18023750</v>
      </c>
      <c r="H8" s="20">
        <f>B8-G8</f>
        <v>18023750</v>
      </c>
      <c r="J8" s="25">
        <f>A8</f>
        <v>36616</v>
      </c>
      <c r="K8" s="28">
        <f>K3</f>
        <v>1976250</v>
      </c>
      <c r="N8" s="41">
        <f>M8-L8</f>
        <v>0</v>
      </c>
      <c r="O8" s="20">
        <f>K8-N8</f>
        <v>1976250</v>
      </c>
    </row>
    <row r="9" spans="1:15" x14ac:dyDescent="0.2">
      <c r="A9" s="58">
        <v>36646</v>
      </c>
      <c r="B9" s="20">
        <f>H8</f>
        <v>18023750</v>
      </c>
      <c r="C9" s="45">
        <v>6.4500000000000002E-2</v>
      </c>
      <c r="D9" s="22">
        <f t="shared" ref="D9:D19" si="0">C9+0.005+0.0055</f>
        <v>7.5000000000000011E-2</v>
      </c>
      <c r="E9" s="28">
        <f>B9*D9/12</f>
        <v>112648.43750000001</v>
      </c>
      <c r="F9" s="20">
        <f>E9</f>
        <v>112648.43750000001</v>
      </c>
      <c r="G9" s="41">
        <f>F9-E9</f>
        <v>0</v>
      </c>
      <c r="H9" s="20">
        <f t="shared" ref="H9:H53" si="1">B9-G9</f>
        <v>18023750</v>
      </c>
      <c r="J9" s="58">
        <f t="shared" ref="J9:J53" si="2">A9</f>
        <v>36646</v>
      </c>
      <c r="K9" s="20">
        <f>O8</f>
        <v>1976250</v>
      </c>
      <c r="L9" s="12">
        <f>K9*$K$4/12</f>
        <v>24703.125</v>
      </c>
      <c r="M9" s="12">
        <f>L9</f>
        <v>24703.125</v>
      </c>
      <c r="N9" s="41">
        <f>M9-L9</f>
        <v>0</v>
      </c>
      <c r="O9" s="20">
        <f t="shared" ref="O9:O53" si="3">K9-N9</f>
        <v>1976250</v>
      </c>
    </row>
    <row r="10" spans="1:15" x14ac:dyDescent="0.2">
      <c r="A10" s="25">
        <v>36677</v>
      </c>
      <c r="B10" s="20">
        <f t="shared" ref="B10:B53" si="4">H9</f>
        <v>18023750</v>
      </c>
      <c r="C10" s="45">
        <f>C9+0.00045</f>
        <v>6.4950000000000008E-2</v>
      </c>
      <c r="D10" s="22">
        <f t="shared" si="0"/>
        <v>7.5450000000000017E-2</v>
      </c>
      <c r="E10" s="28">
        <f t="shared" ref="E10:E53" si="5">B10*D10/12</f>
        <v>113324.32812500001</v>
      </c>
      <c r="F10" s="20">
        <f t="shared" ref="F10:F52" si="6">E10</f>
        <v>113324.32812500001</v>
      </c>
      <c r="G10" s="41">
        <f t="shared" ref="G10:G53" si="7">F10-E10</f>
        <v>0</v>
      </c>
      <c r="H10" s="20">
        <f t="shared" si="1"/>
        <v>18023750</v>
      </c>
      <c r="J10" s="25">
        <f t="shared" si="2"/>
        <v>36677</v>
      </c>
      <c r="K10" s="20">
        <f t="shared" ref="K10:K53" si="8">O9</f>
        <v>1976250</v>
      </c>
      <c r="L10" s="12">
        <f t="shared" ref="L10:L53" si="9">K10*$K$4/12</f>
        <v>24703.125</v>
      </c>
      <c r="M10" s="41">
        <f t="shared" ref="M10:M52" si="10">M9</f>
        <v>24703.125</v>
      </c>
      <c r="N10" s="41">
        <f t="shared" ref="N10:N52" si="11">M10-L10</f>
        <v>0</v>
      </c>
      <c r="O10" s="20">
        <f t="shared" si="3"/>
        <v>1976250</v>
      </c>
    </row>
    <row r="11" spans="1:15" x14ac:dyDescent="0.2">
      <c r="A11" s="25">
        <v>36707</v>
      </c>
      <c r="B11" s="20">
        <f t="shared" si="4"/>
        <v>18023750</v>
      </c>
      <c r="C11" s="45">
        <f>C10+0.00045</f>
        <v>6.5400000000000014E-2</v>
      </c>
      <c r="D11" s="22">
        <f t="shared" si="0"/>
        <v>7.5900000000000023E-2</v>
      </c>
      <c r="E11" s="28">
        <f t="shared" si="5"/>
        <v>114000.21875000004</v>
      </c>
      <c r="F11" s="20">
        <f t="shared" si="6"/>
        <v>114000.21875000004</v>
      </c>
      <c r="G11" s="41">
        <f t="shared" si="7"/>
        <v>0</v>
      </c>
      <c r="H11" s="20">
        <f t="shared" si="1"/>
        <v>18023750</v>
      </c>
      <c r="J11" s="25">
        <f t="shared" si="2"/>
        <v>36707</v>
      </c>
      <c r="K11" s="20">
        <f t="shared" si="8"/>
        <v>1976250</v>
      </c>
      <c r="L11" s="12">
        <f t="shared" si="9"/>
        <v>24703.125</v>
      </c>
      <c r="M11" s="41">
        <f t="shared" si="10"/>
        <v>24703.125</v>
      </c>
      <c r="N11" s="41">
        <f t="shared" si="11"/>
        <v>0</v>
      </c>
      <c r="O11" s="20">
        <f t="shared" si="3"/>
        <v>1976250</v>
      </c>
    </row>
    <row r="12" spans="1:15" x14ac:dyDescent="0.2">
      <c r="A12" s="58">
        <v>36738</v>
      </c>
      <c r="B12" s="20">
        <f t="shared" si="4"/>
        <v>18023750</v>
      </c>
      <c r="C12" s="45">
        <f>C11+0.00045</f>
        <v>6.585000000000002E-2</v>
      </c>
      <c r="D12" s="22">
        <f t="shared" si="0"/>
        <v>7.6350000000000029E-2</v>
      </c>
      <c r="E12" s="28">
        <f t="shared" si="5"/>
        <v>114676.10937500004</v>
      </c>
      <c r="F12" s="20">
        <f t="shared" si="6"/>
        <v>114676.10937500004</v>
      </c>
      <c r="G12" s="41">
        <f t="shared" si="7"/>
        <v>0</v>
      </c>
      <c r="H12" s="20">
        <f t="shared" si="1"/>
        <v>18023750</v>
      </c>
      <c r="J12" s="25">
        <f t="shared" si="2"/>
        <v>36738</v>
      </c>
      <c r="K12" s="20">
        <f t="shared" si="8"/>
        <v>1976250</v>
      </c>
      <c r="L12" s="12">
        <f t="shared" si="9"/>
        <v>24703.125</v>
      </c>
      <c r="M12" s="41">
        <f t="shared" si="10"/>
        <v>24703.125</v>
      </c>
      <c r="N12" s="41">
        <f t="shared" si="11"/>
        <v>0</v>
      </c>
      <c r="O12" s="20">
        <f t="shared" si="3"/>
        <v>1976250</v>
      </c>
    </row>
    <row r="13" spans="1:15" x14ac:dyDescent="0.2">
      <c r="A13" s="25">
        <v>36769</v>
      </c>
      <c r="B13" s="20">
        <f t="shared" si="4"/>
        <v>18023750</v>
      </c>
      <c r="C13" s="45">
        <f>C12+0.00045</f>
        <v>6.6300000000000026E-2</v>
      </c>
      <c r="D13" s="22">
        <f t="shared" si="0"/>
        <v>7.6800000000000035E-2</v>
      </c>
      <c r="E13" s="28">
        <f t="shared" si="5"/>
        <v>115352.00000000006</v>
      </c>
      <c r="F13" s="20">
        <f t="shared" si="6"/>
        <v>115352.00000000006</v>
      </c>
      <c r="G13" s="41">
        <f t="shared" si="7"/>
        <v>0</v>
      </c>
      <c r="H13" s="20">
        <f t="shared" si="1"/>
        <v>18023750</v>
      </c>
      <c r="J13" s="25">
        <f t="shared" si="2"/>
        <v>36769</v>
      </c>
      <c r="K13" s="20">
        <f t="shared" si="8"/>
        <v>1976250</v>
      </c>
      <c r="L13" s="12">
        <f t="shared" si="9"/>
        <v>24703.125</v>
      </c>
      <c r="M13" s="41">
        <f t="shared" si="10"/>
        <v>24703.125</v>
      </c>
      <c r="N13" s="41">
        <f t="shared" si="11"/>
        <v>0</v>
      </c>
      <c r="O13" s="20">
        <f t="shared" si="3"/>
        <v>1976250</v>
      </c>
    </row>
    <row r="14" spans="1:15" x14ac:dyDescent="0.2">
      <c r="A14" s="25">
        <v>36799</v>
      </c>
      <c r="B14" s="20">
        <f t="shared" si="4"/>
        <v>18023750</v>
      </c>
      <c r="C14" s="45">
        <f>C13+0.00045</f>
        <v>6.6750000000000032E-2</v>
      </c>
      <c r="D14" s="22">
        <f t="shared" si="0"/>
        <v>7.7250000000000041E-2</v>
      </c>
      <c r="E14" s="28">
        <f t="shared" si="5"/>
        <v>116027.89062500006</v>
      </c>
      <c r="F14" s="20">
        <f t="shared" si="6"/>
        <v>116027.89062500006</v>
      </c>
      <c r="G14" s="41">
        <f t="shared" si="7"/>
        <v>0</v>
      </c>
      <c r="H14" s="20">
        <f t="shared" si="1"/>
        <v>18023750</v>
      </c>
      <c r="J14" s="25">
        <f t="shared" si="2"/>
        <v>36799</v>
      </c>
      <c r="K14" s="20">
        <f t="shared" si="8"/>
        <v>1976250</v>
      </c>
      <c r="L14" s="12">
        <f t="shared" si="9"/>
        <v>24703.125</v>
      </c>
      <c r="M14" s="41">
        <f t="shared" si="10"/>
        <v>24703.125</v>
      </c>
      <c r="N14" s="41">
        <f t="shared" si="11"/>
        <v>0</v>
      </c>
      <c r="O14" s="20">
        <f t="shared" si="3"/>
        <v>1976250</v>
      </c>
    </row>
    <row r="15" spans="1:15" x14ac:dyDescent="0.2">
      <c r="A15" s="58">
        <v>36830</v>
      </c>
      <c r="B15" s="20">
        <f t="shared" si="4"/>
        <v>18023750</v>
      </c>
      <c r="C15" s="45">
        <v>6.7199999999999996E-2</v>
      </c>
      <c r="D15" s="22">
        <f t="shared" si="0"/>
        <v>7.7700000000000005E-2</v>
      </c>
      <c r="E15" s="28">
        <f t="shared" si="5"/>
        <v>116703.78125</v>
      </c>
      <c r="F15" s="20">
        <f t="shared" si="6"/>
        <v>116703.78125</v>
      </c>
      <c r="G15" s="41">
        <f t="shared" si="7"/>
        <v>0</v>
      </c>
      <c r="H15" s="20">
        <f t="shared" si="1"/>
        <v>18023750</v>
      </c>
      <c r="J15" s="25">
        <f t="shared" si="2"/>
        <v>36830</v>
      </c>
      <c r="K15" s="20">
        <f t="shared" si="8"/>
        <v>1976250</v>
      </c>
      <c r="L15" s="12">
        <f t="shared" si="9"/>
        <v>24703.125</v>
      </c>
      <c r="M15" s="41">
        <f t="shared" si="10"/>
        <v>24703.125</v>
      </c>
      <c r="N15" s="41">
        <f t="shared" si="11"/>
        <v>0</v>
      </c>
      <c r="O15" s="20">
        <f t="shared" si="3"/>
        <v>1976250</v>
      </c>
    </row>
    <row r="16" spans="1:15" x14ac:dyDescent="0.2">
      <c r="A16" s="25">
        <v>36860</v>
      </c>
      <c r="B16" s="20">
        <f t="shared" si="4"/>
        <v>18023750</v>
      </c>
      <c r="C16" s="45">
        <v>6.8000000000000005E-2</v>
      </c>
      <c r="D16" s="22">
        <f t="shared" si="0"/>
        <v>7.8500000000000014E-2</v>
      </c>
      <c r="E16" s="28">
        <f t="shared" si="5"/>
        <v>117905.36458333336</v>
      </c>
      <c r="F16" s="20">
        <f t="shared" si="6"/>
        <v>117905.36458333336</v>
      </c>
      <c r="G16" s="41">
        <f t="shared" si="7"/>
        <v>0</v>
      </c>
      <c r="H16" s="20">
        <f t="shared" si="1"/>
        <v>18023750</v>
      </c>
      <c r="J16" s="25">
        <f t="shared" si="2"/>
        <v>36860</v>
      </c>
      <c r="K16" s="20">
        <f t="shared" si="8"/>
        <v>1976250</v>
      </c>
      <c r="L16" s="12">
        <f t="shared" si="9"/>
        <v>24703.125</v>
      </c>
      <c r="M16" s="41">
        <f t="shared" si="10"/>
        <v>24703.125</v>
      </c>
      <c r="N16" s="41">
        <f t="shared" si="11"/>
        <v>0</v>
      </c>
      <c r="O16" s="20">
        <f t="shared" si="3"/>
        <v>1976250</v>
      </c>
    </row>
    <row r="17" spans="1:15" x14ac:dyDescent="0.2">
      <c r="A17" s="25">
        <v>36891</v>
      </c>
      <c r="B17" s="20">
        <f t="shared" si="4"/>
        <v>18023750</v>
      </c>
      <c r="C17" s="45">
        <v>6.8099999999999994E-2</v>
      </c>
      <c r="D17" s="22">
        <f t="shared" si="0"/>
        <v>7.8600000000000003E-2</v>
      </c>
      <c r="E17" s="28">
        <f t="shared" si="5"/>
        <v>118055.5625</v>
      </c>
      <c r="F17" s="20">
        <f t="shared" si="6"/>
        <v>118055.5625</v>
      </c>
      <c r="G17" s="41">
        <f t="shared" si="7"/>
        <v>0</v>
      </c>
      <c r="H17" s="20">
        <f t="shared" si="1"/>
        <v>18023750</v>
      </c>
      <c r="J17" s="25">
        <f t="shared" si="2"/>
        <v>36891</v>
      </c>
      <c r="K17" s="20">
        <f t="shared" si="8"/>
        <v>1976250</v>
      </c>
      <c r="L17" s="12">
        <f t="shared" si="9"/>
        <v>24703.125</v>
      </c>
      <c r="M17" s="41">
        <f t="shared" si="10"/>
        <v>24703.125</v>
      </c>
      <c r="N17" s="41">
        <f t="shared" si="11"/>
        <v>0</v>
      </c>
      <c r="O17" s="20">
        <f t="shared" si="3"/>
        <v>1976250</v>
      </c>
    </row>
    <row r="18" spans="1:15" x14ac:dyDescent="0.2">
      <c r="A18" s="58">
        <v>36922</v>
      </c>
      <c r="B18" s="20">
        <f t="shared" si="4"/>
        <v>18023750</v>
      </c>
      <c r="C18" s="45">
        <v>6.83E-2</v>
      </c>
      <c r="D18" s="22">
        <f t="shared" si="0"/>
        <v>7.8800000000000009E-2</v>
      </c>
      <c r="E18" s="28">
        <f t="shared" si="5"/>
        <v>118355.95833333336</v>
      </c>
      <c r="F18" s="20">
        <f t="shared" si="6"/>
        <v>118355.95833333336</v>
      </c>
      <c r="G18" s="41">
        <f t="shared" si="7"/>
        <v>0</v>
      </c>
      <c r="H18" s="20">
        <f t="shared" si="1"/>
        <v>18023750</v>
      </c>
      <c r="J18" s="25">
        <f t="shared" si="2"/>
        <v>36922</v>
      </c>
      <c r="K18" s="20">
        <f t="shared" si="8"/>
        <v>1976250</v>
      </c>
      <c r="L18" s="12">
        <f t="shared" si="9"/>
        <v>24703.125</v>
      </c>
      <c r="M18" s="41">
        <f t="shared" si="10"/>
        <v>24703.125</v>
      </c>
      <c r="N18" s="41">
        <f t="shared" si="11"/>
        <v>0</v>
      </c>
      <c r="O18" s="20">
        <f t="shared" si="3"/>
        <v>1976250</v>
      </c>
    </row>
    <row r="19" spans="1:15" x14ac:dyDescent="0.2">
      <c r="A19" s="25">
        <v>36950</v>
      </c>
      <c r="B19" s="20">
        <f t="shared" si="4"/>
        <v>18023750</v>
      </c>
      <c r="C19" s="45">
        <v>6.83E-2</v>
      </c>
      <c r="D19" s="22">
        <f t="shared" si="0"/>
        <v>7.8800000000000009E-2</v>
      </c>
      <c r="E19" s="28">
        <f t="shared" si="5"/>
        <v>118355.95833333336</v>
      </c>
      <c r="F19" s="20">
        <f t="shared" si="6"/>
        <v>118355.95833333336</v>
      </c>
      <c r="G19" s="41">
        <f t="shared" si="7"/>
        <v>0</v>
      </c>
      <c r="H19" s="20">
        <f t="shared" si="1"/>
        <v>18023750</v>
      </c>
      <c r="J19" s="25">
        <f t="shared" si="2"/>
        <v>36950</v>
      </c>
      <c r="K19" s="20">
        <f t="shared" si="8"/>
        <v>1976250</v>
      </c>
      <c r="L19" s="12">
        <f t="shared" si="9"/>
        <v>24703.125</v>
      </c>
      <c r="M19" s="41">
        <f t="shared" si="10"/>
        <v>24703.125</v>
      </c>
      <c r="N19" s="41">
        <f t="shared" si="11"/>
        <v>0</v>
      </c>
      <c r="O19" s="20">
        <f t="shared" si="3"/>
        <v>1976250</v>
      </c>
    </row>
    <row r="20" spans="1:15" x14ac:dyDescent="0.2">
      <c r="A20" s="25">
        <v>36981</v>
      </c>
      <c r="B20" s="20">
        <f t="shared" si="4"/>
        <v>18023750</v>
      </c>
      <c r="C20" s="45">
        <v>6.83E-2</v>
      </c>
      <c r="D20" s="22">
        <f>C20+0.005+0.0055</f>
        <v>7.8800000000000009E-2</v>
      </c>
      <c r="E20" s="28">
        <f t="shared" si="5"/>
        <v>118355.95833333336</v>
      </c>
      <c r="F20" s="20">
        <f t="shared" si="6"/>
        <v>118355.95833333336</v>
      </c>
      <c r="G20" s="41">
        <f t="shared" si="7"/>
        <v>0</v>
      </c>
      <c r="H20" s="20">
        <f t="shared" si="1"/>
        <v>18023750</v>
      </c>
      <c r="J20" s="25">
        <f t="shared" si="2"/>
        <v>36981</v>
      </c>
      <c r="K20" s="20">
        <f t="shared" si="8"/>
        <v>1976250</v>
      </c>
      <c r="L20" s="12">
        <f t="shared" si="9"/>
        <v>24703.125</v>
      </c>
      <c r="M20" s="41">
        <f t="shared" si="10"/>
        <v>24703.125</v>
      </c>
      <c r="N20" s="41">
        <f t="shared" si="11"/>
        <v>0</v>
      </c>
      <c r="O20" s="20">
        <f t="shared" si="3"/>
        <v>1976250</v>
      </c>
    </row>
    <row r="21" spans="1:15" x14ac:dyDescent="0.2">
      <c r="A21" s="58">
        <v>37011</v>
      </c>
      <c r="B21" s="20">
        <f t="shared" si="4"/>
        <v>18023750</v>
      </c>
      <c r="C21" s="45">
        <v>6.8500000000000005E-2</v>
      </c>
      <c r="D21" s="22">
        <f t="shared" ref="D21:D53" si="12">C21+0.005+0.0055</f>
        <v>7.9000000000000015E-2</v>
      </c>
      <c r="E21" s="28">
        <f t="shared" si="5"/>
        <v>118656.35416666669</v>
      </c>
      <c r="F21" s="20">
        <f t="shared" si="6"/>
        <v>118656.35416666669</v>
      </c>
      <c r="G21" s="41">
        <f t="shared" si="7"/>
        <v>0</v>
      </c>
      <c r="H21" s="20">
        <f t="shared" si="1"/>
        <v>18023750</v>
      </c>
      <c r="J21" s="25">
        <f t="shared" si="2"/>
        <v>37011</v>
      </c>
      <c r="K21" s="20">
        <f t="shared" si="8"/>
        <v>1976250</v>
      </c>
      <c r="L21" s="12">
        <f t="shared" si="9"/>
        <v>24703.125</v>
      </c>
      <c r="M21" s="41">
        <f t="shared" si="10"/>
        <v>24703.125</v>
      </c>
      <c r="N21" s="41">
        <f t="shared" si="11"/>
        <v>0</v>
      </c>
      <c r="O21" s="20">
        <f t="shared" si="3"/>
        <v>1976250</v>
      </c>
    </row>
    <row r="22" spans="1:15" x14ac:dyDescent="0.2">
      <c r="A22" s="25">
        <v>37042</v>
      </c>
      <c r="B22" s="20">
        <f t="shared" si="4"/>
        <v>18023750</v>
      </c>
      <c r="C22" s="45">
        <v>6.8699999999999997E-2</v>
      </c>
      <c r="D22" s="22">
        <f t="shared" si="12"/>
        <v>7.9200000000000007E-2</v>
      </c>
      <c r="E22" s="28">
        <f t="shared" si="5"/>
        <v>118956.75000000001</v>
      </c>
      <c r="F22" s="20">
        <f t="shared" si="6"/>
        <v>118956.75000000001</v>
      </c>
      <c r="G22" s="41">
        <f t="shared" si="7"/>
        <v>0</v>
      </c>
      <c r="H22" s="20">
        <f t="shared" si="1"/>
        <v>18023750</v>
      </c>
      <c r="J22" s="25">
        <f t="shared" si="2"/>
        <v>37042</v>
      </c>
      <c r="K22" s="20">
        <f t="shared" si="8"/>
        <v>1976250</v>
      </c>
      <c r="L22" s="12">
        <f t="shared" si="9"/>
        <v>24703.125</v>
      </c>
      <c r="M22" s="41">
        <f t="shared" si="10"/>
        <v>24703.125</v>
      </c>
      <c r="N22" s="41">
        <f t="shared" si="11"/>
        <v>0</v>
      </c>
      <c r="O22" s="20">
        <f t="shared" si="3"/>
        <v>1976250</v>
      </c>
    </row>
    <row r="23" spans="1:15" x14ac:dyDescent="0.2">
      <c r="A23" s="25">
        <v>37072</v>
      </c>
      <c r="B23" s="20">
        <f t="shared" si="4"/>
        <v>18023750</v>
      </c>
      <c r="C23" s="45">
        <v>6.8900000000000003E-2</v>
      </c>
      <c r="D23" s="22">
        <f t="shared" si="12"/>
        <v>7.9400000000000012E-2</v>
      </c>
      <c r="E23" s="28">
        <f t="shared" si="5"/>
        <v>119257.14583333336</v>
      </c>
      <c r="F23" s="20">
        <f t="shared" si="6"/>
        <v>119257.14583333336</v>
      </c>
      <c r="G23" s="41">
        <f t="shared" si="7"/>
        <v>0</v>
      </c>
      <c r="H23" s="20">
        <f t="shared" si="1"/>
        <v>18023750</v>
      </c>
      <c r="J23" s="25">
        <f t="shared" si="2"/>
        <v>37072</v>
      </c>
      <c r="K23" s="20">
        <f t="shared" si="8"/>
        <v>1976250</v>
      </c>
      <c r="L23" s="12">
        <f t="shared" si="9"/>
        <v>24703.125</v>
      </c>
      <c r="M23" s="41">
        <f t="shared" si="10"/>
        <v>24703.125</v>
      </c>
      <c r="N23" s="41">
        <f t="shared" si="11"/>
        <v>0</v>
      </c>
      <c r="O23" s="20">
        <f t="shared" si="3"/>
        <v>1976250</v>
      </c>
    </row>
    <row r="24" spans="1:15" x14ac:dyDescent="0.2">
      <c r="A24" s="58">
        <v>37103</v>
      </c>
      <c r="B24" s="20">
        <f t="shared" si="4"/>
        <v>18023750</v>
      </c>
      <c r="C24" s="45">
        <v>6.8900000000000003E-2</v>
      </c>
      <c r="D24" s="22">
        <f t="shared" si="12"/>
        <v>7.9400000000000012E-2</v>
      </c>
      <c r="E24" s="28">
        <f t="shared" si="5"/>
        <v>119257.14583333336</v>
      </c>
      <c r="F24" s="20">
        <f t="shared" si="6"/>
        <v>119257.14583333336</v>
      </c>
      <c r="G24" s="41">
        <f t="shared" si="7"/>
        <v>0</v>
      </c>
      <c r="H24" s="20">
        <f t="shared" si="1"/>
        <v>18023750</v>
      </c>
      <c r="J24" s="25">
        <f t="shared" si="2"/>
        <v>37103</v>
      </c>
      <c r="K24" s="20">
        <f t="shared" si="8"/>
        <v>1976250</v>
      </c>
      <c r="L24" s="12">
        <f t="shared" si="9"/>
        <v>24703.125</v>
      </c>
      <c r="M24" s="41">
        <f t="shared" si="10"/>
        <v>24703.125</v>
      </c>
      <c r="N24" s="41">
        <f t="shared" si="11"/>
        <v>0</v>
      </c>
      <c r="O24" s="20">
        <f t="shared" si="3"/>
        <v>1976250</v>
      </c>
    </row>
    <row r="25" spans="1:15" x14ac:dyDescent="0.2">
      <c r="A25" s="25">
        <v>37134</v>
      </c>
      <c r="B25" s="20">
        <f t="shared" si="4"/>
        <v>18023750</v>
      </c>
      <c r="C25" s="45">
        <v>6.8900000000000003E-2</v>
      </c>
      <c r="D25" s="22">
        <f t="shared" si="12"/>
        <v>7.9400000000000012E-2</v>
      </c>
      <c r="E25" s="28">
        <f t="shared" si="5"/>
        <v>119257.14583333336</v>
      </c>
      <c r="F25" s="20">
        <f t="shared" si="6"/>
        <v>119257.14583333336</v>
      </c>
      <c r="G25" s="41">
        <f t="shared" si="7"/>
        <v>0</v>
      </c>
      <c r="H25" s="20">
        <f t="shared" si="1"/>
        <v>18023750</v>
      </c>
      <c r="J25" s="25">
        <f t="shared" si="2"/>
        <v>37134</v>
      </c>
      <c r="K25" s="20">
        <f t="shared" si="8"/>
        <v>1976250</v>
      </c>
      <c r="L25" s="12">
        <f t="shared" si="9"/>
        <v>24703.125</v>
      </c>
      <c r="M25" s="41">
        <f t="shared" si="10"/>
        <v>24703.125</v>
      </c>
      <c r="N25" s="41">
        <f t="shared" si="11"/>
        <v>0</v>
      </c>
      <c r="O25" s="20">
        <f t="shared" si="3"/>
        <v>1976250</v>
      </c>
    </row>
    <row r="26" spans="1:15" x14ac:dyDescent="0.2">
      <c r="A26" s="25">
        <v>37164</v>
      </c>
      <c r="B26" s="20">
        <f t="shared" si="4"/>
        <v>18023750</v>
      </c>
      <c r="C26" s="45">
        <f t="shared" ref="C26:C53" si="13">C25*(1+$C$5)</f>
        <v>6.9072250000000002E-2</v>
      </c>
      <c r="D26" s="22">
        <f t="shared" si="12"/>
        <v>7.9572250000000011E-2</v>
      </c>
      <c r="E26" s="28">
        <f t="shared" si="5"/>
        <v>119515.86174479168</v>
      </c>
      <c r="F26" s="20">
        <f t="shared" si="6"/>
        <v>119515.86174479168</v>
      </c>
      <c r="G26" s="41">
        <f t="shared" si="7"/>
        <v>0</v>
      </c>
      <c r="H26" s="20">
        <f t="shared" si="1"/>
        <v>18023750</v>
      </c>
      <c r="J26" s="25">
        <f t="shared" si="2"/>
        <v>37164</v>
      </c>
      <c r="K26" s="20">
        <f t="shared" si="8"/>
        <v>1976250</v>
      </c>
      <c r="L26" s="12">
        <f t="shared" si="9"/>
        <v>24703.125</v>
      </c>
      <c r="M26" s="41">
        <f t="shared" si="10"/>
        <v>24703.125</v>
      </c>
      <c r="N26" s="41">
        <f t="shared" si="11"/>
        <v>0</v>
      </c>
      <c r="O26" s="20">
        <f t="shared" si="3"/>
        <v>1976250</v>
      </c>
    </row>
    <row r="27" spans="1:15" x14ac:dyDescent="0.2">
      <c r="A27" s="58">
        <v>37195</v>
      </c>
      <c r="B27" s="20">
        <f t="shared" si="4"/>
        <v>18023750</v>
      </c>
      <c r="C27" s="45">
        <f t="shared" si="13"/>
        <v>6.9244930624999992E-2</v>
      </c>
      <c r="D27" s="22">
        <f t="shared" si="12"/>
        <v>7.9744930625000002E-2</v>
      </c>
      <c r="E27" s="28">
        <f t="shared" si="5"/>
        <v>119775.22444602865</v>
      </c>
      <c r="F27" s="20">
        <f t="shared" si="6"/>
        <v>119775.22444602865</v>
      </c>
      <c r="G27" s="41">
        <f t="shared" si="7"/>
        <v>0</v>
      </c>
      <c r="H27" s="20">
        <f t="shared" si="1"/>
        <v>18023750</v>
      </c>
      <c r="J27" s="25">
        <f t="shared" si="2"/>
        <v>37195</v>
      </c>
      <c r="K27" s="20">
        <f t="shared" si="8"/>
        <v>1976250</v>
      </c>
      <c r="L27" s="12">
        <f t="shared" si="9"/>
        <v>24703.125</v>
      </c>
      <c r="M27" s="41">
        <f t="shared" si="10"/>
        <v>24703.125</v>
      </c>
      <c r="N27" s="41">
        <f t="shared" si="11"/>
        <v>0</v>
      </c>
      <c r="O27" s="20">
        <f t="shared" si="3"/>
        <v>1976250</v>
      </c>
    </row>
    <row r="28" spans="1:15" x14ac:dyDescent="0.2">
      <c r="A28" s="25">
        <v>37225</v>
      </c>
      <c r="B28" s="20">
        <f t="shared" si="4"/>
        <v>18023750</v>
      </c>
      <c r="C28" s="45">
        <f t="shared" si="13"/>
        <v>6.9418042951562495E-2</v>
      </c>
      <c r="D28" s="22">
        <f t="shared" si="12"/>
        <v>7.9918042951562504E-2</v>
      </c>
      <c r="E28" s="28">
        <f t="shared" si="5"/>
        <v>120035.23555401871</v>
      </c>
      <c r="F28" s="20">
        <f t="shared" si="6"/>
        <v>120035.23555401871</v>
      </c>
      <c r="G28" s="41">
        <f t="shared" si="7"/>
        <v>0</v>
      </c>
      <c r="H28" s="20">
        <f t="shared" si="1"/>
        <v>18023750</v>
      </c>
      <c r="J28" s="25">
        <f t="shared" si="2"/>
        <v>37225</v>
      </c>
      <c r="K28" s="20">
        <f t="shared" si="8"/>
        <v>1976250</v>
      </c>
      <c r="L28" s="12">
        <f t="shared" si="9"/>
        <v>24703.125</v>
      </c>
      <c r="M28" s="41">
        <f t="shared" si="10"/>
        <v>24703.125</v>
      </c>
      <c r="N28" s="41">
        <f t="shared" si="11"/>
        <v>0</v>
      </c>
      <c r="O28" s="20">
        <f t="shared" si="3"/>
        <v>1976250</v>
      </c>
    </row>
    <row r="29" spans="1:15" x14ac:dyDescent="0.2">
      <c r="A29" s="25">
        <v>37256</v>
      </c>
      <c r="B29" s="20">
        <f t="shared" si="4"/>
        <v>18023750</v>
      </c>
      <c r="C29" s="45">
        <f t="shared" si="13"/>
        <v>6.9591588058941403E-2</v>
      </c>
      <c r="D29" s="22">
        <f t="shared" si="12"/>
        <v>8.0091588058941413E-2</v>
      </c>
      <c r="E29" s="28">
        <f t="shared" si="5"/>
        <v>120295.89668977878</v>
      </c>
      <c r="F29" s="20">
        <f t="shared" si="6"/>
        <v>120295.89668977878</v>
      </c>
      <c r="G29" s="41">
        <f t="shared" si="7"/>
        <v>0</v>
      </c>
      <c r="H29" s="20">
        <f t="shared" si="1"/>
        <v>18023750</v>
      </c>
      <c r="J29" s="25">
        <f t="shared" si="2"/>
        <v>37256</v>
      </c>
      <c r="K29" s="20">
        <f t="shared" si="8"/>
        <v>1976250</v>
      </c>
      <c r="L29" s="12">
        <f t="shared" si="9"/>
        <v>24703.125</v>
      </c>
      <c r="M29" s="41">
        <f t="shared" si="10"/>
        <v>24703.125</v>
      </c>
      <c r="N29" s="41">
        <f t="shared" si="11"/>
        <v>0</v>
      </c>
      <c r="O29" s="20">
        <f t="shared" si="3"/>
        <v>1976250</v>
      </c>
    </row>
    <row r="30" spans="1:15" x14ac:dyDescent="0.2">
      <c r="A30" s="58">
        <v>37287</v>
      </c>
      <c r="B30" s="20">
        <f t="shared" si="4"/>
        <v>18023750</v>
      </c>
      <c r="C30" s="45">
        <f t="shared" si="13"/>
        <v>6.976556702908876E-2</v>
      </c>
      <c r="D30" s="22">
        <f t="shared" si="12"/>
        <v>8.0265567029088769E-2</v>
      </c>
      <c r="E30" s="28">
        <f t="shared" si="5"/>
        <v>120557.20947837822</v>
      </c>
      <c r="F30" s="20">
        <f t="shared" si="6"/>
        <v>120557.20947837822</v>
      </c>
      <c r="G30" s="41">
        <f t="shared" si="7"/>
        <v>0</v>
      </c>
      <c r="H30" s="20">
        <f t="shared" si="1"/>
        <v>18023750</v>
      </c>
      <c r="J30" s="25">
        <f t="shared" si="2"/>
        <v>37287</v>
      </c>
      <c r="K30" s="20">
        <f t="shared" si="8"/>
        <v>1976250</v>
      </c>
      <c r="L30" s="12">
        <f t="shared" si="9"/>
        <v>24703.125</v>
      </c>
      <c r="M30" s="41">
        <f t="shared" si="10"/>
        <v>24703.125</v>
      </c>
      <c r="N30" s="41">
        <f t="shared" si="11"/>
        <v>0</v>
      </c>
      <c r="O30" s="20">
        <f t="shared" si="3"/>
        <v>1976250</v>
      </c>
    </row>
    <row r="31" spans="1:15" x14ac:dyDescent="0.2">
      <c r="A31" s="25">
        <v>37315</v>
      </c>
      <c r="B31" s="20">
        <f t="shared" si="4"/>
        <v>18023750</v>
      </c>
      <c r="C31" s="45">
        <f t="shared" si="13"/>
        <v>6.9939980946661484E-2</v>
      </c>
      <c r="D31" s="22">
        <f t="shared" si="12"/>
        <v>8.0439980946661493E-2</v>
      </c>
      <c r="E31" s="28">
        <f t="shared" si="5"/>
        <v>120819.17554894918</v>
      </c>
      <c r="F31" s="20">
        <f t="shared" si="6"/>
        <v>120819.17554894918</v>
      </c>
      <c r="G31" s="41">
        <f t="shared" si="7"/>
        <v>0</v>
      </c>
      <c r="H31" s="20">
        <f t="shared" si="1"/>
        <v>18023750</v>
      </c>
      <c r="J31" s="25">
        <f t="shared" si="2"/>
        <v>37315</v>
      </c>
      <c r="K31" s="20">
        <f t="shared" si="8"/>
        <v>1976250</v>
      </c>
      <c r="L31" s="12">
        <f t="shared" si="9"/>
        <v>24703.125</v>
      </c>
      <c r="M31" s="41">
        <f t="shared" si="10"/>
        <v>24703.125</v>
      </c>
      <c r="N31" s="41">
        <f t="shared" si="11"/>
        <v>0</v>
      </c>
      <c r="O31" s="20">
        <f t="shared" si="3"/>
        <v>1976250</v>
      </c>
    </row>
    <row r="32" spans="1:15" x14ac:dyDescent="0.2">
      <c r="A32" s="25">
        <v>37346</v>
      </c>
      <c r="B32" s="20">
        <f t="shared" si="4"/>
        <v>18023750</v>
      </c>
      <c r="C32" s="45">
        <f t="shared" si="13"/>
        <v>7.0114830899028133E-2</v>
      </c>
      <c r="D32" s="22">
        <f t="shared" si="12"/>
        <v>8.0614830899028142E-2</v>
      </c>
      <c r="E32" s="28">
        <f t="shared" si="5"/>
        <v>121081.79653469654</v>
      </c>
      <c r="F32" s="20">
        <f t="shared" si="6"/>
        <v>121081.79653469654</v>
      </c>
      <c r="G32" s="41">
        <f t="shared" si="7"/>
        <v>0</v>
      </c>
      <c r="H32" s="20">
        <f t="shared" si="1"/>
        <v>18023750</v>
      </c>
      <c r="J32" s="25">
        <f t="shared" si="2"/>
        <v>37346</v>
      </c>
      <c r="K32" s="20">
        <f t="shared" si="8"/>
        <v>1976250</v>
      </c>
      <c r="L32" s="12">
        <f t="shared" si="9"/>
        <v>24703.125</v>
      </c>
      <c r="M32" s="41">
        <f t="shared" si="10"/>
        <v>24703.125</v>
      </c>
      <c r="N32" s="41">
        <f t="shared" si="11"/>
        <v>0</v>
      </c>
      <c r="O32" s="20">
        <f t="shared" si="3"/>
        <v>1976250</v>
      </c>
    </row>
    <row r="33" spans="1:15" x14ac:dyDescent="0.2">
      <c r="A33" s="58">
        <v>37376</v>
      </c>
      <c r="B33" s="20">
        <f t="shared" si="4"/>
        <v>18023750</v>
      </c>
      <c r="C33" s="45">
        <f t="shared" si="13"/>
        <v>7.0290117976275698E-2</v>
      </c>
      <c r="D33" s="22">
        <f t="shared" si="12"/>
        <v>8.0790117976275708E-2</v>
      </c>
      <c r="E33" s="28">
        <f t="shared" si="5"/>
        <v>121345.07407290828</v>
      </c>
      <c r="F33" s="20">
        <f t="shared" si="6"/>
        <v>121345.07407290828</v>
      </c>
      <c r="G33" s="41">
        <f t="shared" si="7"/>
        <v>0</v>
      </c>
      <c r="H33" s="20">
        <f t="shared" si="1"/>
        <v>18023750</v>
      </c>
      <c r="J33" s="25">
        <f t="shared" si="2"/>
        <v>37376</v>
      </c>
      <c r="K33" s="20">
        <f t="shared" si="8"/>
        <v>1976250</v>
      </c>
      <c r="L33" s="12">
        <f t="shared" si="9"/>
        <v>24703.125</v>
      </c>
      <c r="M33" s="41">
        <f t="shared" si="10"/>
        <v>24703.125</v>
      </c>
      <c r="N33" s="41">
        <f t="shared" si="11"/>
        <v>0</v>
      </c>
      <c r="O33" s="20">
        <f t="shared" si="3"/>
        <v>1976250</v>
      </c>
    </row>
    <row r="34" spans="1:15" x14ac:dyDescent="0.2">
      <c r="A34" s="25">
        <v>37407</v>
      </c>
      <c r="B34" s="20">
        <f t="shared" si="4"/>
        <v>18023750</v>
      </c>
      <c r="C34" s="45">
        <f t="shared" si="13"/>
        <v>7.0465843271216383E-2</v>
      </c>
      <c r="D34" s="22">
        <f t="shared" si="12"/>
        <v>8.0965843271216392E-2</v>
      </c>
      <c r="E34" s="28">
        <f t="shared" si="5"/>
        <v>121609.00980496554</v>
      </c>
      <c r="F34" s="20">
        <f t="shared" si="6"/>
        <v>121609.00980496554</v>
      </c>
      <c r="G34" s="41">
        <f t="shared" si="7"/>
        <v>0</v>
      </c>
      <c r="H34" s="20">
        <f t="shared" si="1"/>
        <v>18023750</v>
      </c>
      <c r="J34" s="25">
        <f t="shared" si="2"/>
        <v>37407</v>
      </c>
      <c r="K34" s="20">
        <f t="shared" si="8"/>
        <v>1976250</v>
      </c>
      <c r="L34" s="12">
        <f t="shared" si="9"/>
        <v>24703.125</v>
      </c>
      <c r="M34" s="41">
        <f t="shared" si="10"/>
        <v>24703.125</v>
      </c>
      <c r="N34" s="41">
        <f t="shared" si="11"/>
        <v>0</v>
      </c>
      <c r="O34" s="20">
        <f t="shared" si="3"/>
        <v>1976250</v>
      </c>
    </row>
    <row r="35" spans="1:15" x14ac:dyDescent="0.2">
      <c r="A35" s="25">
        <v>37437</v>
      </c>
      <c r="B35" s="20">
        <f t="shared" si="4"/>
        <v>18023750</v>
      </c>
      <c r="C35" s="45">
        <f t="shared" si="13"/>
        <v>7.0642007879394425E-2</v>
      </c>
      <c r="D35" s="22">
        <f t="shared" si="12"/>
        <v>8.1142007879394434E-2</v>
      </c>
      <c r="E35" s="28">
        <f t="shared" si="5"/>
        <v>121873.60537635295</v>
      </c>
      <c r="F35" s="20">
        <f t="shared" si="6"/>
        <v>121873.60537635295</v>
      </c>
      <c r="G35" s="41">
        <f t="shared" si="7"/>
        <v>0</v>
      </c>
      <c r="H35" s="20">
        <f t="shared" si="1"/>
        <v>18023750</v>
      </c>
      <c r="J35" s="25">
        <f t="shared" si="2"/>
        <v>37437</v>
      </c>
      <c r="K35" s="20">
        <f t="shared" si="8"/>
        <v>1976250</v>
      </c>
      <c r="L35" s="12">
        <f t="shared" si="9"/>
        <v>24703.125</v>
      </c>
      <c r="M35" s="41">
        <f t="shared" si="10"/>
        <v>24703.125</v>
      </c>
      <c r="N35" s="41">
        <f t="shared" si="11"/>
        <v>0</v>
      </c>
      <c r="O35" s="20">
        <f t="shared" si="3"/>
        <v>1976250</v>
      </c>
    </row>
    <row r="36" spans="1:15" x14ac:dyDescent="0.2">
      <c r="A36" s="58">
        <v>37468</v>
      </c>
      <c r="B36" s="20">
        <f t="shared" si="4"/>
        <v>18023750</v>
      </c>
      <c r="C36" s="45">
        <f t="shared" si="13"/>
        <v>7.0818612899092914E-2</v>
      </c>
      <c r="D36" s="22">
        <f t="shared" si="12"/>
        <v>8.1318612899092924E-2</v>
      </c>
      <c r="E36" s="28">
        <f t="shared" si="5"/>
        <v>122138.86243666883</v>
      </c>
      <c r="F36" s="20">
        <f t="shared" si="6"/>
        <v>122138.86243666883</v>
      </c>
      <c r="G36" s="41">
        <f t="shared" si="7"/>
        <v>0</v>
      </c>
      <c r="H36" s="20">
        <f t="shared" si="1"/>
        <v>18023750</v>
      </c>
      <c r="J36" s="25">
        <f t="shared" si="2"/>
        <v>37468</v>
      </c>
      <c r="K36" s="20">
        <f t="shared" si="8"/>
        <v>1976250</v>
      </c>
      <c r="L36" s="12">
        <f t="shared" si="9"/>
        <v>24703.125</v>
      </c>
      <c r="M36" s="41">
        <f t="shared" si="10"/>
        <v>24703.125</v>
      </c>
      <c r="N36" s="41">
        <f t="shared" si="11"/>
        <v>0</v>
      </c>
      <c r="O36" s="20">
        <f t="shared" si="3"/>
        <v>1976250</v>
      </c>
    </row>
    <row r="37" spans="1:15" x14ac:dyDescent="0.2">
      <c r="A37" s="25">
        <v>37499</v>
      </c>
      <c r="B37" s="20">
        <f t="shared" si="4"/>
        <v>18023750</v>
      </c>
      <c r="C37" s="45">
        <f t="shared" si="13"/>
        <v>7.0995659431340646E-2</v>
      </c>
      <c r="D37" s="22">
        <f t="shared" si="12"/>
        <v>8.1495659431340656E-2</v>
      </c>
      <c r="E37" s="28">
        <f t="shared" si="5"/>
        <v>122404.78263963551</v>
      </c>
      <c r="F37" s="20">
        <f t="shared" si="6"/>
        <v>122404.78263963551</v>
      </c>
      <c r="G37" s="41">
        <f t="shared" si="7"/>
        <v>0</v>
      </c>
      <c r="H37" s="20">
        <f t="shared" si="1"/>
        <v>18023750</v>
      </c>
      <c r="J37" s="25">
        <f t="shared" si="2"/>
        <v>37499</v>
      </c>
      <c r="K37" s="20">
        <f t="shared" si="8"/>
        <v>1976250</v>
      </c>
      <c r="L37" s="12">
        <f t="shared" si="9"/>
        <v>24703.125</v>
      </c>
      <c r="M37" s="41">
        <f t="shared" si="10"/>
        <v>24703.125</v>
      </c>
      <c r="N37" s="41">
        <f t="shared" si="11"/>
        <v>0</v>
      </c>
      <c r="O37" s="20">
        <f t="shared" si="3"/>
        <v>1976250</v>
      </c>
    </row>
    <row r="38" spans="1:15" x14ac:dyDescent="0.2">
      <c r="A38" s="25">
        <v>37529</v>
      </c>
      <c r="B38" s="20">
        <f t="shared" si="4"/>
        <v>18023750</v>
      </c>
      <c r="C38" s="45">
        <f t="shared" si="13"/>
        <v>7.1173148579918993E-2</v>
      </c>
      <c r="D38" s="22">
        <f t="shared" si="12"/>
        <v>8.1673148579919003E-2</v>
      </c>
      <c r="E38" s="28">
        <f t="shared" si="5"/>
        <v>122671.3676431096</v>
      </c>
      <c r="F38" s="20">
        <f t="shared" si="6"/>
        <v>122671.3676431096</v>
      </c>
      <c r="G38" s="41">
        <f t="shared" si="7"/>
        <v>0</v>
      </c>
      <c r="H38" s="20">
        <f t="shared" si="1"/>
        <v>18023750</v>
      </c>
      <c r="J38" s="25">
        <f t="shared" si="2"/>
        <v>37529</v>
      </c>
      <c r="K38" s="20">
        <f t="shared" si="8"/>
        <v>1976250</v>
      </c>
      <c r="L38" s="12">
        <f t="shared" si="9"/>
        <v>24703.125</v>
      </c>
      <c r="M38" s="41">
        <f t="shared" si="10"/>
        <v>24703.125</v>
      </c>
      <c r="N38" s="41">
        <f t="shared" si="11"/>
        <v>0</v>
      </c>
      <c r="O38" s="20">
        <f t="shared" si="3"/>
        <v>1976250</v>
      </c>
    </row>
    <row r="39" spans="1:15" x14ac:dyDescent="0.2">
      <c r="A39" s="58">
        <v>37560</v>
      </c>
      <c r="B39" s="20">
        <f t="shared" si="4"/>
        <v>18023750</v>
      </c>
      <c r="C39" s="45">
        <f t="shared" si="13"/>
        <v>7.1351081451368786E-2</v>
      </c>
      <c r="D39" s="22">
        <f t="shared" si="12"/>
        <v>8.1851081451368796E-2</v>
      </c>
      <c r="E39" s="28">
        <f t="shared" si="5"/>
        <v>122938.61910909235</v>
      </c>
      <c r="F39" s="20">
        <f t="shared" si="6"/>
        <v>122938.61910909235</v>
      </c>
      <c r="G39" s="41">
        <f t="shared" si="7"/>
        <v>0</v>
      </c>
      <c r="H39" s="20">
        <f t="shared" si="1"/>
        <v>18023750</v>
      </c>
      <c r="J39" s="25">
        <f t="shared" si="2"/>
        <v>37560</v>
      </c>
      <c r="K39" s="20">
        <f t="shared" si="8"/>
        <v>1976250</v>
      </c>
      <c r="L39" s="12">
        <f t="shared" si="9"/>
        <v>24703.125</v>
      </c>
      <c r="M39" s="41">
        <f t="shared" si="10"/>
        <v>24703.125</v>
      </c>
      <c r="N39" s="41">
        <f t="shared" si="11"/>
        <v>0</v>
      </c>
      <c r="O39" s="20">
        <f t="shared" si="3"/>
        <v>1976250</v>
      </c>
    </row>
    <row r="40" spans="1:15" x14ac:dyDescent="0.2">
      <c r="A40" s="25">
        <v>37590</v>
      </c>
      <c r="B40" s="20">
        <f t="shared" si="4"/>
        <v>18023750</v>
      </c>
      <c r="C40" s="45">
        <f t="shared" si="13"/>
        <v>7.1529459154997199E-2</v>
      </c>
      <c r="D40" s="22">
        <f t="shared" si="12"/>
        <v>8.2029459154997209E-2</v>
      </c>
      <c r="E40" s="28">
        <f t="shared" si="5"/>
        <v>123206.53870374007</v>
      </c>
      <c r="F40" s="20">
        <f t="shared" si="6"/>
        <v>123206.53870374007</v>
      </c>
      <c r="G40" s="41">
        <f t="shared" si="7"/>
        <v>0</v>
      </c>
      <c r="H40" s="20">
        <f t="shared" si="1"/>
        <v>18023750</v>
      </c>
      <c r="J40" s="25">
        <f t="shared" si="2"/>
        <v>37590</v>
      </c>
      <c r="K40" s="20">
        <f t="shared" si="8"/>
        <v>1976250</v>
      </c>
      <c r="L40" s="12">
        <f t="shared" si="9"/>
        <v>24703.125</v>
      </c>
      <c r="M40" s="41">
        <f t="shared" si="10"/>
        <v>24703.125</v>
      </c>
      <c r="N40" s="41">
        <f t="shared" si="11"/>
        <v>0</v>
      </c>
      <c r="O40" s="20">
        <f t="shared" si="3"/>
        <v>1976250</v>
      </c>
    </row>
    <row r="41" spans="1:15" x14ac:dyDescent="0.2">
      <c r="A41" s="25">
        <v>37621</v>
      </c>
      <c r="B41" s="20">
        <f t="shared" si="4"/>
        <v>18023750</v>
      </c>
      <c r="C41" s="45">
        <f t="shared" si="13"/>
        <v>7.1708282802884687E-2</v>
      </c>
      <c r="D41" s="22">
        <f t="shared" si="12"/>
        <v>8.2208282802884697E-2</v>
      </c>
      <c r="E41" s="28">
        <f t="shared" si="5"/>
        <v>123475.12809737441</v>
      </c>
      <c r="F41" s="20">
        <f t="shared" si="6"/>
        <v>123475.12809737441</v>
      </c>
      <c r="G41" s="41">
        <f t="shared" si="7"/>
        <v>0</v>
      </c>
      <c r="H41" s="20">
        <f t="shared" si="1"/>
        <v>18023750</v>
      </c>
      <c r="J41" s="25">
        <f t="shared" si="2"/>
        <v>37621</v>
      </c>
      <c r="K41" s="20">
        <f t="shared" si="8"/>
        <v>1976250</v>
      </c>
      <c r="L41" s="12">
        <f t="shared" si="9"/>
        <v>24703.125</v>
      </c>
      <c r="M41" s="41">
        <f t="shared" si="10"/>
        <v>24703.125</v>
      </c>
      <c r="N41" s="41">
        <f t="shared" si="11"/>
        <v>0</v>
      </c>
      <c r="O41" s="20">
        <f>K41-N41</f>
        <v>1976250</v>
      </c>
    </row>
    <row r="42" spans="1:15" x14ac:dyDescent="0.2">
      <c r="A42" s="58">
        <v>37652</v>
      </c>
      <c r="B42" s="20">
        <f t="shared" si="4"/>
        <v>18023750</v>
      </c>
      <c r="C42" s="45">
        <f t="shared" si="13"/>
        <v>7.1887553509891899E-2</v>
      </c>
      <c r="D42" s="22">
        <f t="shared" si="12"/>
        <v>8.2387553509891909E-2</v>
      </c>
      <c r="E42" s="28">
        <f t="shared" si="5"/>
        <v>123744.38896449287</v>
      </c>
      <c r="F42" s="20">
        <f t="shared" si="6"/>
        <v>123744.38896449287</v>
      </c>
      <c r="G42" s="41">
        <f t="shared" si="7"/>
        <v>0</v>
      </c>
      <c r="H42" s="20">
        <f t="shared" si="1"/>
        <v>18023750</v>
      </c>
      <c r="J42" s="25">
        <f t="shared" si="2"/>
        <v>37652</v>
      </c>
      <c r="K42" s="20">
        <f t="shared" si="8"/>
        <v>1976250</v>
      </c>
      <c r="L42" s="12">
        <f t="shared" si="9"/>
        <v>24703.125</v>
      </c>
      <c r="M42" s="41">
        <f t="shared" si="10"/>
        <v>24703.125</v>
      </c>
      <c r="N42" s="41">
        <f t="shared" si="11"/>
        <v>0</v>
      </c>
      <c r="O42" s="20">
        <f t="shared" si="3"/>
        <v>1976250</v>
      </c>
    </row>
    <row r="43" spans="1:15" x14ac:dyDescent="0.2">
      <c r="A43" s="25">
        <v>37680</v>
      </c>
      <c r="B43" s="20">
        <f t="shared" si="4"/>
        <v>18023750</v>
      </c>
      <c r="C43" s="45">
        <f t="shared" si="13"/>
        <v>7.2067272393666629E-2</v>
      </c>
      <c r="D43" s="22">
        <f t="shared" si="12"/>
        <v>8.2567272393666638E-2</v>
      </c>
      <c r="E43" s="28">
        <f t="shared" si="5"/>
        <v>124014.32298377909</v>
      </c>
      <c r="F43" s="20">
        <f t="shared" si="6"/>
        <v>124014.32298377909</v>
      </c>
      <c r="G43" s="41">
        <f t="shared" si="7"/>
        <v>0</v>
      </c>
      <c r="H43" s="20">
        <f t="shared" si="1"/>
        <v>18023750</v>
      </c>
      <c r="J43" s="25">
        <f t="shared" si="2"/>
        <v>37680</v>
      </c>
      <c r="K43" s="20">
        <f t="shared" si="8"/>
        <v>1976250</v>
      </c>
      <c r="L43" s="12">
        <f t="shared" si="9"/>
        <v>24703.125</v>
      </c>
      <c r="M43" s="41">
        <f t="shared" si="10"/>
        <v>24703.125</v>
      </c>
      <c r="N43" s="41">
        <f t="shared" si="11"/>
        <v>0</v>
      </c>
      <c r="O43" s="20">
        <f t="shared" si="3"/>
        <v>1976250</v>
      </c>
    </row>
    <row r="44" spans="1:15" x14ac:dyDescent="0.2">
      <c r="A44" s="25">
        <v>37711</v>
      </c>
      <c r="B44" s="20">
        <f t="shared" si="4"/>
        <v>18023750</v>
      </c>
      <c r="C44" s="45">
        <f t="shared" si="13"/>
        <v>7.2247440574650795E-2</v>
      </c>
      <c r="D44" s="22">
        <f t="shared" si="12"/>
        <v>8.2747440574650805E-2</v>
      </c>
      <c r="E44" s="28">
        <f t="shared" si="5"/>
        <v>124284.93183811354</v>
      </c>
      <c r="F44" s="20">
        <f t="shared" si="6"/>
        <v>124284.93183811354</v>
      </c>
      <c r="G44" s="41">
        <f t="shared" si="7"/>
        <v>0</v>
      </c>
      <c r="H44" s="20">
        <f t="shared" si="1"/>
        <v>18023750</v>
      </c>
      <c r="J44" s="25">
        <f t="shared" si="2"/>
        <v>37711</v>
      </c>
      <c r="K44" s="20">
        <f t="shared" si="8"/>
        <v>1976250</v>
      </c>
      <c r="L44" s="12">
        <f t="shared" si="9"/>
        <v>24703.125</v>
      </c>
      <c r="M44" s="41">
        <f t="shared" si="10"/>
        <v>24703.125</v>
      </c>
      <c r="N44" s="41">
        <f t="shared" si="11"/>
        <v>0</v>
      </c>
      <c r="O44" s="20">
        <f t="shared" si="3"/>
        <v>1976250</v>
      </c>
    </row>
    <row r="45" spans="1:15" x14ac:dyDescent="0.2">
      <c r="A45" s="58">
        <v>37741</v>
      </c>
      <c r="B45" s="20">
        <f t="shared" si="4"/>
        <v>18023750</v>
      </c>
      <c r="C45" s="45">
        <f t="shared" si="13"/>
        <v>7.2428059176087412E-2</v>
      </c>
      <c r="D45" s="22">
        <f t="shared" si="12"/>
        <v>8.2928059176087421E-2</v>
      </c>
      <c r="E45" s="28">
        <f t="shared" si="5"/>
        <v>124556.21721458381</v>
      </c>
      <c r="F45" s="20">
        <f t="shared" si="6"/>
        <v>124556.21721458381</v>
      </c>
      <c r="G45" s="41">
        <f t="shared" si="7"/>
        <v>0</v>
      </c>
      <c r="H45" s="20">
        <f t="shared" si="1"/>
        <v>18023750</v>
      </c>
      <c r="J45" s="25">
        <f t="shared" si="2"/>
        <v>37741</v>
      </c>
      <c r="K45" s="20">
        <f t="shared" si="8"/>
        <v>1976250</v>
      </c>
      <c r="L45" s="12">
        <f t="shared" si="9"/>
        <v>24703.125</v>
      </c>
      <c r="M45" s="41">
        <f t="shared" si="10"/>
        <v>24703.125</v>
      </c>
      <c r="N45" s="41">
        <f t="shared" si="11"/>
        <v>0</v>
      </c>
      <c r="O45" s="20">
        <f t="shared" si="3"/>
        <v>1976250</v>
      </c>
    </row>
    <row r="46" spans="1:15" x14ac:dyDescent="0.2">
      <c r="A46" s="25">
        <v>37772</v>
      </c>
      <c r="B46" s="20">
        <f t="shared" si="4"/>
        <v>18023750</v>
      </c>
      <c r="C46" s="45">
        <f t="shared" si="13"/>
        <v>7.2609129324027633E-2</v>
      </c>
      <c r="D46" s="22">
        <f t="shared" si="12"/>
        <v>8.3109129324027642E-2</v>
      </c>
      <c r="E46" s="28">
        <f t="shared" si="5"/>
        <v>124828.18080449528</v>
      </c>
      <c r="F46" s="20">
        <f t="shared" si="6"/>
        <v>124828.18080449528</v>
      </c>
      <c r="G46" s="41">
        <f t="shared" si="7"/>
        <v>0</v>
      </c>
      <c r="H46" s="20">
        <f t="shared" si="1"/>
        <v>18023750</v>
      </c>
      <c r="J46" s="25">
        <f t="shared" si="2"/>
        <v>37772</v>
      </c>
      <c r="K46" s="20">
        <f t="shared" si="8"/>
        <v>1976250</v>
      </c>
      <c r="L46" s="12">
        <f t="shared" si="9"/>
        <v>24703.125</v>
      </c>
      <c r="M46" s="41">
        <f t="shared" si="10"/>
        <v>24703.125</v>
      </c>
      <c r="N46" s="41">
        <f t="shared" si="11"/>
        <v>0</v>
      </c>
      <c r="O46" s="20">
        <f t="shared" si="3"/>
        <v>1976250</v>
      </c>
    </row>
    <row r="47" spans="1:15" x14ac:dyDescent="0.2">
      <c r="A47" s="25">
        <v>37802</v>
      </c>
      <c r="B47" s="20">
        <f t="shared" si="4"/>
        <v>18023750</v>
      </c>
      <c r="C47" s="45">
        <f t="shared" si="13"/>
        <v>7.2790652147337695E-2</v>
      </c>
      <c r="D47" s="22">
        <f t="shared" si="12"/>
        <v>8.3290652147337704E-2</v>
      </c>
      <c r="E47" s="28">
        <f t="shared" si="5"/>
        <v>125100.82430338149</v>
      </c>
      <c r="F47" s="20">
        <f t="shared" si="6"/>
        <v>125100.82430338149</v>
      </c>
      <c r="G47" s="41">
        <f t="shared" si="7"/>
        <v>0</v>
      </c>
      <c r="H47" s="20">
        <f t="shared" si="1"/>
        <v>18023750</v>
      </c>
      <c r="J47" s="25">
        <f t="shared" si="2"/>
        <v>37802</v>
      </c>
      <c r="K47" s="20">
        <f t="shared" si="8"/>
        <v>1976250</v>
      </c>
      <c r="L47" s="12">
        <f t="shared" si="9"/>
        <v>24703.125</v>
      </c>
      <c r="M47" s="41">
        <f t="shared" si="10"/>
        <v>24703.125</v>
      </c>
      <c r="N47" s="41">
        <f t="shared" si="11"/>
        <v>0</v>
      </c>
      <c r="O47" s="20">
        <f t="shared" si="3"/>
        <v>1976250</v>
      </c>
    </row>
    <row r="48" spans="1:15" x14ac:dyDescent="0.2">
      <c r="A48" s="58">
        <v>37833</v>
      </c>
      <c r="B48" s="20">
        <f t="shared" si="4"/>
        <v>18023750</v>
      </c>
      <c r="C48" s="45">
        <f t="shared" si="13"/>
        <v>7.2972628777706036E-2</v>
      </c>
      <c r="D48" s="22">
        <f t="shared" si="12"/>
        <v>8.3472628777706045E-2</v>
      </c>
      <c r="E48" s="28">
        <f t="shared" si="5"/>
        <v>125374.14941101494</v>
      </c>
      <c r="F48" s="20">
        <f t="shared" si="6"/>
        <v>125374.14941101494</v>
      </c>
      <c r="G48" s="41">
        <f t="shared" si="7"/>
        <v>0</v>
      </c>
      <c r="H48" s="20">
        <f t="shared" si="1"/>
        <v>18023750</v>
      </c>
      <c r="J48" s="25">
        <f t="shared" si="2"/>
        <v>37833</v>
      </c>
      <c r="K48" s="20">
        <f t="shared" si="8"/>
        <v>1976250</v>
      </c>
      <c r="L48" s="12">
        <f t="shared" si="9"/>
        <v>24703.125</v>
      </c>
      <c r="M48" s="41">
        <f t="shared" si="10"/>
        <v>24703.125</v>
      </c>
      <c r="N48" s="41">
        <f t="shared" si="11"/>
        <v>0</v>
      </c>
      <c r="O48" s="20">
        <f t="shared" si="3"/>
        <v>1976250</v>
      </c>
    </row>
    <row r="49" spans="1:15" x14ac:dyDescent="0.2">
      <c r="A49" s="25">
        <v>37864</v>
      </c>
      <c r="B49" s="20">
        <f t="shared" si="4"/>
        <v>18023750</v>
      </c>
      <c r="C49" s="45">
        <f t="shared" si="13"/>
        <v>7.3155060349650303E-2</v>
      </c>
      <c r="D49" s="22">
        <f t="shared" si="12"/>
        <v>8.3655060349650312E-2</v>
      </c>
      <c r="E49" s="28">
        <f t="shared" si="5"/>
        <v>125648.1578314175</v>
      </c>
      <c r="F49" s="20">
        <f t="shared" si="6"/>
        <v>125648.1578314175</v>
      </c>
      <c r="G49" s="41">
        <f t="shared" si="7"/>
        <v>0</v>
      </c>
      <c r="H49" s="20">
        <f t="shared" si="1"/>
        <v>18023750</v>
      </c>
      <c r="J49" s="25">
        <f t="shared" si="2"/>
        <v>37864</v>
      </c>
      <c r="K49" s="20">
        <f t="shared" si="8"/>
        <v>1976250</v>
      </c>
      <c r="L49" s="12">
        <f t="shared" si="9"/>
        <v>24703.125</v>
      </c>
      <c r="M49" s="41">
        <f t="shared" si="10"/>
        <v>24703.125</v>
      </c>
      <c r="N49" s="41">
        <f t="shared" si="11"/>
        <v>0</v>
      </c>
      <c r="O49" s="20">
        <f t="shared" si="3"/>
        <v>1976250</v>
      </c>
    </row>
    <row r="50" spans="1:15" x14ac:dyDescent="0.2">
      <c r="A50" s="25">
        <v>37894</v>
      </c>
      <c r="B50" s="20">
        <f t="shared" si="4"/>
        <v>18023750</v>
      </c>
      <c r="C50" s="45">
        <f t="shared" si="13"/>
        <v>7.3337948000524428E-2</v>
      </c>
      <c r="D50" s="22">
        <f t="shared" si="12"/>
        <v>8.3837948000524437E-2</v>
      </c>
      <c r="E50" s="28">
        <f t="shared" si="5"/>
        <v>125922.85127287102</v>
      </c>
      <c r="F50" s="20">
        <f t="shared" si="6"/>
        <v>125922.85127287102</v>
      </c>
      <c r="G50" s="41">
        <f t="shared" si="7"/>
        <v>0</v>
      </c>
      <c r="H50" s="20">
        <f t="shared" si="1"/>
        <v>18023750</v>
      </c>
      <c r="J50" s="25">
        <f t="shared" si="2"/>
        <v>37894</v>
      </c>
      <c r="K50" s="20">
        <f t="shared" si="8"/>
        <v>1976250</v>
      </c>
      <c r="L50" s="12">
        <f t="shared" si="9"/>
        <v>24703.125</v>
      </c>
      <c r="M50" s="41">
        <f t="shared" si="10"/>
        <v>24703.125</v>
      </c>
      <c r="N50" s="41">
        <f t="shared" si="11"/>
        <v>0</v>
      </c>
      <c r="O50" s="20">
        <f t="shared" si="3"/>
        <v>1976250</v>
      </c>
    </row>
    <row r="51" spans="1:15" x14ac:dyDescent="0.2">
      <c r="A51" s="58">
        <v>37925</v>
      </c>
      <c r="B51" s="20">
        <f t="shared" si="4"/>
        <v>18023750</v>
      </c>
      <c r="C51" s="45">
        <f t="shared" si="13"/>
        <v>7.3521292870525737E-2</v>
      </c>
      <c r="D51" s="22">
        <f t="shared" si="12"/>
        <v>8.4021292870525746E-2</v>
      </c>
      <c r="E51" s="28">
        <f t="shared" si="5"/>
        <v>126198.23144792819</v>
      </c>
      <c r="F51" s="20">
        <f t="shared" si="6"/>
        <v>126198.23144792819</v>
      </c>
      <c r="G51" s="41">
        <f t="shared" si="7"/>
        <v>0</v>
      </c>
      <c r="H51" s="20">
        <f t="shared" si="1"/>
        <v>18023750</v>
      </c>
      <c r="J51" s="25">
        <f t="shared" si="2"/>
        <v>37925</v>
      </c>
      <c r="K51" s="20">
        <f t="shared" si="8"/>
        <v>1976250</v>
      </c>
      <c r="L51" s="12">
        <f t="shared" si="9"/>
        <v>24703.125</v>
      </c>
      <c r="M51" s="41">
        <f t="shared" si="10"/>
        <v>24703.125</v>
      </c>
      <c r="N51" s="41">
        <f t="shared" si="11"/>
        <v>0</v>
      </c>
      <c r="O51" s="20">
        <f t="shared" si="3"/>
        <v>1976250</v>
      </c>
    </row>
    <row r="52" spans="1:15" x14ac:dyDescent="0.2">
      <c r="A52" s="25">
        <v>37955</v>
      </c>
      <c r="B52" s="20">
        <f t="shared" si="4"/>
        <v>18023750</v>
      </c>
      <c r="C52" s="45">
        <f t="shared" si="13"/>
        <v>7.3705096102702053E-2</v>
      </c>
      <c r="D52" s="22">
        <f t="shared" si="12"/>
        <v>8.4205096102702062E-2</v>
      </c>
      <c r="E52" s="28">
        <f t="shared" si="5"/>
        <v>126474.30007342302</v>
      </c>
      <c r="F52" s="20">
        <f t="shared" si="6"/>
        <v>126474.30007342302</v>
      </c>
      <c r="G52" s="41">
        <f t="shared" si="7"/>
        <v>0</v>
      </c>
      <c r="H52" s="20">
        <f t="shared" si="1"/>
        <v>18023750</v>
      </c>
      <c r="J52" s="25">
        <f t="shared" si="2"/>
        <v>37955</v>
      </c>
      <c r="K52" s="20">
        <f t="shared" si="8"/>
        <v>1976250</v>
      </c>
      <c r="L52" s="12">
        <f t="shared" si="9"/>
        <v>24703.125</v>
      </c>
      <c r="M52" s="41">
        <f t="shared" si="10"/>
        <v>24703.125</v>
      </c>
      <c r="N52" s="41">
        <f t="shared" si="11"/>
        <v>0</v>
      </c>
      <c r="O52" s="20">
        <f t="shared" si="3"/>
        <v>1976250</v>
      </c>
    </row>
    <row r="53" spans="1:15" x14ac:dyDescent="0.2">
      <c r="A53" s="25">
        <v>37986</v>
      </c>
      <c r="B53" s="20">
        <f t="shared" si="4"/>
        <v>18023750</v>
      </c>
      <c r="C53" s="45">
        <f t="shared" si="13"/>
        <v>7.3889358842958802E-2</v>
      </c>
      <c r="D53" s="22">
        <f t="shared" si="12"/>
        <v>8.4389358842958812E-2</v>
      </c>
      <c r="E53" s="28">
        <f t="shared" si="5"/>
        <v>126751.05887048157</v>
      </c>
      <c r="F53" s="20">
        <f>E53+B53</f>
        <v>18150501.058870483</v>
      </c>
      <c r="G53" s="41">
        <f t="shared" si="7"/>
        <v>18023750</v>
      </c>
      <c r="H53" s="20">
        <f t="shared" si="1"/>
        <v>0</v>
      </c>
      <c r="J53" s="25">
        <f t="shared" si="2"/>
        <v>37986</v>
      </c>
      <c r="K53" s="20">
        <f t="shared" si="8"/>
        <v>1976250</v>
      </c>
      <c r="L53" s="12">
        <f t="shared" si="9"/>
        <v>24703.125</v>
      </c>
      <c r="M53" s="12">
        <f>L53+N53</f>
        <v>2000953.125</v>
      </c>
      <c r="N53" s="20">
        <f>K53</f>
        <v>1976250</v>
      </c>
      <c r="O53" s="20">
        <f t="shared" si="3"/>
        <v>0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4.42578125" customWidth="1"/>
    <col min="3" max="3" width="13.42578125" bestFit="1" customWidth="1"/>
    <col min="4" max="4" width="12.28515625" bestFit="1" customWidth="1"/>
    <col min="5" max="5" width="11.28515625" bestFit="1" customWidth="1"/>
    <col min="6" max="7" width="13.42578125" bestFit="1" customWidth="1"/>
    <col min="8" max="8" width="11.28515625" bestFit="1" customWidth="1"/>
    <col min="9" max="9" width="15.5703125" bestFit="1" customWidth="1"/>
  </cols>
  <sheetData>
    <row r="1" spans="1:9" x14ac:dyDescent="0.2">
      <c r="A1" s="1" t="s">
        <v>136</v>
      </c>
    </row>
    <row r="3" spans="1:9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Summary'!B6</f>
        <v>36798</v>
      </c>
      <c r="B4" s="27">
        <f>'Hawaii Summary'!C5</f>
        <v>33832</v>
      </c>
      <c r="C4" s="28">
        <f>'Hawaii Summary'!F5</f>
        <v>18023750</v>
      </c>
      <c r="D4" s="28">
        <f>'Hawaii Summary'!G5</f>
        <v>18133795.006944444</v>
      </c>
      <c r="E4" s="28">
        <f>'Hawaii Summary'!H5</f>
        <v>1976250</v>
      </c>
      <c r="F4" s="45">
        <f>'Hawaii Summary'!I5</f>
        <v>0.15</v>
      </c>
      <c r="G4" s="28">
        <f>'Hawaii Summary'!J5</f>
        <v>242</v>
      </c>
      <c r="H4" s="28">
        <f>'Hawaii Summary'!K5</f>
        <v>1999306.25</v>
      </c>
      <c r="I4" s="41"/>
    </row>
    <row r="6" spans="1:9" x14ac:dyDescent="0.2">
      <c r="A6" t="s">
        <v>75</v>
      </c>
      <c r="B6" s="48">
        <f>'Hawaii Summary'!B11</f>
        <v>7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">
      <c r="A10" t="s">
        <v>106</v>
      </c>
      <c r="B10" s="28">
        <f>B4*'Notional Analysis'!C8*'B_D TRS'!B6</f>
        <v>47364800</v>
      </c>
      <c r="C10" s="28">
        <f>B4*B7*'Notional Analysis'!C8</f>
        <v>142094400</v>
      </c>
      <c r="E10" t="s">
        <v>122</v>
      </c>
      <c r="G10" s="20">
        <f>B4*B6*'Notional Analysis'!C8</f>
        <v>47364800</v>
      </c>
    </row>
    <row r="11" spans="1:9" x14ac:dyDescent="0.2">
      <c r="A11" t="s">
        <v>108</v>
      </c>
      <c r="B11" s="20">
        <f>D4+H4</f>
        <v>20133101.256944444</v>
      </c>
      <c r="C11" s="28">
        <f>B11</f>
        <v>20133101.256944444</v>
      </c>
      <c r="E11" t="s">
        <v>123</v>
      </c>
      <c r="G11" s="54">
        <f>D4+H4</f>
        <v>20133101.256944444</v>
      </c>
    </row>
    <row r="12" spans="1:9" x14ac:dyDescent="0.2">
      <c r="A12" t="s">
        <v>111</v>
      </c>
      <c r="B12" s="20">
        <f>IF(B10&gt;=B11,0,IF(B11-B10&gt;=E4,E4,B11-B10))</f>
        <v>0</v>
      </c>
      <c r="C12" s="28"/>
      <c r="G12" s="20">
        <f>G10-G11</f>
        <v>27231698.743055556</v>
      </c>
    </row>
    <row r="13" spans="1:9" x14ac:dyDescent="0.2">
      <c r="C13" s="28"/>
      <c r="E13" t="s">
        <v>75</v>
      </c>
      <c r="F13" s="20">
        <f>B4*B6*'Notional Analysis'!C8</f>
        <v>47364800</v>
      </c>
    </row>
    <row r="14" spans="1:9" x14ac:dyDescent="0.2">
      <c r="A14" t="s">
        <v>109</v>
      </c>
      <c r="B14" s="20">
        <f>D4</f>
        <v>18133795.006944444</v>
      </c>
      <c r="C14" s="28">
        <f>B14</f>
        <v>18133795.006944444</v>
      </c>
      <c r="E14" t="s">
        <v>104</v>
      </c>
      <c r="F14" s="20">
        <f>B7*B4*'Notional Analysis'!C8</f>
        <v>142094400</v>
      </c>
    </row>
    <row r="15" spans="1:9" x14ac:dyDescent="0.2">
      <c r="A15" t="s">
        <v>110</v>
      </c>
      <c r="B15" s="54">
        <f>B10-E4+B12</f>
        <v>45388550</v>
      </c>
      <c r="C15" s="59">
        <f>C10-E4+C12</f>
        <v>140118150</v>
      </c>
      <c r="F15" s="20"/>
      <c r="G15" s="20">
        <f>-F14+F13</f>
        <v>-94729600</v>
      </c>
    </row>
    <row r="16" spans="1:9" ht="13.5" thickBot="1" x14ac:dyDescent="0.25">
      <c r="A16" t="s">
        <v>117</v>
      </c>
      <c r="B16" s="20">
        <f>B15-B14</f>
        <v>27254754.993055556</v>
      </c>
      <c r="C16" s="60">
        <f>C15-C14</f>
        <v>121984354.99305555</v>
      </c>
      <c r="D16" s="61" t="s">
        <v>115</v>
      </c>
      <c r="F16" s="20"/>
      <c r="G16" s="17">
        <f>G12-G15</f>
        <v>121961298.74305555</v>
      </c>
      <c r="H16" s="20">
        <f>C16-G16</f>
        <v>23056.25</v>
      </c>
      <c r="I16" s="62" t="str">
        <f>IF(ABS(H16)&lt;1000000,"Clint says it's OK","Clint says Uh Oh!")</f>
        <v>Clint says it's OK</v>
      </c>
    </row>
    <row r="17" spans="1:3" ht="13.5" thickTop="1" x14ac:dyDescent="0.2">
      <c r="C17" s="28"/>
    </row>
    <row r="18" spans="1:3" x14ac:dyDescent="0.2">
      <c r="A18" t="s">
        <v>112</v>
      </c>
      <c r="B18" s="28">
        <f>C15</f>
        <v>140118150</v>
      </c>
      <c r="C18" s="28"/>
    </row>
    <row r="19" spans="1:3" x14ac:dyDescent="0.2">
      <c r="A19" t="s">
        <v>113</v>
      </c>
      <c r="B19" s="28">
        <f>IF(B15&gt;B18,B15-B18,0)</f>
        <v>0</v>
      </c>
      <c r="C19" s="28"/>
    </row>
    <row r="20" spans="1:3" x14ac:dyDescent="0.2">
      <c r="A20" t="s">
        <v>114</v>
      </c>
      <c r="B20" s="28">
        <f>IF(B18&gt;=B15,B18-B15,0)</f>
        <v>94729600</v>
      </c>
      <c r="C20" s="28"/>
    </row>
    <row r="21" spans="1:3" x14ac:dyDescent="0.2">
      <c r="A21" t="s">
        <v>116</v>
      </c>
      <c r="B21" s="20">
        <f>B16-B19+B20</f>
        <v>121984354.99305555</v>
      </c>
      <c r="C21" s="28"/>
    </row>
    <row r="22" spans="1:3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showGridLines="0" zoomScale="7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140625" bestFit="1" customWidth="1"/>
    <col min="2" max="2" width="12.28515625" customWidth="1"/>
    <col min="3" max="3" width="8" style="45" bestFit="1" customWidth="1"/>
    <col min="4" max="4" width="11.85546875" bestFit="1" customWidth="1"/>
    <col min="5" max="5" width="12.28515625" bestFit="1" customWidth="1"/>
    <col min="6" max="6" width="12.28515625" style="41" customWidth="1"/>
    <col min="7" max="7" width="12.5703125" style="41" bestFit="1" customWidth="1"/>
    <col min="8" max="8" width="12.28515625" customWidth="1"/>
    <col min="10" max="10" width="11.7109375" customWidth="1"/>
    <col min="11" max="11" width="12.28515625" bestFit="1" customWidth="1"/>
    <col min="12" max="12" width="10.28515625" bestFit="1" customWidth="1"/>
    <col min="13" max="13" width="13.42578125" style="41" bestFit="1" customWidth="1"/>
    <col min="14" max="15" width="11.28515625" bestFit="1" customWidth="1"/>
  </cols>
  <sheetData>
    <row r="1" spans="1:15" x14ac:dyDescent="0.2">
      <c r="A1" s="1" t="s">
        <v>96</v>
      </c>
      <c r="F1"/>
      <c r="G1" s="41" t="s">
        <v>94</v>
      </c>
      <c r="H1" s="25">
        <f>'Credit Analysis'!B3</f>
        <v>36858</v>
      </c>
      <c r="K1" s="1" t="s">
        <v>97</v>
      </c>
      <c r="M1"/>
      <c r="N1" s="41"/>
    </row>
    <row r="2" spans="1:15" x14ac:dyDescent="0.2">
      <c r="D2" t="s">
        <v>87</v>
      </c>
      <c r="E2" s="27">
        <f>H1-H2</f>
        <v>30</v>
      </c>
      <c r="F2"/>
      <c r="G2" s="41" t="s">
        <v>99</v>
      </c>
      <c r="H2" s="25">
        <f>VLOOKUP(H1,BD_Debt,1)</f>
        <v>36828</v>
      </c>
      <c r="M2"/>
      <c r="N2" s="41"/>
    </row>
    <row r="3" spans="1:15" x14ac:dyDescent="0.2">
      <c r="A3" t="s">
        <v>31</v>
      </c>
      <c r="B3" s="28">
        <f>'Hawaii Summary'!F6</f>
        <v>86971504</v>
      </c>
      <c r="D3" t="s">
        <v>36</v>
      </c>
      <c r="E3" s="28">
        <f>VLOOKUP($H$1,BD_Debt,8)</f>
        <v>86971504</v>
      </c>
      <c r="H3" s="25"/>
      <c r="J3" s="1" t="s">
        <v>31</v>
      </c>
      <c r="K3" s="28">
        <f>'Hawaii Summary'!H6</f>
        <v>3954146</v>
      </c>
      <c r="M3" t="s">
        <v>36</v>
      </c>
      <c r="N3" s="28">
        <f>VLOOKUP($H$1,BD_Equity,6)</f>
        <v>3954146</v>
      </c>
    </row>
    <row r="4" spans="1:15" x14ac:dyDescent="0.2">
      <c r="A4" t="s">
        <v>25</v>
      </c>
      <c r="B4" s="25">
        <f>'Hawaii Summary'!B6</f>
        <v>36798</v>
      </c>
      <c r="D4" t="s">
        <v>98</v>
      </c>
      <c r="E4" s="47">
        <f>F4*$E$2/30</f>
        <v>568938.58866666676</v>
      </c>
      <c r="F4" s="41">
        <f>VLOOKUP($H$1+30,BD_Debt,5)</f>
        <v>568938.58866666676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49426.825000000004</v>
      </c>
      <c r="O4" s="41">
        <f>VLOOKUP($H$1+30,BD_Equity,3)</f>
        <v>49426.825000000004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100</v>
      </c>
      <c r="E5" s="50">
        <f>E3+E4</f>
        <v>87540442.588666663</v>
      </c>
      <c r="H5" s="27"/>
      <c r="J5" s="1" t="s">
        <v>33</v>
      </c>
      <c r="K5" s="27">
        <f>COUNT(J8:J47)-1</f>
        <v>39</v>
      </c>
      <c r="M5" t="s">
        <v>101</v>
      </c>
      <c r="N5" s="17">
        <f>SUM(N3:N4)</f>
        <v>4003572.8250000002</v>
      </c>
    </row>
    <row r="6" spans="1:15" ht="13.5" thickTop="1" x14ac:dyDescent="0.2">
      <c r="E6" s="27"/>
      <c r="J6" s="1" t="s">
        <v>34</v>
      </c>
      <c r="K6" s="24">
        <f>PMT(K4/12,K5,-K3)</f>
        <v>128721.89226982737</v>
      </c>
    </row>
    <row r="7" spans="1:15" s="37" customFormat="1" ht="25.5" x14ac:dyDescent="0.2">
      <c r="A7" s="37" t="s">
        <v>25</v>
      </c>
      <c r="B7" s="37" t="s">
        <v>35</v>
      </c>
      <c r="C7" s="46" t="s">
        <v>92</v>
      </c>
      <c r="D7" s="37" t="s">
        <v>90</v>
      </c>
      <c r="E7" s="37" t="s">
        <v>32</v>
      </c>
      <c r="F7" s="49" t="s">
        <v>34</v>
      </c>
      <c r="G7" s="49" t="s">
        <v>36</v>
      </c>
      <c r="H7" s="37" t="s">
        <v>37</v>
      </c>
      <c r="J7" s="37" t="s">
        <v>25</v>
      </c>
      <c r="K7" s="37" t="s">
        <v>35</v>
      </c>
      <c r="L7" s="37" t="s">
        <v>32</v>
      </c>
      <c r="M7" s="49" t="s">
        <v>34</v>
      </c>
      <c r="N7" s="37" t="s">
        <v>36</v>
      </c>
      <c r="O7" s="37" t="s">
        <v>37</v>
      </c>
    </row>
    <row r="8" spans="1:15" x14ac:dyDescent="0.2">
      <c r="A8" s="25">
        <f>B4</f>
        <v>36798</v>
      </c>
      <c r="B8" s="20">
        <f>B3</f>
        <v>86971504</v>
      </c>
      <c r="H8" s="20">
        <f>B8-G8</f>
        <v>86971504</v>
      </c>
      <c r="J8" s="25">
        <f>A8</f>
        <v>36798</v>
      </c>
      <c r="K8" s="28">
        <f>K3</f>
        <v>3954146</v>
      </c>
      <c r="N8" s="41">
        <f>M8-L8</f>
        <v>0</v>
      </c>
      <c r="O8" s="20">
        <f>K8-N8</f>
        <v>3954146</v>
      </c>
    </row>
    <row r="9" spans="1:15" x14ac:dyDescent="0.2">
      <c r="A9" s="25">
        <v>36828</v>
      </c>
      <c r="B9" s="20">
        <f>H8</f>
        <v>86971504</v>
      </c>
      <c r="C9" s="45">
        <v>6.7199999999999996E-2</v>
      </c>
      <c r="D9" s="22">
        <f t="shared" ref="D9:D19" si="0">C9+0.005+0.0055</f>
        <v>7.7700000000000005E-2</v>
      </c>
      <c r="E9" s="28">
        <f>B9*D9/12</f>
        <v>563140.48840000003</v>
      </c>
      <c r="F9" s="20">
        <f>E9</f>
        <v>563140.48840000003</v>
      </c>
      <c r="G9" s="41">
        <f>F9-E9</f>
        <v>0</v>
      </c>
      <c r="H9" s="20">
        <f t="shared" ref="H9:H47" si="1">B9-G9</f>
        <v>86971504</v>
      </c>
      <c r="J9" s="25">
        <f t="shared" ref="J9:J47" si="2">A9</f>
        <v>36828</v>
      </c>
      <c r="K9" s="20">
        <f>O8</f>
        <v>3954146</v>
      </c>
      <c r="L9" s="12">
        <f>K9*$K$4/12</f>
        <v>49426.825000000004</v>
      </c>
      <c r="M9" s="12">
        <f>L9</f>
        <v>49426.825000000004</v>
      </c>
      <c r="N9" s="41">
        <f>M9-L9</f>
        <v>0</v>
      </c>
      <c r="O9" s="20">
        <f t="shared" ref="O9:O47" si="3">K9-N9</f>
        <v>3954146</v>
      </c>
    </row>
    <row r="10" spans="1:15" x14ac:dyDescent="0.2">
      <c r="A10" s="25">
        <v>36859</v>
      </c>
      <c r="B10" s="20">
        <f t="shared" ref="B10:B47" si="4">H9</f>
        <v>86971504</v>
      </c>
      <c r="C10" s="45">
        <v>6.8000000000000005E-2</v>
      </c>
      <c r="D10" s="22">
        <f t="shared" si="0"/>
        <v>7.8500000000000014E-2</v>
      </c>
      <c r="E10" s="28">
        <f t="shared" ref="E10:E47" si="5">B10*D10/12</f>
        <v>568938.58866666676</v>
      </c>
      <c r="F10" s="20">
        <f t="shared" ref="F10:F46" si="6">E10</f>
        <v>568938.58866666676</v>
      </c>
      <c r="G10" s="41">
        <f t="shared" ref="G10:G47" si="7">F10-E10</f>
        <v>0</v>
      </c>
      <c r="H10" s="20">
        <f t="shared" si="1"/>
        <v>86971504</v>
      </c>
      <c r="J10" s="25">
        <f t="shared" si="2"/>
        <v>36859</v>
      </c>
      <c r="K10" s="20">
        <f t="shared" ref="K10:K47" si="8">O9</f>
        <v>3954146</v>
      </c>
      <c r="L10" s="12">
        <f t="shared" ref="L10:L47" si="9">K10*$K$4/12</f>
        <v>49426.825000000004</v>
      </c>
      <c r="M10" s="41">
        <f t="shared" ref="M10:M46" si="10">M9</f>
        <v>49426.825000000004</v>
      </c>
      <c r="N10" s="41">
        <f t="shared" ref="N10:N47" si="11">M10-L10</f>
        <v>0</v>
      </c>
      <c r="O10" s="20">
        <f t="shared" si="3"/>
        <v>3954146</v>
      </c>
    </row>
    <row r="11" spans="1:15" x14ac:dyDescent="0.2">
      <c r="A11" s="25">
        <v>36889</v>
      </c>
      <c r="B11" s="20">
        <f t="shared" si="4"/>
        <v>86971504</v>
      </c>
      <c r="C11" s="45">
        <v>6.8099999999999994E-2</v>
      </c>
      <c r="D11" s="22">
        <f t="shared" si="0"/>
        <v>7.8600000000000003E-2</v>
      </c>
      <c r="E11" s="28">
        <f t="shared" si="5"/>
        <v>569663.35120000003</v>
      </c>
      <c r="F11" s="20">
        <f t="shared" si="6"/>
        <v>569663.35120000003</v>
      </c>
      <c r="G11" s="41">
        <f t="shared" si="7"/>
        <v>0</v>
      </c>
      <c r="H11" s="20">
        <f t="shared" si="1"/>
        <v>86971504</v>
      </c>
      <c r="J11" s="25">
        <f t="shared" si="2"/>
        <v>36889</v>
      </c>
      <c r="K11" s="20">
        <f t="shared" si="8"/>
        <v>3954146</v>
      </c>
      <c r="L11" s="12">
        <f t="shared" si="9"/>
        <v>49426.825000000004</v>
      </c>
      <c r="M11" s="41">
        <f t="shared" si="10"/>
        <v>49426.825000000004</v>
      </c>
      <c r="N11" s="41">
        <f t="shared" si="11"/>
        <v>0</v>
      </c>
      <c r="O11" s="20">
        <f t="shared" si="3"/>
        <v>3954146</v>
      </c>
    </row>
    <row r="12" spans="1:15" x14ac:dyDescent="0.2">
      <c r="A12" s="25">
        <v>36920</v>
      </c>
      <c r="B12" s="20">
        <f t="shared" si="4"/>
        <v>86971504</v>
      </c>
      <c r="C12" s="45">
        <v>6.83E-2</v>
      </c>
      <c r="D12" s="22">
        <f t="shared" si="0"/>
        <v>7.8800000000000009E-2</v>
      </c>
      <c r="E12" s="28">
        <f t="shared" si="5"/>
        <v>571112.8762666668</v>
      </c>
      <c r="F12" s="20">
        <f t="shared" si="6"/>
        <v>571112.8762666668</v>
      </c>
      <c r="G12" s="41">
        <f t="shared" si="7"/>
        <v>0</v>
      </c>
      <c r="H12" s="20">
        <f t="shared" si="1"/>
        <v>86971504</v>
      </c>
      <c r="J12" s="25">
        <f t="shared" si="2"/>
        <v>36920</v>
      </c>
      <c r="K12" s="20">
        <f t="shared" si="8"/>
        <v>3954146</v>
      </c>
      <c r="L12" s="12">
        <f t="shared" si="9"/>
        <v>49426.825000000004</v>
      </c>
      <c r="M12" s="41">
        <f t="shared" si="10"/>
        <v>49426.825000000004</v>
      </c>
      <c r="N12" s="41">
        <f t="shared" si="11"/>
        <v>0</v>
      </c>
      <c r="O12" s="20">
        <f t="shared" si="3"/>
        <v>3954146</v>
      </c>
    </row>
    <row r="13" spans="1:15" x14ac:dyDescent="0.2">
      <c r="A13" s="25">
        <v>36950</v>
      </c>
      <c r="B13" s="20">
        <f t="shared" si="4"/>
        <v>86971504</v>
      </c>
      <c r="C13" s="45">
        <v>6.83E-2</v>
      </c>
      <c r="D13" s="22">
        <f t="shared" si="0"/>
        <v>7.8800000000000009E-2</v>
      </c>
      <c r="E13" s="28">
        <f t="shared" si="5"/>
        <v>571112.8762666668</v>
      </c>
      <c r="F13" s="20">
        <f t="shared" si="6"/>
        <v>571112.8762666668</v>
      </c>
      <c r="G13" s="41">
        <f t="shared" si="7"/>
        <v>0</v>
      </c>
      <c r="H13" s="20">
        <f t="shared" si="1"/>
        <v>86971504</v>
      </c>
      <c r="J13" s="25">
        <f t="shared" si="2"/>
        <v>36950</v>
      </c>
      <c r="K13" s="20">
        <f t="shared" si="8"/>
        <v>3954146</v>
      </c>
      <c r="L13" s="12">
        <f t="shared" si="9"/>
        <v>49426.825000000004</v>
      </c>
      <c r="M13" s="41">
        <f t="shared" si="10"/>
        <v>49426.825000000004</v>
      </c>
      <c r="N13" s="41">
        <f t="shared" si="11"/>
        <v>0</v>
      </c>
      <c r="O13" s="20">
        <f t="shared" si="3"/>
        <v>3954146</v>
      </c>
    </row>
    <row r="14" spans="1:15" x14ac:dyDescent="0.2">
      <c r="A14" s="25">
        <v>36979</v>
      </c>
      <c r="B14" s="20">
        <f t="shared" si="4"/>
        <v>86971504</v>
      </c>
      <c r="C14" s="45">
        <v>6.83E-2</v>
      </c>
      <c r="D14" s="22">
        <f t="shared" si="0"/>
        <v>7.8800000000000009E-2</v>
      </c>
      <c r="E14" s="28">
        <f t="shared" si="5"/>
        <v>571112.8762666668</v>
      </c>
      <c r="F14" s="20">
        <f t="shared" si="6"/>
        <v>571112.8762666668</v>
      </c>
      <c r="G14" s="41">
        <f t="shared" si="7"/>
        <v>0</v>
      </c>
      <c r="H14" s="20">
        <f t="shared" si="1"/>
        <v>86971504</v>
      </c>
      <c r="J14" s="25">
        <f t="shared" si="2"/>
        <v>36979</v>
      </c>
      <c r="K14" s="20">
        <f t="shared" si="8"/>
        <v>3954146</v>
      </c>
      <c r="L14" s="12">
        <f t="shared" si="9"/>
        <v>49426.825000000004</v>
      </c>
      <c r="M14" s="41">
        <f t="shared" si="10"/>
        <v>49426.825000000004</v>
      </c>
      <c r="N14" s="41">
        <f t="shared" si="11"/>
        <v>0</v>
      </c>
      <c r="O14" s="20">
        <f t="shared" si="3"/>
        <v>3954146</v>
      </c>
    </row>
    <row r="15" spans="1:15" x14ac:dyDescent="0.2">
      <c r="A15" s="25">
        <v>37010</v>
      </c>
      <c r="B15" s="20">
        <f t="shared" si="4"/>
        <v>86971504</v>
      </c>
      <c r="C15" s="45">
        <v>6.8500000000000005E-2</v>
      </c>
      <c r="D15" s="22">
        <f t="shared" si="0"/>
        <v>7.9000000000000015E-2</v>
      </c>
      <c r="E15" s="28">
        <f t="shared" si="5"/>
        <v>572562.40133333346</v>
      </c>
      <c r="F15" s="20">
        <f t="shared" si="6"/>
        <v>572562.40133333346</v>
      </c>
      <c r="G15" s="41">
        <f t="shared" si="7"/>
        <v>0</v>
      </c>
      <c r="H15" s="20">
        <f t="shared" si="1"/>
        <v>86971504</v>
      </c>
      <c r="J15" s="25">
        <f t="shared" si="2"/>
        <v>37010</v>
      </c>
      <c r="K15" s="20">
        <f t="shared" si="8"/>
        <v>3954146</v>
      </c>
      <c r="L15" s="12">
        <f t="shared" si="9"/>
        <v>49426.825000000004</v>
      </c>
      <c r="M15" s="41">
        <f t="shared" si="10"/>
        <v>49426.825000000004</v>
      </c>
      <c r="N15" s="41">
        <f t="shared" si="11"/>
        <v>0</v>
      </c>
      <c r="O15" s="20">
        <f t="shared" si="3"/>
        <v>3954146</v>
      </c>
    </row>
    <row r="16" spans="1:15" x14ac:dyDescent="0.2">
      <c r="A16" s="25">
        <v>37040</v>
      </c>
      <c r="B16" s="20">
        <f t="shared" si="4"/>
        <v>86971504</v>
      </c>
      <c r="C16" s="45">
        <v>6.8699999999999997E-2</v>
      </c>
      <c r="D16" s="22">
        <f t="shared" si="0"/>
        <v>7.9200000000000007E-2</v>
      </c>
      <c r="E16" s="28">
        <f t="shared" si="5"/>
        <v>574011.92640000011</v>
      </c>
      <c r="F16" s="20">
        <f t="shared" si="6"/>
        <v>574011.92640000011</v>
      </c>
      <c r="G16" s="41">
        <f t="shared" si="7"/>
        <v>0</v>
      </c>
      <c r="H16" s="20">
        <f t="shared" si="1"/>
        <v>86971504</v>
      </c>
      <c r="J16" s="25">
        <f t="shared" si="2"/>
        <v>37040</v>
      </c>
      <c r="K16" s="20">
        <f t="shared" si="8"/>
        <v>3954146</v>
      </c>
      <c r="L16" s="12">
        <f t="shared" si="9"/>
        <v>49426.825000000004</v>
      </c>
      <c r="M16" s="41">
        <f t="shared" si="10"/>
        <v>49426.825000000004</v>
      </c>
      <c r="N16" s="41">
        <f t="shared" si="11"/>
        <v>0</v>
      </c>
      <c r="O16" s="20">
        <f t="shared" si="3"/>
        <v>3954146</v>
      </c>
    </row>
    <row r="17" spans="1:15" x14ac:dyDescent="0.2">
      <c r="A17" s="25">
        <v>37071</v>
      </c>
      <c r="B17" s="20">
        <f t="shared" si="4"/>
        <v>86971504</v>
      </c>
      <c r="C17" s="45">
        <v>6.8900000000000003E-2</v>
      </c>
      <c r="D17" s="22">
        <f t="shared" si="0"/>
        <v>7.9400000000000012E-2</v>
      </c>
      <c r="E17" s="28">
        <f t="shared" si="5"/>
        <v>575461.45146666677</v>
      </c>
      <c r="F17" s="20">
        <f t="shared" si="6"/>
        <v>575461.45146666677</v>
      </c>
      <c r="G17" s="41">
        <f t="shared" si="7"/>
        <v>0</v>
      </c>
      <c r="H17" s="20">
        <f t="shared" si="1"/>
        <v>86971504</v>
      </c>
      <c r="J17" s="25">
        <f t="shared" si="2"/>
        <v>37071</v>
      </c>
      <c r="K17" s="20">
        <f t="shared" si="8"/>
        <v>3954146</v>
      </c>
      <c r="L17" s="12">
        <f t="shared" si="9"/>
        <v>49426.825000000004</v>
      </c>
      <c r="M17" s="41">
        <f t="shared" si="10"/>
        <v>49426.825000000004</v>
      </c>
      <c r="N17" s="41">
        <f t="shared" si="11"/>
        <v>0</v>
      </c>
      <c r="O17" s="20">
        <f t="shared" si="3"/>
        <v>3954146</v>
      </c>
    </row>
    <row r="18" spans="1:15" x14ac:dyDescent="0.2">
      <c r="A18" s="25">
        <v>37101</v>
      </c>
      <c r="B18" s="20">
        <f t="shared" si="4"/>
        <v>86971504</v>
      </c>
      <c r="C18" s="45">
        <v>6.8900000000000003E-2</v>
      </c>
      <c r="D18" s="22">
        <f t="shared" si="0"/>
        <v>7.9400000000000012E-2</v>
      </c>
      <c r="E18" s="28">
        <f t="shared" si="5"/>
        <v>575461.45146666677</v>
      </c>
      <c r="F18" s="20">
        <f t="shared" si="6"/>
        <v>575461.45146666677</v>
      </c>
      <c r="G18" s="41">
        <f t="shared" si="7"/>
        <v>0</v>
      </c>
      <c r="H18" s="20">
        <f t="shared" si="1"/>
        <v>86971504</v>
      </c>
      <c r="J18" s="25">
        <f t="shared" si="2"/>
        <v>37101</v>
      </c>
      <c r="K18" s="20">
        <f t="shared" si="8"/>
        <v>3954146</v>
      </c>
      <c r="L18" s="12">
        <f t="shared" si="9"/>
        <v>49426.825000000004</v>
      </c>
      <c r="M18" s="41">
        <f t="shared" si="10"/>
        <v>49426.825000000004</v>
      </c>
      <c r="N18" s="41">
        <f t="shared" si="11"/>
        <v>0</v>
      </c>
      <c r="O18" s="20">
        <f t="shared" si="3"/>
        <v>3954146</v>
      </c>
    </row>
    <row r="19" spans="1:15" x14ac:dyDescent="0.2">
      <c r="A19" s="25">
        <v>37132</v>
      </c>
      <c r="B19" s="20">
        <f t="shared" si="4"/>
        <v>86971504</v>
      </c>
      <c r="C19" s="45">
        <v>6.8900000000000003E-2</v>
      </c>
      <c r="D19" s="22">
        <f t="shared" si="0"/>
        <v>7.9400000000000012E-2</v>
      </c>
      <c r="E19" s="28">
        <f t="shared" si="5"/>
        <v>575461.45146666677</v>
      </c>
      <c r="F19" s="20">
        <f t="shared" si="6"/>
        <v>575461.45146666677</v>
      </c>
      <c r="G19" s="41">
        <f t="shared" si="7"/>
        <v>0</v>
      </c>
      <c r="H19" s="20">
        <f t="shared" si="1"/>
        <v>86971504</v>
      </c>
      <c r="J19" s="25">
        <f t="shared" si="2"/>
        <v>37132</v>
      </c>
      <c r="K19" s="20">
        <f t="shared" si="8"/>
        <v>3954146</v>
      </c>
      <c r="L19" s="12">
        <f t="shared" si="9"/>
        <v>49426.825000000004</v>
      </c>
      <c r="M19" s="41">
        <f t="shared" si="10"/>
        <v>49426.825000000004</v>
      </c>
      <c r="N19" s="41">
        <f t="shared" si="11"/>
        <v>0</v>
      </c>
      <c r="O19" s="20">
        <f t="shared" si="3"/>
        <v>3954146</v>
      </c>
    </row>
    <row r="20" spans="1:15" x14ac:dyDescent="0.2">
      <c r="A20" s="25">
        <v>37163</v>
      </c>
      <c r="B20" s="20">
        <f t="shared" si="4"/>
        <v>86971504</v>
      </c>
      <c r="C20" s="45">
        <f>C19*(1+$C$5)</f>
        <v>6.9072250000000002E-2</v>
      </c>
      <c r="D20" s="22">
        <f>C20+0.005+0.0055</f>
        <v>7.9572250000000011E-2</v>
      </c>
      <c r="E20" s="28">
        <f t="shared" si="5"/>
        <v>576709.85493033344</v>
      </c>
      <c r="F20" s="20">
        <f t="shared" si="6"/>
        <v>576709.85493033344</v>
      </c>
      <c r="G20" s="41">
        <f t="shared" si="7"/>
        <v>0</v>
      </c>
      <c r="H20" s="20">
        <f t="shared" si="1"/>
        <v>86971504</v>
      </c>
      <c r="J20" s="25">
        <f t="shared" si="2"/>
        <v>37163</v>
      </c>
      <c r="K20" s="20">
        <f t="shared" si="8"/>
        <v>3954146</v>
      </c>
      <c r="L20" s="12">
        <f t="shared" si="9"/>
        <v>49426.825000000004</v>
      </c>
      <c r="M20" s="41">
        <f t="shared" si="10"/>
        <v>49426.825000000004</v>
      </c>
      <c r="N20" s="41">
        <f t="shared" si="11"/>
        <v>0</v>
      </c>
      <c r="O20" s="20">
        <f t="shared" si="3"/>
        <v>3954146</v>
      </c>
    </row>
    <row r="21" spans="1:15" x14ac:dyDescent="0.2">
      <c r="A21" s="25">
        <v>37193</v>
      </c>
      <c r="B21" s="20">
        <f t="shared" si="4"/>
        <v>86971504</v>
      </c>
      <c r="C21" s="45">
        <f>C20*(1+$C$5)</f>
        <v>6.9244930624999992E-2</v>
      </c>
      <c r="D21" s="22">
        <f t="shared" ref="D21:D47" si="12">C21+0.005+0.0055</f>
        <v>7.9744930625000002E-2</v>
      </c>
      <c r="E21" s="28">
        <f t="shared" si="5"/>
        <v>577961.37940265925</v>
      </c>
      <c r="F21" s="20">
        <f t="shared" si="6"/>
        <v>577961.37940265925</v>
      </c>
      <c r="G21" s="41">
        <f t="shared" si="7"/>
        <v>0</v>
      </c>
      <c r="H21" s="20">
        <f t="shared" si="1"/>
        <v>86971504</v>
      </c>
      <c r="J21" s="25">
        <f t="shared" si="2"/>
        <v>37193</v>
      </c>
      <c r="K21" s="20">
        <f t="shared" si="8"/>
        <v>3954146</v>
      </c>
      <c r="L21" s="12">
        <f t="shared" si="9"/>
        <v>49426.825000000004</v>
      </c>
      <c r="M21" s="41">
        <f t="shared" si="10"/>
        <v>49426.825000000004</v>
      </c>
      <c r="N21" s="41">
        <f t="shared" si="11"/>
        <v>0</v>
      </c>
      <c r="O21" s="20">
        <f t="shared" si="3"/>
        <v>3954146</v>
      </c>
    </row>
    <row r="22" spans="1:15" x14ac:dyDescent="0.2">
      <c r="A22" s="25">
        <v>37224</v>
      </c>
      <c r="B22" s="20">
        <f t="shared" si="4"/>
        <v>86971504</v>
      </c>
      <c r="C22" s="45">
        <f t="shared" ref="C22:C47" si="13">C21*(1+$C$5)</f>
        <v>6.9418042951562495E-2</v>
      </c>
      <c r="D22" s="22">
        <f t="shared" si="12"/>
        <v>7.9918042951562504E-2</v>
      </c>
      <c r="E22" s="28">
        <f t="shared" si="5"/>
        <v>579216.03268616588</v>
      </c>
      <c r="F22" s="20">
        <f t="shared" si="6"/>
        <v>579216.03268616588</v>
      </c>
      <c r="G22" s="41">
        <f t="shared" si="7"/>
        <v>0</v>
      </c>
      <c r="H22" s="20">
        <f t="shared" si="1"/>
        <v>86971504</v>
      </c>
      <c r="J22" s="25">
        <f t="shared" si="2"/>
        <v>37224</v>
      </c>
      <c r="K22" s="20">
        <f t="shared" si="8"/>
        <v>3954146</v>
      </c>
      <c r="L22" s="12">
        <f t="shared" si="9"/>
        <v>49426.825000000004</v>
      </c>
      <c r="M22" s="41">
        <f t="shared" si="10"/>
        <v>49426.825000000004</v>
      </c>
      <c r="N22" s="41">
        <f t="shared" si="11"/>
        <v>0</v>
      </c>
      <c r="O22" s="20">
        <f t="shared" si="3"/>
        <v>3954146</v>
      </c>
    </row>
    <row r="23" spans="1:15" x14ac:dyDescent="0.2">
      <c r="A23" s="25">
        <v>37254</v>
      </c>
      <c r="B23" s="20">
        <f t="shared" si="4"/>
        <v>86971504</v>
      </c>
      <c r="C23" s="45">
        <f t="shared" si="13"/>
        <v>6.9591588058941403E-2</v>
      </c>
      <c r="D23" s="22">
        <f t="shared" si="12"/>
        <v>8.0091588058941413E-2</v>
      </c>
      <c r="E23" s="28">
        <f t="shared" si="5"/>
        <v>580473.82260288124</v>
      </c>
      <c r="F23" s="20">
        <f t="shared" si="6"/>
        <v>580473.82260288124</v>
      </c>
      <c r="G23" s="41">
        <f t="shared" si="7"/>
        <v>0</v>
      </c>
      <c r="H23" s="20">
        <f t="shared" si="1"/>
        <v>86971504</v>
      </c>
      <c r="J23" s="25">
        <f t="shared" si="2"/>
        <v>37254</v>
      </c>
      <c r="K23" s="20">
        <f t="shared" si="8"/>
        <v>3954146</v>
      </c>
      <c r="L23" s="12">
        <f t="shared" si="9"/>
        <v>49426.825000000004</v>
      </c>
      <c r="M23" s="41">
        <f t="shared" si="10"/>
        <v>49426.825000000004</v>
      </c>
      <c r="N23" s="41">
        <f t="shared" si="11"/>
        <v>0</v>
      </c>
      <c r="O23" s="20">
        <f t="shared" si="3"/>
        <v>3954146</v>
      </c>
    </row>
    <row r="24" spans="1:15" x14ac:dyDescent="0.2">
      <c r="A24" s="25">
        <v>37285</v>
      </c>
      <c r="B24" s="20">
        <f t="shared" si="4"/>
        <v>86971504</v>
      </c>
      <c r="C24" s="45">
        <f t="shared" si="13"/>
        <v>6.976556702908876E-2</v>
      </c>
      <c r="D24" s="22">
        <f t="shared" si="12"/>
        <v>8.0265567029088769E-2</v>
      </c>
      <c r="E24" s="28">
        <f t="shared" si="5"/>
        <v>581734.75699438853</v>
      </c>
      <c r="F24" s="20">
        <f t="shared" si="6"/>
        <v>581734.75699438853</v>
      </c>
      <c r="G24" s="41">
        <f t="shared" si="7"/>
        <v>0</v>
      </c>
      <c r="H24" s="20">
        <f t="shared" si="1"/>
        <v>86971504</v>
      </c>
      <c r="J24" s="25">
        <f t="shared" si="2"/>
        <v>37285</v>
      </c>
      <c r="K24" s="20">
        <f t="shared" si="8"/>
        <v>3954146</v>
      </c>
      <c r="L24" s="12">
        <f t="shared" si="9"/>
        <v>49426.825000000004</v>
      </c>
      <c r="M24" s="41">
        <f t="shared" si="10"/>
        <v>49426.825000000004</v>
      </c>
      <c r="N24" s="41">
        <f t="shared" si="11"/>
        <v>0</v>
      </c>
      <c r="O24" s="20">
        <f t="shared" si="3"/>
        <v>3954146</v>
      </c>
    </row>
    <row r="25" spans="1:15" x14ac:dyDescent="0.2">
      <c r="A25" s="25">
        <v>37315</v>
      </c>
      <c r="B25" s="20">
        <f t="shared" si="4"/>
        <v>86971504</v>
      </c>
      <c r="C25" s="45">
        <f t="shared" si="13"/>
        <v>6.9939980946661484E-2</v>
      </c>
      <c r="D25" s="22">
        <f t="shared" si="12"/>
        <v>8.0439980946661493E-2</v>
      </c>
      <c r="E25" s="28">
        <f t="shared" si="5"/>
        <v>582998.84372187452</v>
      </c>
      <c r="F25" s="20">
        <f t="shared" si="6"/>
        <v>582998.84372187452</v>
      </c>
      <c r="G25" s="41">
        <f t="shared" si="7"/>
        <v>0</v>
      </c>
      <c r="H25" s="20">
        <f t="shared" si="1"/>
        <v>86971504</v>
      </c>
      <c r="J25" s="25">
        <f t="shared" si="2"/>
        <v>37315</v>
      </c>
      <c r="K25" s="20">
        <f t="shared" si="8"/>
        <v>3954146</v>
      </c>
      <c r="L25" s="12">
        <f t="shared" si="9"/>
        <v>49426.825000000004</v>
      </c>
      <c r="M25" s="41">
        <f t="shared" si="10"/>
        <v>49426.825000000004</v>
      </c>
      <c r="N25" s="41">
        <f t="shared" si="11"/>
        <v>0</v>
      </c>
      <c r="O25" s="20">
        <f t="shared" si="3"/>
        <v>3954146</v>
      </c>
    </row>
    <row r="26" spans="1:15" x14ac:dyDescent="0.2">
      <c r="A26" s="25">
        <v>37344</v>
      </c>
      <c r="B26" s="20">
        <f t="shared" si="4"/>
        <v>86971504</v>
      </c>
      <c r="C26" s="45">
        <f t="shared" si="13"/>
        <v>7.0114830899028133E-2</v>
      </c>
      <c r="D26" s="22">
        <f t="shared" si="12"/>
        <v>8.0614830899028142E-2</v>
      </c>
      <c r="E26" s="28">
        <f t="shared" si="5"/>
        <v>584266.0906661792</v>
      </c>
      <c r="F26" s="20">
        <f t="shared" si="6"/>
        <v>584266.0906661792</v>
      </c>
      <c r="G26" s="41">
        <f t="shared" si="7"/>
        <v>0</v>
      </c>
      <c r="H26" s="20">
        <f t="shared" si="1"/>
        <v>86971504</v>
      </c>
      <c r="J26" s="25">
        <f t="shared" si="2"/>
        <v>37344</v>
      </c>
      <c r="K26" s="20">
        <f t="shared" si="8"/>
        <v>3954146</v>
      </c>
      <c r="L26" s="12">
        <f t="shared" si="9"/>
        <v>49426.825000000004</v>
      </c>
      <c r="M26" s="41">
        <f t="shared" si="10"/>
        <v>49426.825000000004</v>
      </c>
      <c r="N26" s="41">
        <f t="shared" si="11"/>
        <v>0</v>
      </c>
      <c r="O26" s="20">
        <f t="shared" si="3"/>
        <v>3954146</v>
      </c>
    </row>
    <row r="27" spans="1:15" x14ac:dyDescent="0.2">
      <c r="A27" s="25">
        <v>37375</v>
      </c>
      <c r="B27" s="20">
        <f t="shared" si="4"/>
        <v>86971504</v>
      </c>
      <c r="C27" s="45">
        <f t="shared" si="13"/>
        <v>7.0290117976275698E-2</v>
      </c>
      <c r="D27" s="22">
        <f t="shared" si="12"/>
        <v>8.0790117976275708E-2</v>
      </c>
      <c r="E27" s="28">
        <f t="shared" si="5"/>
        <v>585536.50572784455</v>
      </c>
      <c r="F27" s="20">
        <f t="shared" si="6"/>
        <v>585536.50572784455</v>
      </c>
      <c r="G27" s="41">
        <f t="shared" si="7"/>
        <v>0</v>
      </c>
      <c r="H27" s="20">
        <f t="shared" si="1"/>
        <v>86971504</v>
      </c>
      <c r="J27" s="25">
        <f t="shared" si="2"/>
        <v>37375</v>
      </c>
      <c r="K27" s="20">
        <f t="shared" si="8"/>
        <v>3954146</v>
      </c>
      <c r="L27" s="12">
        <f t="shared" si="9"/>
        <v>49426.825000000004</v>
      </c>
      <c r="M27" s="41">
        <f t="shared" si="10"/>
        <v>49426.825000000004</v>
      </c>
      <c r="N27" s="41">
        <f t="shared" si="11"/>
        <v>0</v>
      </c>
      <c r="O27" s="20">
        <f t="shared" si="3"/>
        <v>3954146</v>
      </c>
    </row>
    <row r="28" spans="1:15" x14ac:dyDescent="0.2">
      <c r="A28" s="25">
        <v>37405</v>
      </c>
      <c r="B28" s="20">
        <f t="shared" si="4"/>
        <v>86971504</v>
      </c>
      <c r="C28" s="45">
        <f t="shared" si="13"/>
        <v>7.0465843271216383E-2</v>
      </c>
      <c r="D28" s="22">
        <f t="shared" si="12"/>
        <v>8.0965843271216392E-2</v>
      </c>
      <c r="E28" s="28">
        <f t="shared" si="5"/>
        <v>586810.09682716418</v>
      </c>
      <c r="F28" s="20">
        <f t="shared" si="6"/>
        <v>586810.09682716418</v>
      </c>
      <c r="G28" s="41">
        <f t="shared" si="7"/>
        <v>0</v>
      </c>
      <c r="H28" s="20">
        <f t="shared" si="1"/>
        <v>86971504</v>
      </c>
      <c r="J28" s="25">
        <f t="shared" si="2"/>
        <v>37405</v>
      </c>
      <c r="K28" s="20">
        <f t="shared" si="8"/>
        <v>3954146</v>
      </c>
      <c r="L28" s="12">
        <f t="shared" si="9"/>
        <v>49426.825000000004</v>
      </c>
      <c r="M28" s="41">
        <f t="shared" si="10"/>
        <v>49426.825000000004</v>
      </c>
      <c r="N28" s="41">
        <f t="shared" si="11"/>
        <v>0</v>
      </c>
      <c r="O28" s="20">
        <f t="shared" si="3"/>
        <v>3954146</v>
      </c>
    </row>
    <row r="29" spans="1:15" x14ac:dyDescent="0.2">
      <c r="A29" s="25">
        <v>37436</v>
      </c>
      <c r="B29" s="20">
        <f t="shared" si="4"/>
        <v>86971504</v>
      </c>
      <c r="C29" s="45">
        <f t="shared" si="13"/>
        <v>7.0642007879394425E-2</v>
      </c>
      <c r="D29" s="22">
        <f t="shared" si="12"/>
        <v>8.1142007879394434E-2</v>
      </c>
      <c r="E29" s="28">
        <f t="shared" si="5"/>
        <v>588086.87190423207</v>
      </c>
      <c r="F29" s="20">
        <f t="shared" si="6"/>
        <v>588086.87190423207</v>
      </c>
      <c r="G29" s="41">
        <f t="shared" si="7"/>
        <v>0</v>
      </c>
      <c r="H29" s="20">
        <f t="shared" si="1"/>
        <v>86971504</v>
      </c>
      <c r="J29" s="25">
        <f t="shared" si="2"/>
        <v>37436</v>
      </c>
      <c r="K29" s="20">
        <f t="shared" si="8"/>
        <v>3954146</v>
      </c>
      <c r="L29" s="12">
        <f t="shared" si="9"/>
        <v>49426.825000000004</v>
      </c>
      <c r="M29" s="41">
        <f t="shared" si="10"/>
        <v>49426.825000000004</v>
      </c>
      <c r="N29" s="41">
        <f t="shared" si="11"/>
        <v>0</v>
      </c>
      <c r="O29" s="20">
        <f t="shared" si="3"/>
        <v>3954146</v>
      </c>
    </row>
    <row r="30" spans="1:15" x14ac:dyDescent="0.2">
      <c r="A30" s="25">
        <v>37466</v>
      </c>
      <c r="B30" s="20">
        <f t="shared" si="4"/>
        <v>86971504</v>
      </c>
      <c r="C30" s="45">
        <f t="shared" si="13"/>
        <v>7.0818612899092914E-2</v>
      </c>
      <c r="D30" s="22">
        <f t="shared" si="12"/>
        <v>8.1318612899092924E-2</v>
      </c>
      <c r="E30" s="28">
        <f t="shared" si="5"/>
        <v>589366.83891899267</v>
      </c>
      <c r="F30" s="20">
        <f t="shared" si="6"/>
        <v>589366.83891899267</v>
      </c>
      <c r="G30" s="41">
        <f t="shared" si="7"/>
        <v>0</v>
      </c>
      <c r="H30" s="20">
        <f t="shared" si="1"/>
        <v>86971504</v>
      </c>
      <c r="J30" s="25">
        <f t="shared" si="2"/>
        <v>37466</v>
      </c>
      <c r="K30" s="20">
        <f t="shared" si="8"/>
        <v>3954146</v>
      </c>
      <c r="L30" s="12">
        <f t="shared" si="9"/>
        <v>49426.825000000004</v>
      </c>
      <c r="M30" s="41">
        <f t="shared" si="10"/>
        <v>49426.825000000004</v>
      </c>
      <c r="N30" s="41">
        <f t="shared" si="11"/>
        <v>0</v>
      </c>
      <c r="O30" s="20">
        <f t="shared" si="3"/>
        <v>3954146</v>
      </c>
    </row>
    <row r="31" spans="1:15" x14ac:dyDescent="0.2">
      <c r="A31" s="25">
        <v>37497</v>
      </c>
      <c r="B31" s="20">
        <f t="shared" si="4"/>
        <v>86971504</v>
      </c>
      <c r="C31" s="45">
        <f t="shared" si="13"/>
        <v>7.0995659431340646E-2</v>
      </c>
      <c r="D31" s="22">
        <f t="shared" si="12"/>
        <v>8.1495659431340656E-2</v>
      </c>
      <c r="E31" s="28">
        <f t="shared" si="5"/>
        <v>590650.00585129007</v>
      </c>
      <c r="F31" s="20">
        <f t="shared" si="6"/>
        <v>590650.00585129007</v>
      </c>
      <c r="G31" s="41">
        <f t="shared" si="7"/>
        <v>0</v>
      </c>
      <c r="H31" s="20">
        <f t="shared" si="1"/>
        <v>86971504</v>
      </c>
      <c r="J31" s="25">
        <f t="shared" si="2"/>
        <v>37497</v>
      </c>
      <c r="K31" s="20">
        <f t="shared" si="8"/>
        <v>3954146</v>
      </c>
      <c r="L31" s="12">
        <f t="shared" si="9"/>
        <v>49426.825000000004</v>
      </c>
      <c r="M31" s="41">
        <f t="shared" si="10"/>
        <v>49426.825000000004</v>
      </c>
      <c r="N31" s="41">
        <f t="shared" si="11"/>
        <v>0</v>
      </c>
      <c r="O31" s="20">
        <f t="shared" si="3"/>
        <v>3954146</v>
      </c>
    </row>
    <row r="32" spans="1:15" x14ac:dyDescent="0.2">
      <c r="A32" s="25">
        <v>37528</v>
      </c>
      <c r="B32" s="20">
        <f t="shared" si="4"/>
        <v>86971504</v>
      </c>
      <c r="C32" s="45">
        <f t="shared" si="13"/>
        <v>7.1173148579918993E-2</v>
      </c>
      <c r="D32" s="22">
        <f t="shared" si="12"/>
        <v>8.1673148579919003E-2</v>
      </c>
      <c r="E32" s="28">
        <f t="shared" si="5"/>
        <v>591936.38070091826</v>
      </c>
      <c r="F32" s="20">
        <f t="shared" si="6"/>
        <v>591936.38070091826</v>
      </c>
      <c r="G32" s="41">
        <f t="shared" si="7"/>
        <v>0</v>
      </c>
      <c r="H32" s="20">
        <f t="shared" si="1"/>
        <v>86971504</v>
      </c>
      <c r="J32" s="25">
        <f t="shared" si="2"/>
        <v>37528</v>
      </c>
      <c r="K32" s="20">
        <f t="shared" si="8"/>
        <v>3954146</v>
      </c>
      <c r="L32" s="12">
        <f t="shared" si="9"/>
        <v>49426.825000000004</v>
      </c>
      <c r="M32" s="41">
        <f t="shared" si="10"/>
        <v>49426.825000000004</v>
      </c>
      <c r="N32" s="41">
        <f t="shared" si="11"/>
        <v>0</v>
      </c>
      <c r="O32" s="20">
        <f t="shared" si="3"/>
        <v>3954146</v>
      </c>
    </row>
    <row r="33" spans="1:15" x14ac:dyDescent="0.2">
      <c r="A33" s="25">
        <v>37558</v>
      </c>
      <c r="B33" s="20">
        <f t="shared" si="4"/>
        <v>86971504</v>
      </c>
      <c r="C33" s="45">
        <f t="shared" si="13"/>
        <v>7.1351081451368786E-2</v>
      </c>
      <c r="D33" s="22">
        <f t="shared" si="12"/>
        <v>8.1851081451368796E-2</v>
      </c>
      <c r="E33" s="28">
        <f t="shared" si="5"/>
        <v>593225.97148767055</v>
      </c>
      <c r="F33" s="20">
        <f t="shared" si="6"/>
        <v>593225.97148767055</v>
      </c>
      <c r="G33" s="41">
        <f t="shared" si="7"/>
        <v>0</v>
      </c>
      <c r="H33" s="20">
        <f t="shared" si="1"/>
        <v>86971504</v>
      </c>
      <c r="J33" s="25">
        <f t="shared" si="2"/>
        <v>37558</v>
      </c>
      <c r="K33" s="20">
        <f t="shared" si="8"/>
        <v>3954146</v>
      </c>
      <c r="L33" s="12">
        <f t="shared" si="9"/>
        <v>49426.825000000004</v>
      </c>
      <c r="M33" s="41">
        <f t="shared" si="10"/>
        <v>49426.825000000004</v>
      </c>
      <c r="N33" s="41">
        <f t="shared" si="11"/>
        <v>0</v>
      </c>
      <c r="O33" s="20">
        <f t="shared" si="3"/>
        <v>3954146</v>
      </c>
    </row>
    <row r="34" spans="1:15" x14ac:dyDescent="0.2">
      <c r="A34" s="25">
        <v>37589</v>
      </c>
      <c r="B34" s="20">
        <f t="shared" si="4"/>
        <v>86971504</v>
      </c>
      <c r="C34" s="45">
        <f t="shared" si="13"/>
        <v>7.1529459154997199E-2</v>
      </c>
      <c r="D34" s="22">
        <f t="shared" si="12"/>
        <v>8.2029459154997209E-2</v>
      </c>
      <c r="E34" s="28">
        <f t="shared" si="5"/>
        <v>594518.78625138977</v>
      </c>
      <c r="F34" s="20">
        <f t="shared" si="6"/>
        <v>594518.78625138977</v>
      </c>
      <c r="G34" s="41">
        <f t="shared" si="7"/>
        <v>0</v>
      </c>
      <c r="H34" s="20">
        <f t="shared" si="1"/>
        <v>86971504</v>
      </c>
      <c r="J34" s="25">
        <f t="shared" si="2"/>
        <v>37589</v>
      </c>
      <c r="K34" s="20">
        <f t="shared" si="8"/>
        <v>3954146</v>
      </c>
      <c r="L34" s="12">
        <f t="shared" si="9"/>
        <v>49426.825000000004</v>
      </c>
      <c r="M34" s="41">
        <f t="shared" si="10"/>
        <v>49426.825000000004</v>
      </c>
      <c r="N34" s="41">
        <f t="shared" si="11"/>
        <v>0</v>
      </c>
      <c r="O34" s="20">
        <f t="shared" si="3"/>
        <v>3954146</v>
      </c>
    </row>
    <row r="35" spans="1:15" x14ac:dyDescent="0.2">
      <c r="A35" s="25">
        <v>37619</v>
      </c>
      <c r="B35" s="20">
        <f t="shared" si="4"/>
        <v>86971504</v>
      </c>
      <c r="C35" s="45">
        <f t="shared" si="13"/>
        <v>7.1708282802884687E-2</v>
      </c>
      <c r="D35" s="22">
        <f t="shared" si="12"/>
        <v>8.2208282802884697E-2</v>
      </c>
      <c r="E35" s="28">
        <f t="shared" si="5"/>
        <v>595814.83305201808</v>
      </c>
      <c r="F35" s="20">
        <f t="shared" si="6"/>
        <v>595814.83305201808</v>
      </c>
      <c r="G35" s="41">
        <f t="shared" si="7"/>
        <v>0</v>
      </c>
      <c r="H35" s="20">
        <f t="shared" si="1"/>
        <v>86971504</v>
      </c>
      <c r="J35" s="25">
        <f t="shared" si="2"/>
        <v>37619</v>
      </c>
      <c r="K35" s="20">
        <f t="shared" si="8"/>
        <v>3954146</v>
      </c>
      <c r="L35" s="12">
        <f t="shared" si="9"/>
        <v>49426.825000000004</v>
      </c>
      <c r="M35" s="41">
        <f t="shared" si="10"/>
        <v>49426.825000000004</v>
      </c>
      <c r="N35" s="41">
        <f t="shared" si="11"/>
        <v>0</v>
      </c>
      <c r="O35" s="20">
        <f t="shared" si="3"/>
        <v>3954146</v>
      </c>
    </row>
    <row r="36" spans="1:15" x14ac:dyDescent="0.2">
      <c r="A36" s="25">
        <v>37650</v>
      </c>
      <c r="B36" s="20">
        <f t="shared" si="4"/>
        <v>86971504</v>
      </c>
      <c r="C36" s="45">
        <f t="shared" si="13"/>
        <v>7.1887553509891899E-2</v>
      </c>
      <c r="D36" s="22">
        <f t="shared" si="12"/>
        <v>8.2387553509891909E-2</v>
      </c>
      <c r="E36" s="28">
        <f t="shared" si="5"/>
        <v>597114.11996964819</v>
      </c>
      <c r="F36" s="20">
        <f t="shared" si="6"/>
        <v>597114.11996964819</v>
      </c>
      <c r="G36" s="41">
        <f t="shared" si="7"/>
        <v>0</v>
      </c>
      <c r="H36" s="20">
        <f t="shared" si="1"/>
        <v>86971504</v>
      </c>
      <c r="J36" s="25">
        <f t="shared" si="2"/>
        <v>37650</v>
      </c>
      <c r="K36" s="20">
        <f t="shared" si="8"/>
        <v>3954146</v>
      </c>
      <c r="L36" s="12">
        <f t="shared" si="9"/>
        <v>49426.825000000004</v>
      </c>
      <c r="M36" s="41">
        <f t="shared" si="10"/>
        <v>49426.825000000004</v>
      </c>
      <c r="N36" s="41">
        <f t="shared" si="11"/>
        <v>0</v>
      </c>
      <c r="O36" s="20">
        <f t="shared" si="3"/>
        <v>3954146</v>
      </c>
    </row>
    <row r="37" spans="1:15" x14ac:dyDescent="0.2">
      <c r="A37" s="25">
        <v>37680</v>
      </c>
      <c r="B37" s="20">
        <f t="shared" si="4"/>
        <v>86971504</v>
      </c>
      <c r="C37" s="45">
        <f t="shared" si="13"/>
        <v>7.2067272393666629E-2</v>
      </c>
      <c r="D37" s="22">
        <f t="shared" si="12"/>
        <v>8.2567272393666638E-2</v>
      </c>
      <c r="E37" s="28">
        <f t="shared" si="5"/>
        <v>598416.6551045723</v>
      </c>
      <c r="F37" s="20">
        <f t="shared" si="6"/>
        <v>598416.6551045723</v>
      </c>
      <c r="G37" s="41">
        <f t="shared" si="7"/>
        <v>0</v>
      </c>
      <c r="H37" s="20">
        <f t="shared" si="1"/>
        <v>86971504</v>
      </c>
      <c r="J37" s="25">
        <f t="shared" si="2"/>
        <v>37680</v>
      </c>
      <c r="K37" s="20">
        <f t="shared" si="8"/>
        <v>3954146</v>
      </c>
      <c r="L37" s="12">
        <f t="shared" si="9"/>
        <v>49426.825000000004</v>
      </c>
      <c r="M37" s="41">
        <f t="shared" si="10"/>
        <v>49426.825000000004</v>
      </c>
      <c r="N37" s="41">
        <f t="shared" si="11"/>
        <v>0</v>
      </c>
      <c r="O37" s="20">
        <f t="shared" si="3"/>
        <v>3954146</v>
      </c>
    </row>
    <row r="38" spans="1:15" x14ac:dyDescent="0.2">
      <c r="A38" s="25">
        <v>37709</v>
      </c>
      <c r="B38" s="20">
        <f t="shared" si="4"/>
        <v>86971504</v>
      </c>
      <c r="C38" s="45">
        <f t="shared" si="13"/>
        <v>7.2247440574650795E-2</v>
      </c>
      <c r="D38" s="22">
        <f t="shared" si="12"/>
        <v>8.2747440574650805E-2</v>
      </c>
      <c r="E38" s="28">
        <f t="shared" si="5"/>
        <v>599722.44657733373</v>
      </c>
      <c r="F38" s="20">
        <f t="shared" si="6"/>
        <v>599722.44657733373</v>
      </c>
      <c r="G38" s="41">
        <f t="shared" si="7"/>
        <v>0</v>
      </c>
      <c r="H38" s="20">
        <f t="shared" si="1"/>
        <v>86971504</v>
      </c>
      <c r="J38" s="25">
        <f t="shared" si="2"/>
        <v>37709</v>
      </c>
      <c r="K38" s="20">
        <f t="shared" si="8"/>
        <v>3954146</v>
      </c>
      <c r="L38" s="12">
        <f t="shared" si="9"/>
        <v>49426.825000000004</v>
      </c>
      <c r="M38" s="41">
        <f t="shared" si="10"/>
        <v>49426.825000000004</v>
      </c>
      <c r="N38" s="41">
        <f t="shared" si="11"/>
        <v>0</v>
      </c>
      <c r="O38" s="20">
        <f t="shared" si="3"/>
        <v>3954146</v>
      </c>
    </row>
    <row r="39" spans="1:15" x14ac:dyDescent="0.2">
      <c r="A39" s="25">
        <v>37740</v>
      </c>
      <c r="B39" s="20">
        <f t="shared" si="4"/>
        <v>86971504</v>
      </c>
      <c r="C39" s="45">
        <f t="shared" si="13"/>
        <v>7.2428059176087412E-2</v>
      </c>
      <c r="D39" s="22">
        <f t="shared" si="12"/>
        <v>8.2928059176087421E-2</v>
      </c>
      <c r="E39" s="28">
        <f t="shared" si="5"/>
        <v>601031.502528777</v>
      </c>
      <c r="F39" s="20">
        <f t="shared" si="6"/>
        <v>601031.502528777</v>
      </c>
      <c r="G39" s="41">
        <f t="shared" si="7"/>
        <v>0</v>
      </c>
      <c r="H39" s="20">
        <f t="shared" si="1"/>
        <v>86971504</v>
      </c>
      <c r="J39" s="25">
        <f t="shared" si="2"/>
        <v>37740</v>
      </c>
      <c r="K39" s="20">
        <f t="shared" si="8"/>
        <v>3954146</v>
      </c>
      <c r="L39" s="12">
        <f t="shared" si="9"/>
        <v>49426.825000000004</v>
      </c>
      <c r="M39" s="41">
        <f t="shared" si="10"/>
        <v>49426.825000000004</v>
      </c>
      <c r="N39" s="41">
        <f t="shared" si="11"/>
        <v>0</v>
      </c>
      <c r="O39" s="20">
        <f t="shared" si="3"/>
        <v>3954146</v>
      </c>
    </row>
    <row r="40" spans="1:15" x14ac:dyDescent="0.2">
      <c r="A40" s="25">
        <v>37770</v>
      </c>
      <c r="B40" s="20">
        <f t="shared" si="4"/>
        <v>86971504</v>
      </c>
      <c r="C40" s="45">
        <f t="shared" si="13"/>
        <v>7.2609129324027633E-2</v>
      </c>
      <c r="D40" s="22">
        <f t="shared" si="12"/>
        <v>8.3109129324027642E-2</v>
      </c>
      <c r="E40" s="28">
        <f t="shared" si="5"/>
        <v>602343.83112009894</v>
      </c>
      <c r="F40" s="20">
        <f t="shared" si="6"/>
        <v>602343.83112009894</v>
      </c>
      <c r="G40" s="41">
        <f t="shared" si="7"/>
        <v>0</v>
      </c>
      <c r="H40" s="20">
        <f t="shared" si="1"/>
        <v>86971504</v>
      </c>
      <c r="J40" s="25">
        <f t="shared" si="2"/>
        <v>37770</v>
      </c>
      <c r="K40" s="20">
        <f t="shared" si="8"/>
        <v>3954146</v>
      </c>
      <c r="L40" s="12">
        <f t="shared" si="9"/>
        <v>49426.825000000004</v>
      </c>
      <c r="M40" s="41">
        <f t="shared" si="10"/>
        <v>49426.825000000004</v>
      </c>
      <c r="N40" s="41">
        <f t="shared" si="11"/>
        <v>0</v>
      </c>
      <c r="O40" s="20">
        <f t="shared" si="3"/>
        <v>3954146</v>
      </c>
    </row>
    <row r="41" spans="1:15" x14ac:dyDescent="0.2">
      <c r="A41" s="25">
        <v>37801</v>
      </c>
      <c r="B41" s="20">
        <f t="shared" si="4"/>
        <v>86971504</v>
      </c>
      <c r="C41" s="45">
        <f t="shared" si="13"/>
        <v>7.2790652147337695E-2</v>
      </c>
      <c r="D41" s="22">
        <f t="shared" si="12"/>
        <v>8.3290652147337704E-2</v>
      </c>
      <c r="E41" s="28">
        <f t="shared" si="5"/>
        <v>603659.44053289911</v>
      </c>
      <c r="F41" s="20">
        <f t="shared" si="6"/>
        <v>603659.44053289911</v>
      </c>
      <c r="G41" s="41">
        <f t="shared" si="7"/>
        <v>0</v>
      </c>
      <c r="H41" s="20">
        <f t="shared" si="1"/>
        <v>86971504</v>
      </c>
      <c r="J41" s="25">
        <f t="shared" si="2"/>
        <v>37801</v>
      </c>
      <c r="K41" s="20">
        <f t="shared" si="8"/>
        <v>3954146</v>
      </c>
      <c r="L41" s="12">
        <f t="shared" si="9"/>
        <v>49426.825000000004</v>
      </c>
      <c r="M41" s="41">
        <f t="shared" si="10"/>
        <v>49426.825000000004</v>
      </c>
      <c r="N41" s="41">
        <f t="shared" si="11"/>
        <v>0</v>
      </c>
      <c r="O41" s="20">
        <f>K41-N41</f>
        <v>3954146</v>
      </c>
    </row>
    <row r="42" spans="1:15" x14ac:dyDescent="0.2">
      <c r="A42" s="25">
        <v>37831</v>
      </c>
      <c r="B42" s="20">
        <f t="shared" si="4"/>
        <v>86971504</v>
      </c>
      <c r="C42" s="45">
        <f t="shared" si="13"/>
        <v>7.2972628777706036E-2</v>
      </c>
      <c r="D42" s="22">
        <f t="shared" si="12"/>
        <v>8.3472628777706045E-2</v>
      </c>
      <c r="E42" s="28">
        <f t="shared" si="5"/>
        <v>604978.33896923135</v>
      </c>
      <c r="F42" s="20">
        <f t="shared" si="6"/>
        <v>604978.33896923135</v>
      </c>
      <c r="G42" s="41">
        <f t="shared" si="7"/>
        <v>0</v>
      </c>
      <c r="H42" s="20">
        <f t="shared" si="1"/>
        <v>86971504</v>
      </c>
      <c r="J42" s="25">
        <f t="shared" si="2"/>
        <v>37831</v>
      </c>
      <c r="K42" s="20">
        <f t="shared" si="8"/>
        <v>3954146</v>
      </c>
      <c r="L42" s="12">
        <f t="shared" si="9"/>
        <v>49426.825000000004</v>
      </c>
      <c r="M42" s="41">
        <f t="shared" si="10"/>
        <v>49426.825000000004</v>
      </c>
      <c r="N42" s="41">
        <f t="shared" si="11"/>
        <v>0</v>
      </c>
      <c r="O42" s="20">
        <f t="shared" si="3"/>
        <v>3954146</v>
      </c>
    </row>
    <row r="43" spans="1:15" x14ac:dyDescent="0.2">
      <c r="A43" s="25">
        <v>37862</v>
      </c>
      <c r="B43" s="20">
        <f t="shared" si="4"/>
        <v>86971504</v>
      </c>
      <c r="C43" s="45">
        <f t="shared" si="13"/>
        <v>7.3155060349650303E-2</v>
      </c>
      <c r="D43" s="22">
        <f t="shared" si="12"/>
        <v>8.3655060349650312E-2</v>
      </c>
      <c r="E43" s="28">
        <f t="shared" si="5"/>
        <v>606300.53465165442</v>
      </c>
      <c r="F43" s="20">
        <f t="shared" si="6"/>
        <v>606300.53465165442</v>
      </c>
      <c r="G43" s="41">
        <f t="shared" si="7"/>
        <v>0</v>
      </c>
      <c r="H43" s="20">
        <f t="shared" si="1"/>
        <v>86971504</v>
      </c>
      <c r="J43" s="25">
        <f t="shared" si="2"/>
        <v>37862</v>
      </c>
      <c r="K43" s="20">
        <f t="shared" si="8"/>
        <v>3954146</v>
      </c>
      <c r="L43" s="12">
        <f t="shared" si="9"/>
        <v>49426.825000000004</v>
      </c>
      <c r="M43" s="41">
        <f t="shared" si="10"/>
        <v>49426.825000000004</v>
      </c>
      <c r="N43" s="41">
        <f t="shared" si="11"/>
        <v>0</v>
      </c>
      <c r="O43" s="20">
        <f t="shared" si="3"/>
        <v>3954146</v>
      </c>
    </row>
    <row r="44" spans="1:15" x14ac:dyDescent="0.2">
      <c r="A44" s="25">
        <v>37893</v>
      </c>
      <c r="B44" s="20">
        <f t="shared" si="4"/>
        <v>86971504</v>
      </c>
      <c r="C44" s="45">
        <f t="shared" si="13"/>
        <v>7.3337948000524428E-2</v>
      </c>
      <c r="D44" s="22">
        <f t="shared" si="12"/>
        <v>8.3837948000524437E-2</v>
      </c>
      <c r="E44" s="28">
        <f t="shared" si="5"/>
        <v>607626.0358232836</v>
      </c>
      <c r="F44" s="20">
        <f t="shared" si="6"/>
        <v>607626.0358232836</v>
      </c>
      <c r="G44" s="41">
        <f t="shared" si="7"/>
        <v>0</v>
      </c>
      <c r="H44" s="20">
        <f t="shared" si="1"/>
        <v>86971504</v>
      </c>
      <c r="J44" s="25">
        <f t="shared" si="2"/>
        <v>37893</v>
      </c>
      <c r="K44" s="20">
        <f t="shared" si="8"/>
        <v>3954146</v>
      </c>
      <c r="L44" s="12">
        <f t="shared" si="9"/>
        <v>49426.825000000004</v>
      </c>
      <c r="M44" s="41">
        <f t="shared" si="10"/>
        <v>49426.825000000004</v>
      </c>
      <c r="N44" s="41">
        <f t="shared" si="11"/>
        <v>0</v>
      </c>
      <c r="O44" s="20">
        <f t="shared" si="3"/>
        <v>3954146</v>
      </c>
    </row>
    <row r="45" spans="1:15" x14ac:dyDescent="0.2">
      <c r="A45" s="25">
        <v>37923</v>
      </c>
      <c r="B45" s="20">
        <f t="shared" si="4"/>
        <v>86971504</v>
      </c>
      <c r="C45" s="45">
        <f t="shared" si="13"/>
        <v>7.3521292870525737E-2</v>
      </c>
      <c r="D45" s="22">
        <f t="shared" si="12"/>
        <v>8.4021292870525746E-2</v>
      </c>
      <c r="E45" s="28">
        <f t="shared" si="5"/>
        <v>608954.85074784176</v>
      </c>
      <c r="F45" s="20">
        <f t="shared" si="6"/>
        <v>608954.85074784176</v>
      </c>
      <c r="G45" s="41">
        <f t="shared" si="7"/>
        <v>0</v>
      </c>
      <c r="H45" s="20">
        <f t="shared" si="1"/>
        <v>86971504</v>
      </c>
      <c r="J45" s="25">
        <f t="shared" si="2"/>
        <v>37923</v>
      </c>
      <c r="K45" s="20">
        <f t="shared" si="8"/>
        <v>3954146</v>
      </c>
      <c r="L45" s="12">
        <f t="shared" si="9"/>
        <v>49426.825000000004</v>
      </c>
      <c r="M45" s="41">
        <f t="shared" si="10"/>
        <v>49426.825000000004</v>
      </c>
      <c r="N45" s="41">
        <f t="shared" si="11"/>
        <v>0</v>
      </c>
      <c r="O45" s="20">
        <f t="shared" si="3"/>
        <v>3954146</v>
      </c>
    </row>
    <row r="46" spans="1:15" x14ac:dyDescent="0.2">
      <c r="A46" s="25">
        <v>37954</v>
      </c>
      <c r="B46" s="20">
        <f t="shared" si="4"/>
        <v>86971504</v>
      </c>
      <c r="C46" s="45">
        <f t="shared" si="13"/>
        <v>7.3705096102702053E-2</v>
      </c>
      <c r="D46" s="22">
        <f t="shared" si="12"/>
        <v>8.4205096102702062E-2</v>
      </c>
      <c r="E46" s="28">
        <f t="shared" si="5"/>
        <v>610286.98770971142</v>
      </c>
      <c r="F46" s="20">
        <f t="shared" si="6"/>
        <v>610286.98770971142</v>
      </c>
      <c r="G46" s="41">
        <f t="shared" si="7"/>
        <v>0</v>
      </c>
      <c r="H46" s="20">
        <f t="shared" si="1"/>
        <v>86971504</v>
      </c>
      <c r="J46" s="25">
        <f t="shared" si="2"/>
        <v>37954</v>
      </c>
      <c r="K46" s="20">
        <f t="shared" si="8"/>
        <v>3954146</v>
      </c>
      <c r="L46" s="12">
        <f t="shared" si="9"/>
        <v>49426.825000000004</v>
      </c>
      <c r="M46" s="41">
        <f t="shared" si="10"/>
        <v>49426.825000000004</v>
      </c>
      <c r="N46" s="41">
        <f t="shared" si="11"/>
        <v>0</v>
      </c>
      <c r="O46" s="20">
        <f t="shared" si="3"/>
        <v>3954146</v>
      </c>
    </row>
    <row r="47" spans="1:15" x14ac:dyDescent="0.2">
      <c r="A47" s="25">
        <v>37984</v>
      </c>
      <c r="B47" s="20">
        <f t="shared" si="4"/>
        <v>86971504</v>
      </c>
      <c r="C47" s="45">
        <f t="shared" si="13"/>
        <v>7.3889358842958802E-2</v>
      </c>
      <c r="D47" s="22">
        <f t="shared" si="12"/>
        <v>8.4389358842958812E-2</v>
      </c>
      <c r="E47" s="28">
        <f t="shared" si="5"/>
        <v>611622.45501398563</v>
      </c>
      <c r="F47" s="20">
        <f>E47+B47</f>
        <v>87583126.45501399</v>
      </c>
      <c r="G47" s="41">
        <f t="shared" si="7"/>
        <v>86971504</v>
      </c>
      <c r="H47" s="20">
        <f t="shared" si="1"/>
        <v>0</v>
      </c>
      <c r="J47" s="25">
        <f t="shared" si="2"/>
        <v>37984</v>
      </c>
      <c r="K47" s="20">
        <f t="shared" si="8"/>
        <v>3954146</v>
      </c>
      <c r="L47" s="12">
        <f t="shared" si="9"/>
        <v>49426.825000000004</v>
      </c>
      <c r="M47" s="12">
        <f>L47+K47</f>
        <v>4003572.8250000002</v>
      </c>
      <c r="N47" s="41">
        <f t="shared" si="11"/>
        <v>3954146</v>
      </c>
      <c r="O47" s="20">
        <f t="shared" si="3"/>
        <v>0</v>
      </c>
    </row>
    <row r="48" spans="1:15" x14ac:dyDescent="0.2">
      <c r="A48" s="25"/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Summary</vt:lpstr>
      <vt:lpstr>Credit Analysis</vt:lpstr>
      <vt:lpstr>50 NR</vt:lpstr>
      <vt:lpstr>258 NP</vt:lpstr>
      <vt:lpstr>50 NP</vt:lpstr>
      <vt:lpstr>Hawaii Summary</vt:lpstr>
      <vt:lpstr>A Amort</vt:lpstr>
      <vt:lpstr>A TRS</vt:lpstr>
      <vt:lpstr>B_D Amort</vt:lpstr>
      <vt:lpstr>B_D TRS</vt:lpstr>
      <vt:lpstr>C Amort</vt:lpstr>
      <vt:lpstr>C TRS</vt:lpstr>
      <vt:lpstr>Notional Analysis</vt:lpstr>
      <vt:lpstr>A_Debt</vt:lpstr>
      <vt:lpstr>A_Equity</vt:lpstr>
      <vt:lpstr>BD_Debt</vt:lpstr>
      <vt:lpstr>BD_Equity</vt:lpstr>
      <vt:lpstr>C_Debt</vt:lpstr>
      <vt:lpstr>C_Equity</vt:lpstr>
      <vt:lpstr>Lg_Payable</vt:lpstr>
      <vt:lpstr>Note_Receivable</vt:lpstr>
      <vt:lpstr>Small_Payable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Jan Havlíček</cp:lastModifiedBy>
  <cp:lastPrinted>2000-11-07T19:50:20Z</cp:lastPrinted>
  <dcterms:created xsi:type="dcterms:W3CDTF">2000-10-03T19:16:39Z</dcterms:created>
  <dcterms:modified xsi:type="dcterms:W3CDTF">2023-09-17T16:16:30Z</dcterms:modified>
</cp:coreProperties>
</file>