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07F189B-D53E-4972-B669-13524B6853CC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externalReferences>
    <externalReference r:id="rId9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4" i="6"/>
  <c r="B6" i="6"/>
  <c r="F6" i="6"/>
  <c r="G6" i="6"/>
  <c r="F7" i="6"/>
  <c r="B8" i="6"/>
  <c r="D8" i="6"/>
  <c r="B9" i="6"/>
  <c r="D9" i="6"/>
  <c r="B12" i="6"/>
  <c r="B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B67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<sst xmlns="http://schemas.openxmlformats.org/spreadsheetml/2006/main" count="1176" uniqueCount="489">
  <si>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</si>
  <si>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</si>
  <si>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</si>
  <si>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</si>
  <si>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</si>
  <si>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</si>
  <si>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</si>
  <si>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</si>
  <si>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</si>
  <si>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</si>
  <si>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</si>
  <si>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</si>
  <si>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</si>
  <si>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</si>
  <si>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</si>
  <si>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</si>
  <si>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</si>
  <si>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</si>
  <si>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</si>
  <si>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</si>
  <si>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</si>
  <si>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</si>
  <si>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</si>
  <si>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</si>
  <si>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</si>
  <si>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</si>
  <si>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</si>
  <si>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</si>
  <si>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</si>
  <si>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</si>
  <si>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</si>
  <si>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</si>
  <si>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</si>
  <si>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</si>
  <si>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</si>
  <si>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</si>
  <si>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</si>
  <si>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</si>
  <si>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</si>
  <si>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</si>
  <si>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</si>
  <si>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</si>
  <si>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</si>
  <si>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</si>
  <si>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</si>
  <si>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</si>
  <si>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</si>
  <si>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</si>
  <si>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</si>
  <si>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</si>
  <si>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</si>
  <si>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</si>
  <si>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</si>
  <si>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</si>
  <si>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</si>
  <si>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</si>
  <si>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</si>
  <si>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</si>
  <si>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</si>
  <si>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</si>
  <si>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</si>
  <si>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</si>
  <si>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</si>
  <si>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</si>
  <si>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</si>
  <si>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</si>
  <si>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</si>
  <si>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</si>
  <si>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</si>
  <si>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</si>
  <si>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</si>
  <si>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</si>
  <si>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</si>
  <si>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</si>
  <si>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</si>
  <si>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</si>
  <si>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</si>
  <si>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</si>
  <si>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</si>
  <si>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</si>
  <si>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</si>
  <si>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</si>
  <si>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</si>
  <si>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</si>
  <si>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</si>
  <si>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</si>
  <si>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</si>
  <si>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</si>
  <si>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</si>
  <si>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</si>
  <si>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</si>
  <si>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</si>
  <si>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</si>
  <si>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</si>
  <si>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</si>
  <si>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</si>
  <si>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</si>
  <si>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</si>
  <si>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</si>
  <si>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</si>
  <si>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</si>
  <si>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</si>
  <si>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</si>
  <si>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</si>
  <si>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</si>
  <si>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</si>
  <si>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</si>
  <si>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</si>
  <si>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</si>
  <si>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</si>
  <si>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</si>
  <si>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</si>
  <si>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</si>
  <si>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</si>
  <si>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</si>
  <si>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</si>
  <si>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</si>
  <si>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</si>
  <si>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</si>
  <si>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</si>
  <si>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</si>
  <si>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</si>
  <si>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</si>
  <si>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</si>
  <si>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</si>
  <si>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</si>
  <si>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</si>
  <si>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</si>
  <si>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</si>
  <si>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</si>
  <si>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</si>
  <si>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</si>
  <si>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</si>
  <si>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</si>
  <si>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</si>
  <si>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</si>
  <si>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</si>
  <si>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</si>
  <si>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</si>
  <si>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</si>
  <si>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</si>
  <si>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</si>
  <si>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</si>
  <si>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</si>
  <si>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</si>
  <si>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</si>
  <si>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</si>
  <si>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</si>
  <si>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</si>
  <si>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</si>
  <si>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</si>
  <si>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</si>
  <si>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</si>
  <si>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</si>
  <si>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</si>
  <si>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</si>
  <si>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</si>
  <si>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</si>
  <si>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</si>
  <si>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</si>
  <si>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</si>
  <si>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</si>
  <si>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</si>
  <si>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</si>
  <si>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</si>
  <si>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</si>
  <si>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</si>
  <si>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</si>
  <si>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</si>
  <si>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</si>
  <si>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</si>
  <si>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</si>
  <si>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</si>
  <si>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</si>
  <si>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</si>
  <si>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</si>
  <si>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</si>
  <si>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</si>
  <si>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</si>
  <si>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</si>
  <si>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</si>
  <si>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</si>
  <si>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</si>
  <si>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</si>
  <si>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</si>
  <si>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</si>
  <si>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</si>
  <si>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</si>
  <si>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</si>
  <si>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</si>
  <si>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</si>
  <si>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</si>
  <si>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</si>
  <si>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</si>
  <si>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</si>
  <si>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</si>
  <si>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</si>
  <si>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</si>
  <si>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</si>
  <si>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</si>
  <si>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</si>
  <si>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</si>
  <si>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</si>
  <si>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</si>
  <si>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</si>
  <si>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</si>
  <si>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</si>
  <si>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</si>
  <si>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</si>
  <si>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</si>
  <si>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</si>
  <si>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</si>
  <si>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</si>
  <si>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</si>
  <si>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</si>
  <si>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</si>
  <si>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</si>
  <si>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</si>
  <si>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</si>
  <si>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</si>
  <si>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</si>
  <si>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</si>
  <si>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</si>
  <si>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</si>
  <si>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</si>
  <si>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</si>
  <si>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</si>
  <si>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</si>
  <si>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</si>
  <si>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</si>
  <si>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</si>
  <si>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</si>
  <si>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</si>
  <si>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</si>
  <si>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</si>
  <si>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</si>
  <si>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</si>
  <si>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</si>
  <si>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</si>
  <si>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</si>
  <si>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</si>
  <si>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</si>
  <si>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</si>
  <si>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</si>
  <si>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</si>
  <si>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</si>
  <si>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</si>
  <si>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</si>
  <si>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</si>
  <si>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</si>
  <si>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</si>
  <si>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</si>
  <si>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</si>
  <si>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</si>
  <si>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</si>
  <si>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</si>
  <si>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</si>
  <si>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</si>
  <si>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</si>
  <si>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</si>
  <si>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</si>
  <si>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</si>
  <si>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</si>
  <si>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</si>
  <si>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</si>
  <si>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</si>
  <si>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</si>
  <si>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</si>
  <si>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</si>
  <si>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</si>
  <si>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</si>
  <si>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</si>
  <si>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</si>
  <si>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</si>
  <si>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</si>
  <si>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</si>
  <si>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</si>
  <si>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</si>
  <si>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</si>
  <si>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</si>
  <si>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</si>
  <si>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</si>
  <si>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</si>
  <si>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</si>
  <si>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</si>
  <si>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</si>
  <si>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</si>
  <si>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</si>
  <si>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</si>
  <si>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</si>
  <si>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</si>
  <si>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</si>
  <si>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</si>
  <si>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</si>
  <si>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</si>
  <si>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</si>
  <si>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</si>
  <si>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</si>
  <si>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</si>
  <si>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</si>
  <si>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</si>
  <si>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</si>
  <si>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</si>
  <si>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</si>
  <si>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</si>
  <si>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</si>
  <si>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</si>
  <si>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</si>
  <si>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</si>
  <si>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</si>
  <si>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</si>
  <si>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</si>
  <si>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</si>
  <si>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</si>
  <si>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</si>
  <si>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</si>
  <si>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</si>
  <si>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</si>
  <si>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</si>
  <si>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</si>
  <si>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</si>
  <si>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</si>
  <si>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</si>
  <si>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</si>
  <si>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</si>
  <si>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</si>
  <si>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</si>
  <si>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</si>
  <si>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</si>
  <si>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</si>
  <si>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</si>
  <si>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</si>
  <si>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</si>
  <si>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</si>
  <si>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</si>
  <si>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</si>
  <si>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</si>
  <si>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</si>
  <si>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</si>
  <si>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</si>
  <si>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</si>
  <si>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</si>
  <si>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</si>
  <si>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</si>
  <si>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</si>
  <si>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</si>
  <si>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</si>
  <si>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</si>
  <si>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</si>
  <si>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</si>
  <si>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</si>
  <si>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</si>
  <si>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</si>
  <si>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</si>
  <si>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</si>
  <si>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</si>
  <si>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</si>
  <si>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</si>
  <si>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</si>
  <si>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</si>
  <si>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</si>
  <si>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</si>
  <si>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</si>
  <si>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</si>
  <si>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</si>
  <si>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</si>
  <si>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</si>
  <si>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</si>
  <si>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</si>
  <si>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</si>
  <si>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</si>
  <si>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</si>
  <si>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</si>
  <si>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</si>
  <si>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</si>
  <si>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</si>
  <si>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</si>
  <si>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</si>
  <si>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</si>
  <si>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</si>
  <si>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</si>
  <si>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</si>
  <si>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</si>
  <si>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</si>
  <si>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</si>
  <si>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</si>
  <si>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</si>
  <si>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</si>
  <si>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</si>
  <si>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</si>
  <si>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</si>
  <si>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</si>
  <si>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</si>
  <si>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</si>
  <si>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</si>
  <si>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</si>
  <si>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</si>
  <si>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</si>
  <si>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</si>
  <si>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</si>
  <si>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</si>
  <si>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</si>
  <si>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</si>
  <si>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</si>
  <si>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</si>
  <si>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</si>
  <si>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</si>
  <si>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</si>
  <si>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</si>
  <si>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</si>
  <si>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</si>
  <si>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</si>
  <si>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</si>
  <si>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</si>
  <si>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</si>
  <si>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</si>
  <si>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</si>
  <si>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</si>
  <si>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</si>
  <si>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</si>
  <si>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</si>
  <si>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</si>
  <si>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</si>
  <si>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</si>
  <si>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</si>
  <si>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</si>
  <si>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</si>
  <si>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</si>
  <si>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</si>
  <si>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</si>
  <si>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</si>
  <si>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</si>
  <si>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</si>
  <si>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</si>
  <si>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</si>
  <si>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</si>
  <si>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</si>
  <si>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</si>
  <si>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</si>
  <si>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</si>
  <si>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</si>
  <si>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</si>
  <si>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</si>
  <si>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</si>
  <si>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</si>
  <si>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</si>
  <si>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</si>
  <si>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</si>
  <si>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</si>
  <si>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</si>
  <si>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</si>
  <si>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</si>
  <si>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</si>
  <si>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</si>
  <si>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</si>
  <si>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</si>
  <si>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</si>
  <si>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</si>
  <si>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</si>
  <si>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</si>
  <si>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</si>
  <si>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</si>
  <si>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</si>
  <si>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</si>
  <si>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</si>
  <si>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</si>
  <si>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</si>
  <si>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</si>
  <si>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</si>
  <si>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</si>
  <si>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</si>
  <si>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</si>
  <si>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</si>
  <si>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</si>
  <si>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</si>
  <si>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</si>
  <si>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</si>
  <si>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</si>
  <si>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</si>
  <si>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</si>
  <si>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</si>
  <si>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</si>
  <si>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</si>
  <si>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</si>
  <si>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</si>
  <si>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Enron Stock</t>
  </si>
  <si>
    <t>Put Value</t>
  </si>
  <si>
    <t>income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</si>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</sst>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mckillo/LOCALS~1/Temp/EN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"/>
    </sheetNames>
    <sheetDataSet>
      <sheetData sheetId="0">
        <row r="8">
          <cell r="D8">
            <v>70.25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488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36859</v>
      </c>
      <c r="D5" s="61" t="s">
        <v>16</v>
      </c>
      <c r="E5" s="62">
        <f>+C5-1</f>
        <v>36858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119641105.425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7" sqref="A67:B6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f>+[1]ENE!$D$8</f>
        <v>70.25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workbookViewId="0">
      <selection activeCell="A12" sqref="A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58">
        <f>+Summary!C5</f>
        <v>36859</v>
      </c>
      <c r="I2" s="258"/>
      <c r="J2" s="90"/>
      <c r="L2" s="258">
        <f>H2</f>
        <v>36859</v>
      </c>
      <c r="M2" s="258"/>
      <c r="N2" s="258"/>
      <c r="O2" s="258"/>
      <c r="P2" s="258"/>
    </row>
    <row r="3" spans="1:18" ht="16.5" thickBot="1" x14ac:dyDescent="0.3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25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5" thickBot="1" x14ac:dyDescent="0.3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70.25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36859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72362444.174999997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365363539.94863015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36859</v>
      </c>
      <c r="J11" s="13"/>
      <c r="L11" s="7" t="s">
        <v>40</v>
      </c>
      <c r="M11" s="7">
        <f>+Amort!B28</f>
        <v>875000</v>
      </c>
      <c r="O11" s="7" t="s">
        <v>34</v>
      </c>
      <c r="P11" s="7">
        <f>E7-I16+'Cash-Int-Trans'!B9</f>
        <v>407000000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1361444.175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10600984.123630166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875000</v>
      </c>
      <c r="J14" s="13"/>
      <c r="L14" s="85" t="s">
        <v>7</v>
      </c>
      <c r="M14" s="12">
        <f>SUM(M8:M13)</f>
        <v>488600984.12363017</v>
      </c>
      <c r="N14" s="20"/>
      <c r="O14" s="85" t="s">
        <v>7</v>
      </c>
      <c r="P14" s="12">
        <f>SUM(P8:P13)</f>
        <v>488600984.12363017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15363539.948630137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-7000000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10599984.123630136</v>
      </c>
      <c r="L17" s="216" t="s">
        <v>46</v>
      </c>
      <c r="M17" s="216"/>
      <c r="P17" s="7">
        <f>M14</f>
        <v>488600984.12363017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1008982513.6001927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10599984.123630136</v>
      </c>
      <c r="J23" s="38" t="s">
        <v>60</v>
      </c>
      <c r="L23" s="7" t="s">
        <v>51</v>
      </c>
      <c r="P23" s="7">
        <f>P21*P22</f>
        <v>30471271.910725821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-471271.91072582081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10599984.123630136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-92518408.125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-15363539.948630137</v>
      </c>
      <c r="J34" s="32" t="s">
        <v>53</v>
      </c>
      <c r="L34" s="7" t="s">
        <v>72</v>
      </c>
      <c r="M34" s="7">
        <f>I23</f>
        <v>10599984.123630136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119641105.425</v>
      </c>
      <c r="J36" s="13"/>
      <c r="L36" s="7" t="s">
        <v>74</v>
      </c>
      <c r="M36" s="7">
        <f>SUM(M33:M35)</f>
        <v>40600984.123630136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10600984.123630166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-2.9802322387695313E-8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E7" sqref="E7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 t="s">
        <v>485</v>
      </c>
      <c r="G3" s="248" t="s">
        <v>486</v>
      </c>
    </row>
    <row r="4" spans="1:8" x14ac:dyDescent="0.25">
      <c r="A4" s="8" t="s">
        <v>79</v>
      </c>
      <c r="B4" s="16">
        <f>IF(Summary!C5&lt;'Cash-Int-Trans'!D4,0,(+Financials!D23*(5.76-'Cash-Int-Trans'!G4)))</f>
        <v>0</v>
      </c>
      <c r="C4" s="7"/>
      <c r="D4" s="1">
        <v>36875</v>
      </c>
      <c r="F4">
        <v>90</v>
      </c>
      <c r="G4">
        <v>1.55</v>
      </c>
      <c r="H4" s="1">
        <v>36875</v>
      </c>
    </row>
    <row r="5" spans="1:8" x14ac:dyDescent="0.25">
      <c r="A5" s="7"/>
      <c r="B5" s="14"/>
      <c r="C5" s="7"/>
      <c r="G5">
        <v>5.76</v>
      </c>
      <c r="H5" s="1">
        <v>36769</v>
      </c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>
        <f>+Financials!D23</f>
        <v>7120901</v>
      </c>
      <c r="G6">
        <f>+G5-G4</f>
        <v>4.21</v>
      </c>
      <c r="H6" t="s">
        <v>487</v>
      </c>
    </row>
    <row r="7" spans="1:8" ht="16.5" thickTop="1" x14ac:dyDescent="0.25">
      <c r="A7" s="7"/>
      <c r="B7" s="14"/>
      <c r="C7" s="7"/>
      <c r="F7" s="3">
        <f>+F6*G6</f>
        <v>29978993.210000001</v>
      </c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f>+D4</f>
        <v>36875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36875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v>36875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v>36741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10599984.123630136</v>
      </c>
    </row>
    <row r="23" spans="1:5" x14ac:dyDescent="0.25">
      <c r="A23" t="s">
        <v>100</v>
      </c>
      <c r="B23" s="7">
        <f>-Financials!I15</f>
        <v>-15363539.948630137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-875000</v>
      </c>
    </row>
    <row r="29" spans="1:5" x14ac:dyDescent="0.25">
      <c r="A29" t="s">
        <v>105</v>
      </c>
      <c r="B29" s="7">
        <f>-Financials!E7+Financials!P11</f>
        <v>7000000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72362444.174999997</v>
      </c>
      <c r="D35" s="7">
        <f>+B20+B12+B13+B38+B16</f>
        <v>72362444.174999997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1361444.175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36859</v>
      </c>
      <c r="E42" s="1">
        <v>36845</v>
      </c>
      <c r="F42" s="44"/>
    </row>
    <row r="43" spans="1:6" x14ac:dyDescent="0.25">
      <c r="A43" t="s">
        <v>75</v>
      </c>
      <c r="B43" s="3">
        <f>+B42-B40</f>
        <v>90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1361444.175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7000000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7000000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36859</v>
      </c>
    </row>
    <row r="55" spans="1:6" x14ac:dyDescent="0.25">
      <c r="A55" t="s">
        <v>75</v>
      </c>
      <c r="B55" s="3">
        <f>+B54-B52</f>
        <v>36859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36859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36859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36859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90</v>
      </c>
      <c r="E27" s="111"/>
    </row>
    <row r="28" spans="1:9" s="97" customFormat="1" x14ac:dyDescent="0.25">
      <c r="A28" s="111" t="s">
        <v>26</v>
      </c>
      <c r="B28" s="97">
        <f>F25*B27/(F26-F24)</f>
        <v>875000</v>
      </c>
    </row>
    <row r="29" spans="1:9" s="97" customFormat="1" x14ac:dyDescent="0.25">
      <c r="A29" s="111" t="s">
        <v>27</v>
      </c>
      <c r="B29" s="97">
        <f>+B25+B28</f>
        <v>875000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36859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90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7000000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7000000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0" t="s">
        <v>211</v>
      </c>
      <c r="S1" s="270"/>
      <c r="T1" s="270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1" t="s">
        <v>213</v>
      </c>
      <c r="AE1" s="271"/>
      <c r="AF1" s="271"/>
      <c r="AG1" s="271"/>
      <c r="AH1" s="271"/>
      <c r="AI1" s="271"/>
      <c r="AJ1" s="271"/>
      <c r="AK1" s="271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1" t="s">
        <v>215</v>
      </c>
      <c r="AU1" s="271"/>
      <c r="AV1" s="271"/>
      <c r="AW1" s="271"/>
      <c r="AX1" s="271"/>
      <c r="AY1" s="271"/>
      <c r="AZ1" s="271"/>
      <c r="BA1" s="271"/>
      <c r="BB1" s="132" t="s">
        <v>206</v>
      </c>
      <c r="BC1" s="132" t="s">
        <v>207</v>
      </c>
      <c r="BD1" s="271" t="s">
        <v>216</v>
      </c>
      <c r="BE1" s="271"/>
      <c r="BF1" s="271"/>
      <c r="BG1" s="271"/>
      <c r="BH1" s="271"/>
      <c r="BI1" s="271"/>
      <c r="BJ1" s="271"/>
      <c r="BK1" s="271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2" t="s">
        <v>223</v>
      </c>
      <c r="CH1" s="272"/>
      <c r="CI1" s="272"/>
      <c r="CJ1" s="272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3" t="s">
        <v>234</v>
      </c>
      <c r="AE2" s="273"/>
      <c r="AF2" s="273"/>
      <c r="AG2" s="273"/>
      <c r="AH2" s="274" t="s">
        <v>235</v>
      </c>
      <c r="AI2" s="271"/>
      <c r="AJ2" s="271"/>
      <c r="AK2" s="275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3" t="s">
        <v>241</v>
      </c>
      <c r="AU2" s="273"/>
      <c r="AV2" s="273"/>
      <c r="AW2" s="273"/>
      <c r="AX2" s="273" t="s">
        <v>236</v>
      </c>
      <c r="AY2" s="273"/>
      <c r="AZ2" s="273"/>
      <c r="BA2" s="273"/>
      <c r="BB2" s="137" t="s">
        <v>239</v>
      </c>
      <c r="BC2" s="137" t="s">
        <v>239</v>
      </c>
      <c r="BD2" s="273" t="s">
        <v>241</v>
      </c>
      <c r="BE2" s="273"/>
      <c r="BF2" s="273"/>
      <c r="BG2" s="273"/>
      <c r="BH2" s="273" t="s">
        <v>236</v>
      </c>
      <c r="BI2" s="273"/>
      <c r="BJ2" s="273"/>
      <c r="BK2" s="273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3" t="s">
        <v>249</v>
      </c>
      <c r="CH2" s="273"/>
      <c r="CI2" s="273"/>
      <c r="CJ2" s="273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AD1:AK1"/>
    <mergeCell ref="AT1:BA1"/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2023-09-17T16:18:03Z</dcterms:modified>
</cp:coreProperties>
</file>