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A7E58D-0DAE-47CA-982F-BBD7D0D3B17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cesiv">'Stock Prices'!$AA$5:$AB$375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N4" i="3"/>
  <c r="O4" i="3"/>
  <c r="P4" i="3"/>
  <c r="R4" i="3"/>
  <c r="T4" i="3"/>
  <c r="U4" i="3"/>
  <c r="W4" i="3"/>
  <c r="G5" i="3"/>
  <c r="I5" i="3"/>
  <c r="N5" i="3"/>
  <c r="O5" i="3"/>
  <c r="P5" i="3"/>
  <c r="R5" i="3"/>
  <c r="T5" i="3"/>
  <c r="U5" i="3"/>
  <c r="W5" i="3"/>
  <c r="I6" i="3"/>
  <c r="N6" i="3"/>
  <c r="O6" i="3"/>
  <c r="P6" i="3"/>
  <c r="R6" i="3"/>
  <c r="T6" i="3"/>
  <c r="U6" i="3"/>
  <c r="W6" i="3"/>
  <c r="I7" i="3"/>
  <c r="N7" i="3"/>
  <c r="O7" i="3"/>
  <c r="P7" i="3"/>
  <c r="R7" i="3"/>
  <c r="T7" i="3"/>
  <c r="U7" i="3"/>
  <c r="W7" i="3"/>
  <c r="I8" i="3"/>
  <c r="N8" i="3"/>
  <c r="O8" i="3"/>
  <c r="P8" i="3"/>
  <c r="R8" i="3"/>
  <c r="T8" i="3"/>
  <c r="U8" i="3"/>
  <c r="W8" i="3"/>
  <c r="I9" i="3"/>
  <c r="N9" i="3"/>
  <c r="O9" i="3"/>
  <c r="P9" i="3"/>
  <c r="R9" i="3"/>
  <c r="T9" i="3"/>
  <c r="U9" i="3"/>
  <c r="W9" i="3"/>
  <c r="I10" i="3"/>
  <c r="L10" i="3"/>
  <c r="M10" i="3"/>
  <c r="N10" i="3"/>
  <c r="O10" i="3"/>
  <c r="P10" i="3"/>
  <c r="Q10" i="3"/>
  <c r="R10" i="3"/>
  <c r="S10" i="3"/>
  <c r="T10" i="3"/>
  <c r="U10" i="3"/>
  <c r="W10" i="3"/>
  <c r="G11" i="3"/>
  <c r="H11" i="3"/>
  <c r="I11" i="3"/>
  <c r="N11" i="3"/>
  <c r="O11" i="3"/>
  <c r="P11" i="3"/>
  <c r="Q11" i="3"/>
  <c r="R11" i="3"/>
  <c r="S11" i="3"/>
  <c r="T11" i="3"/>
  <c r="U11" i="3"/>
  <c r="W11" i="3"/>
  <c r="G12" i="3"/>
  <c r="H12" i="3"/>
  <c r="I12" i="3"/>
  <c r="M12" i="3"/>
  <c r="N12" i="3"/>
  <c r="O12" i="3"/>
  <c r="P12" i="3"/>
  <c r="Q12" i="3"/>
  <c r="R12" i="3"/>
  <c r="S12" i="3"/>
  <c r="T12" i="3"/>
  <c r="U12" i="3"/>
  <c r="I13" i="3"/>
  <c r="L13" i="3"/>
  <c r="M13" i="3"/>
  <c r="N13" i="3"/>
  <c r="O13" i="3"/>
  <c r="P13" i="3"/>
  <c r="Q13" i="3"/>
  <c r="R13" i="3"/>
  <c r="S13" i="3"/>
  <c r="T13" i="3"/>
  <c r="U13" i="3"/>
  <c r="W13" i="3"/>
  <c r="N16" i="3"/>
  <c r="O16" i="3"/>
  <c r="P16" i="3"/>
  <c r="R16" i="3"/>
  <c r="T16" i="3"/>
  <c r="U16" i="3"/>
  <c r="W16" i="3"/>
  <c r="N17" i="3"/>
  <c r="O17" i="3"/>
  <c r="P17" i="3"/>
  <c r="R17" i="3"/>
  <c r="T17" i="3"/>
  <c r="U17" i="3"/>
  <c r="V17" i="3"/>
  <c r="W17" i="3"/>
  <c r="N18" i="3"/>
  <c r="O18" i="3"/>
  <c r="P18" i="3"/>
  <c r="R18" i="3"/>
  <c r="T18" i="3"/>
  <c r="U18" i="3"/>
  <c r="V18" i="3"/>
  <c r="W18" i="3"/>
  <c r="N19" i="3"/>
  <c r="O19" i="3"/>
  <c r="P19" i="3"/>
  <c r="R19" i="3"/>
  <c r="T19" i="3"/>
  <c r="U19" i="3"/>
  <c r="V19" i="3"/>
  <c r="W19" i="3"/>
  <c r="I20" i="3"/>
  <c r="N20" i="3"/>
  <c r="O20" i="3"/>
  <c r="P20" i="3"/>
  <c r="Q20" i="3"/>
  <c r="R20" i="3"/>
  <c r="S20" i="3"/>
  <c r="T20" i="3"/>
  <c r="U20" i="3"/>
  <c r="V20" i="3"/>
  <c r="W20" i="3"/>
  <c r="G21" i="3"/>
  <c r="H21" i="3"/>
  <c r="I21" i="3"/>
  <c r="N21" i="3"/>
  <c r="O21" i="3"/>
  <c r="P21" i="3"/>
  <c r="R21" i="3"/>
  <c r="T21" i="3"/>
  <c r="U21" i="3"/>
  <c r="V21" i="3"/>
  <c r="W21" i="3"/>
  <c r="N22" i="3"/>
  <c r="O22" i="3"/>
  <c r="P22" i="3"/>
  <c r="R22" i="3"/>
  <c r="T22" i="3"/>
  <c r="U22" i="3"/>
  <c r="V22" i="3"/>
  <c r="W22" i="3"/>
  <c r="I23" i="3"/>
  <c r="N23" i="3"/>
  <c r="O23" i="3"/>
  <c r="P23" i="3"/>
  <c r="R23" i="3"/>
  <c r="T23" i="3"/>
  <c r="U23" i="3"/>
  <c r="V23" i="3"/>
  <c r="W23" i="3"/>
  <c r="N24" i="3"/>
  <c r="O24" i="3"/>
  <c r="P24" i="3"/>
  <c r="R24" i="3"/>
  <c r="T24" i="3"/>
  <c r="U24" i="3"/>
  <c r="V24" i="3"/>
  <c r="W24" i="3"/>
  <c r="I25" i="3"/>
  <c r="N25" i="3"/>
  <c r="O25" i="3"/>
  <c r="P25" i="3"/>
  <c r="R25" i="3"/>
  <c r="T25" i="3"/>
  <c r="U25" i="3"/>
  <c r="V25" i="3"/>
  <c r="W25" i="3"/>
  <c r="N26" i="3"/>
  <c r="O26" i="3"/>
  <c r="P26" i="3"/>
  <c r="R26" i="3"/>
  <c r="T26" i="3"/>
  <c r="U26" i="3"/>
  <c r="V26" i="3"/>
  <c r="W26" i="3"/>
  <c r="N27" i="3"/>
  <c r="O27" i="3"/>
  <c r="P27" i="3"/>
  <c r="R27" i="3"/>
  <c r="T27" i="3"/>
  <c r="U27" i="3"/>
  <c r="V27" i="3"/>
  <c r="W27" i="3"/>
  <c r="N28" i="3"/>
  <c r="O28" i="3"/>
  <c r="P28" i="3"/>
  <c r="R28" i="3"/>
  <c r="T28" i="3"/>
  <c r="U28" i="3"/>
  <c r="V28" i="3"/>
  <c r="W28" i="3"/>
  <c r="N29" i="3"/>
  <c r="O29" i="3"/>
  <c r="P29" i="3"/>
  <c r="R29" i="3"/>
  <c r="T29" i="3"/>
  <c r="U29" i="3"/>
  <c r="V29" i="3"/>
  <c r="W29" i="3"/>
  <c r="N30" i="3"/>
  <c r="O30" i="3"/>
  <c r="P30" i="3"/>
  <c r="R30" i="3"/>
  <c r="T30" i="3"/>
  <c r="U30" i="3"/>
  <c r="V30" i="3"/>
  <c r="W30" i="3"/>
  <c r="N31" i="3"/>
  <c r="O31" i="3"/>
  <c r="P31" i="3"/>
  <c r="R31" i="3"/>
  <c r="T31" i="3"/>
  <c r="U31" i="3"/>
  <c r="V31" i="3"/>
  <c r="W31" i="3"/>
  <c r="N32" i="3"/>
  <c r="O32" i="3"/>
  <c r="P32" i="3"/>
  <c r="R32" i="3"/>
  <c r="T32" i="3"/>
  <c r="U32" i="3"/>
  <c r="V32" i="3"/>
  <c r="W32" i="3"/>
  <c r="N33" i="3"/>
  <c r="O33" i="3"/>
  <c r="P33" i="3"/>
  <c r="R33" i="3"/>
  <c r="T33" i="3"/>
  <c r="U33" i="3"/>
  <c r="V33" i="3"/>
  <c r="W33" i="3"/>
  <c r="N34" i="3"/>
  <c r="O34" i="3"/>
  <c r="P34" i="3"/>
  <c r="R34" i="3"/>
  <c r="T34" i="3"/>
  <c r="U34" i="3"/>
  <c r="V34" i="3"/>
  <c r="W34" i="3"/>
  <c r="N35" i="3"/>
  <c r="O35" i="3"/>
  <c r="P35" i="3"/>
  <c r="R35" i="3"/>
  <c r="T35" i="3"/>
  <c r="U35" i="3"/>
  <c r="V35" i="3"/>
  <c r="W35" i="3"/>
  <c r="N36" i="3"/>
  <c r="O36" i="3"/>
  <c r="P36" i="3"/>
  <c r="R36" i="3"/>
  <c r="T36" i="3"/>
  <c r="U36" i="3"/>
  <c r="V36" i="3"/>
  <c r="W36" i="3"/>
  <c r="N37" i="3"/>
  <c r="O37" i="3"/>
  <c r="P37" i="3"/>
  <c r="R37" i="3"/>
  <c r="T37" i="3"/>
  <c r="U37" i="3"/>
  <c r="V37" i="3"/>
  <c r="W37" i="3"/>
  <c r="N38" i="3"/>
  <c r="O38" i="3"/>
  <c r="P38" i="3"/>
  <c r="R38" i="3"/>
  <c r="T38" i="3"/>
  <c r="U38" i="3"/>
  <c r="V38" i="3"/>
  <c r="W38" i="3"/>
  <c r="N39" i="3"/>
  <c r="O39" i="3"/>
  <c r="P39" i="3"/>
  <c r="R39" i="3"/>
  <c r="T39" i="3"/>
  <c r="U39" i="3"/>
  <c r="V39" i="3"/>
  <c r="W39" i="3"/>
  <c r="N40" i="3"/>
  <c r="O40" i="3"/>
  <c r="P40" i="3"/>
  <c r="R40" i="3"/>
  <c r="T40" i="3"/>
  <c r="U40" i="3"/>
  <c r="V40" i="3"/>
  <c r="W40" i="3"/>
  <c r="N41" i="3"/>
  <c r="O41" i="3"/>
  <c r="P41" i="3"/>
  <c r="R41" i="3"/>
  <c r="T41" i="3"/>
  <c r="U41" i="3"/>
  <c r="V41" i="3"/>
  <c r="W41" i="3"/>
  <c r="N42" i="3"/>
  <c r="O42" i="3"/>
  <c r="P42" i="3"/>
  <c r="R42" i="3"/>
  <c r="T42" i="3"/>
  <c r="U42" i="3"/>
  <c r="V42" i="3"/>
  <c r="W42" i="3"/>
  <c r="N43" i="3"/>
  <c r="O43" i="3"/>
  <c r="P43" i="3"/>
  <c r="R43" i="3"/>
  <c r="T43" i="3"/>
  <c r="U43" i="3"/>
  <c r="V43" i="3"/>
  <c r="W43" i="3"/>
  <c r="N44" i="3"/>
  <c r="O44" i="3"/>
  <c r="P44" i="3"/>
  <c r="R44" i="3"/>
  <c r="T44" i="3"/>
  <c r="U44" i="3"/>
  <c r="V44" i="3"/>
  <c r="W44" i="3"/>
  <c r="I45" i="3"/>
  <c r="N45" i="3"/>
  <c r="O45" i="3"/>
  <c r="P45" i="3"/>
  <c r="R45" i="3"/>
  <c r="T45" i="3"/>
  <c r="U45" i="3"/>
  <c r="V45" i="3"/>
  <c r="W45" i="3"/>
  <c r="I46" i="3"/>
  <c r="N46" i="3"/>
  <c r="O46" i="3"/>
  <c r="P46" i="3"/>
  <c r="R46" i="3"/>
  <c r="T46" i="3"/>
  <c r="U46" i="3"/>
  <c r="V46" i="3"/>
  <c r="W46" i="3"/>
  <c r="N47" i="3"/>
  <c r="O47" i="3"/>
  <c r="P47" i="3"/>
  <c r="R47" i="3"/>
  <c r="T47" i="3"/>
  <c r="U47" i="3"/>
  <c r="V47" i="3"/>
  <c r="W47" i="3"/>
  <c r="G50" i="3"/>
  <c r="H50" i="3"/>
  <c r="I50" i="3"/>
  <c r="M50" i="3"/>
  <c r="N50" i="3"/>
  <c r="O50" i="3"/>
  <c r="P50" i="3"/>
  <c r="R50" i="3"/>
  <c r="T50" i="3"/>
  <c r="U50" i="3"/>
  <c r="W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W54" i="3"/>
  <c r="I55" i="3"/>
  <c r="M55" i="3"/>
  <c r="N55" i="3"/>
  <c r="O55" i="3"/>
  <c r="P55" i="3"/>
  <c r="R55" i="3"/>
  <c r="T55" i="3"/>
  <c r="U55" i="3"/>
  <c r="W55" i="3"/>
  <c r="I56" i="3"/>
  <c r="M56" i="3"/>
  <c r="N56" i="3"/>
  <c r="O56" i="3"/>
  <c r="P56" i="3"/>
  <c r="R56" i="3"/>
  <c r="T56" i="3"/>
  <c r="U56" i="3"/>
  <c r="W56" i="3"/>
  <c r="E59" i="3"/>
  <c r="I59" i="3"/>
  <c r="P59" i="3"/>
  <c r="Q59" i="3"/>
  <c r="R59" i="3"/>
  <c r="S59" i="3"/>
  <c r="T59" i="3"/>
  <c r="W59" i="3"/>
  <c r="I62" i="3"/>
  <c r="I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M19" i="4"/>
  <c r="O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<sst xmlns="http://schemas.openxmlformats.org/spreadsheetml/2006/main" count="1571" uniqueCount="579">
  <si>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</si>
  <si>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</si>
  <si>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</si>
  <si>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</si>
  <si>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</si>
  <si>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</si>
  <si>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</si>
  <si>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</si>
  <si>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</si>
  <si>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</si>
  <si>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</si>
  <si>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</si>
  <si>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</si>
  <si>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</si>
  <si>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</si>
  <si>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</si>
  <si>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</si>
  <si>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</si>
  <si>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</si>
  <si>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</si>
  <si>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</si>
  <si>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</si>
  <si>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</si>
  <si>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</si>
  <si>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</si>
  <si>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</si>
  <si>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</si>
  <si>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</si>
  <si>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</si>
  <si>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</si>
  <si>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</si>
  <si>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</si>
  <si>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</si>
  <si>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</si>
  <si>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</si>
  <si>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</si>
  <si>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</si>
  <si>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</si>
  <si>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</si>
  <si>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</si>
  <si>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</si>
  <si>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</si>
  <si>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</si>
  <si>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</si>
  <si>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</si>
  <si>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</si>
  <si>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</si>
  <si>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</si>
  <si>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</si>
  <si>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</si>
  <si>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</si>
  <si>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</si>
  <si>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</si>
  <si>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</si>
  <si>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</si>
  <si>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</si>
  <si>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</si>
  <si>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</si>
  <si>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</si>
  <si>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</si>
  <si>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</si>
  <si>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</si>
  <si>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</si>
  <si>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</si>
  <si>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</si>
  <si>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</si>
  <si>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</si>
  <si>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</si>
  <si>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</si>
  <si>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</si>
  <si>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</si>
  <si>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</si>
  <si>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</si>
  <si>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</si>
  <si>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</si>
  <si>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</si>
  <si>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</si>
  <si>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</si>
  <si>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</si>
  <si>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</si>
  <si>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</si>
  <si>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</si>
  <si>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</si>
  <si>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</si>
  <si>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</si>
  <si>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</si>
  <si>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</si>
  <si>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</si>
  <si>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</si>
  <si>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</si>
  <si>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</si>
  <si>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</si>
  <si>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</si>
  <si>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</si>
  <si>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</si>
  <si>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</si>
  <si>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</si>
  <si>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</si>
  <si>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</si>
  <si>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</si>
  <si>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</si>
  <si>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</si>
  <si>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</si>
  <si>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</si>
  <si>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</si>
  <si>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</si>
  <si>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</si>
  <si>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</si>
  <si>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</si>
  <si>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</si>
  <si>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</si>
  <si>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</si>
  <si>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</si>
  <si>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</si>
  <si>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</si>
  <si>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</si>
  <si>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</si>
  <si>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</si>
  <si>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</si>
  <si>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</si>
  <si>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</si>
  <si>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</si>
  <si>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</si>
  <si>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</si>
  <si>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</si>
  <si>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</si>
  <si>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</si>
  <si>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</si>
  <si>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</si>
  <si>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</si>
  <si>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</si>
  <si>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</si>
  <si>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</si>
  <si>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</si>
  <si>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</si>
  <si>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</si>
  <si>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</si>
  <si>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</si>
  <si>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</si>
  <si>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</si>
  <si>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</si>
  <si>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</si>
  <si>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</si>
  <si>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</si>
  <si>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</si>
  <si>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</si>
  <si>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</si>
  <si>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</si>
  <si>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</si>
  <si>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</si>
  <si>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</si>
  <si>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</si>
  <si>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</si>
  <si>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</si>
  <si>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</si>
  <si>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</si>
  <si>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</si>
  <si>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</si>
  <si>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</si>
  <si>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</si>
  <si>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</si>
  <si>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</si>
  <si>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</si>
  <si>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</si>
  <si>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</si>
  <si>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</si>
  <si>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</si>
  <si>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</si>
  <si>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</si>
  <si>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</si>
  <si>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</si>
  <si>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</si>
  <si>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</si>
  <si>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</si>
  <si>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</si>
  <si>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</si>
  <si>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</si>
  <si>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</si>
  <si>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</si>
  <si>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</si>
  <si>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</si>
  <si>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</si>
  <si>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</si>
  <si>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</si>
  <si>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</si>
  <si>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</si>
  <si>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</si>
  <si>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</si>
  <si>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</si>
  <si>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</si>
  <si>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</si>
  <si>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</si>
  <si>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</si>
  <si>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</si>
  <si>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</si>
  <si>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</si>
  <si>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</si>
  <si>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</si>
  <si>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</si>
  <si>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</si>
  <si>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</si>
  <si>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</si>
  <si>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</si>
  <si>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</si>
  <si>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</si>
  <si>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</si>
  <si>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</si>
  <si>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</si>
  <si>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</si>
  <si>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</si>
  <si>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</si>
  <si>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</si>
  <si>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</si>
  <si>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</si>
  <si>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</si>
  <si>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</si>
  <si>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</si>
  <si>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</si>
  <si>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</si>
  <si>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</si>
  <si>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</si>
  <si>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</si>
  <si>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</si>
  <si>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</si>
  <si>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</si>
  <si>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</si>
  <si>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</si>
  <si>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</si>
  <si>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</si>
  <si>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</si>
  <si>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</si>
  <si>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</si>
  <si>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</si>
  <si>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</si>
  <si>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</si>
  <si>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</si>
  <si>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</si>
  <si>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</si>
  <si>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</si>
  <si>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</si>
  <si>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</si>
  <si>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</si>
  <si>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</si>
  <si>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</si>
  <si>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</si>
  <si>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</si>
  <si>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</si>
  <si>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</si>
  <si>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</si>
  <si>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</si>
  <si>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</si>
  <si>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</si>
  <si>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</si>
  <si>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</si>
  <si>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</si>
  <si>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</si>
  <si>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</si>
  <si>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</si>
  <si>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</si>
  <si>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</si>
  <si>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</si>
  <si>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</si>
  <si>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</si>
  <si>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</si>
  <si>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</si>
  <si>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</si>
  <si>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</si>
  <si>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</si>
  <si>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</si>
  <si>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</si>
  <si>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</si>
  <si>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</si>
  <si>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</si>
  <si>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</si>
  <si>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</si>
  <si>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</si>
  <si>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</si>
  <si>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</si>
  <si>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</si>
  <si>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</si>
  <si>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</si>
  <si>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</si>
  <si>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</si>
  <si>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</si>
  <si>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</si>
  <si>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</si>
  <si>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</si>
  <si>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</si>
  <si>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</si>
  <si>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</si>
  <si>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</si>
  <si>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</si>
  <si>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</si>
  <si>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</si>
  <si>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</si>
  <si>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</si>
  <si>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</si>
  <si>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</si>
  <si>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</si>
  <si>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</si>
  <si>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</si>
  <si>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</si>
  <si>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</si>
  <si>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</si>
  <si>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</si>
  <si>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</si>
  <si>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</si>
  <si>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</si>
  <si>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</si>
  <si>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</si>
  <si>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</si>
  <si>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</si>
  <si>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</si>
  <si>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</si>
  <si>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</si>
  <si>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</si>
  <si>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</si>
  <si>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</si>
  <si>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</si>
  <si>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</si>
  <si>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</si>
  <si>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</si>
  <si>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</si>
  <si>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</si>
  <si>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</si>
  <si>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</si>
  <si>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</si>
  <si>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</si>
  <si>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</si>
  <si>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</si>
  <si>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</si>
  <si>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</si>
  <si>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</si>
  <si>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</si>
  <si>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</si>
  <si>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</si>
  <si>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</si>
  <si>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</si>
  <si>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</si>
  <si>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</si>
  <si>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</si>
  <si>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</si>
  <si>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</si>
  <si>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</si>
  <si>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</si>
  <si>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</si>
  <si>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</si>
  <si>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</si>
  <si>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</si>
  <si>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</si>
  <si>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</si>
  <si>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</si>
  <si>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</si>
  <si>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</si>
  <si>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</si>
  <si>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</si>
  <si>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</si>
  <si>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</si>
  <si>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</si>
  <si>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</si>
  <si>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</si>
  <si>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</si>
  <si>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</si>
  <si>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</si>
  <si>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</si>
  <si>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</si>
  <si>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</si>
  <si>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</si>
  <si>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</si>
  <si>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</si>
  <si>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</si>
  <si>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</si>
  <si>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</si>
  <si>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</si>
  <si>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</si>
  <si>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</si>
  <si>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</si>
  <si>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</si>
  <si>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</si>
  <si>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</si>
  <si>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</si>
  <si>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</si>
  <si>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</si>
  <si>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</si>
  <si>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</si>
  <si>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</si>
  <si>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</si>
  <si>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</si>
  <si>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</si>
  <si>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</si>
  <si>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</si>
  <si>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</si>
  <si>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</si>
  <si>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</si>
  <si>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</si>
  <si>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</si>
  <si>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</si>
  <si>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</si>
  <si>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</si>
  <si>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</si>
  <si>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</si>
  <si>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</si>
  <si>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</si>
  <si>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</si>
  <si>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</si>
  <si>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</si>
  <si>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</si>
  <si>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</si>
  <si>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</si>
  <si>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</si>
  <si>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</si>
  <si>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</si>
  <si>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</si>
  <si>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</si>
  <si>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</si>
  <si>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</si>
  <si>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</si>
  <si>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</si>
  <si>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</si>
  <si>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</si>
  <si>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</si>
  <si>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</si>
  <si>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</si>
  <si>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</si>
  <si>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</si>
  <si>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</si>
  <si>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</si>
  <si>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</si>
  <si>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</si>
  <si>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</si>
  <si>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</si>
  <si>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</si>
  <si>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</si>
  <si>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</si>
  <si>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</si>
  <si>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</si>
  <si>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</si>
  <si>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</si>
  <si>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</si>
  <si>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</si>
  <si>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</si>
  <si>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</si>
  <si>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</si>
  <si>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</si>
  <si>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</si>
  <si>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</si>
  <si>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</si>
  <si>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</si>
  <si>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</si>
  <si>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</si>
  <si>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</si>
  <si>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</si>
  <si>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</si>
  <si>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</si>
  <si>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</si>
  <si>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</si>
  <si>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</si>
  <si>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</si>
  <si>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</si>
  <si>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</si>
  <si>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</si>
  <si>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</si>
  <si>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</si>
  <si>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</si>
  <si>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</si>
  <si>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</si>
  <si>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</si>
  <si>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</si>
  <si>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</si>
  <si>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</si>
  <si>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</si>
  <si>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</si>
  <si>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</si>
  <si>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</si>
  <si>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</si>
  <si>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</si>
  <si>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</si>
  <si>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</si>
  <si>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</si>
  <si>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</si>
  <si>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</si>
  <si>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</si>
  <si>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</si>
  <si>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</si>
  <si>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</si>
  <si>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</si>
  <si>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</si>
  <si>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</si>
  <si>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</si>
  <si>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</si>
  <si>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</si>
  <si>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</si>
  <si>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</si>
  <si>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</si>
  <si>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</si>
  <si>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</si>
  <si>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</si>
  <si>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</si>
  <si>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</si>
  <si>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</si>
  <si>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</si>
  <si>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</si>
  <si>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</si>
  <si>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</si>
  <si>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</si>
  <si>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</si>
  <si>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</si>
  <si>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</si>
  <si>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</si>
  <si>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</si>
  <si>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</si>
  <si>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</si>
  <si>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</si>
  <si>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</si>
  <si>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</si>
  <si>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</si>
  <si>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</si>
  <si>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</si>
  <si>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</si>
  <si>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</si>
  <si>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</si>
  <si>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</si>
  <si>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</si>
  <si>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</si>
  <si>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</si>
  <si>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</si>
  <si>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</si>
  <si>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</si>
  <si>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</si>
  <si>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</si>
  <si>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</si>
  <si>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</si>
  <si>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</si>
  <si>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</si>
  <si>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</si>
  <si>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</si>
  <si>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</si>
  <si>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</si>
  <si>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</si>
  <si>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</si>
  <si>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</si>
  <si>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</si>
  <si>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</si>
  <si>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</si>
  <si>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</si>
  <si>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</si>
  <si>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</si>
  <si>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</si>
  <si>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</si>
  <si>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</si>
  <si>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</si>
  <si>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</si>
  <si>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</si>
  <si>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</si>
  <si>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</si>
  <si>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</si>
  <si>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</si>
  <si>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</si>
  <si>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</si>
  <si>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</si>
  <si>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</si>
  <si>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</si>
  <si>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</si>
  <si>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</si>
  <si>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</si>
  <si>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</si>
  <si>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</si>
  <si>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Common Raptor I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</si>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</sst>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79" t="s">
        <v>128</v>
      </c>
      <c r="C2" s="279"/>
      <c r="D2" s="279"/>
      <c r="E2" s="279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4"/>
      <c r="D4" s="64"/>
      <c r="E4" s="64"/>
      <c r="F4" s="63"/>
    </row>
    <row r="5" spans="1:6" x14ac:dyDescent="0.25">
      <c r="A5" s="62"/>
      <c r="B5" s="64" t="s">
        <v>15</v>
      </c>
      <c r="C5" s="66">
        <f>+'MRP Raptor'!U3</f>
        <v>36887</v>
      </c>
      <c r="D5" s="67" t="s">
        <v>20</v>
      </c>
      <c r="E5" s="68">
        <f>+C5-1</f>
        <v>36886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-298176526.92353779</v>
      </c>
      <c r="D12" s="71">
        <f>+'Daily Position'!S59</f>
        <v>-267573.34567883867</v>
      </c>
      <c r="E12" s="71">
        <f>+C12-D12</f>
        <v>-297908953.57785892</v>
      </c>
      <c r="F12" s="63"/>
    </row>
    <row r="13" spans="1:6" x14ac:dyDescent="0.25">
      <c r="A13" s="62"/>
      <c r="B13" s="64" t="s">
        <v>10</v>
      </c>
      <c r="C13" s="56">
        <f>+C15-C12</f>
        <v>-1483241.1256790161</v>
      </c>
      <c r="D13" s="56">
        <f>+D15-D12</f>
        <v>0</v>
      </c>
      <c r="E13" s="56">
        <f>+E15-E12</f>
        <v>-1483241.1256790161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-299659768.04921681</v>
      </c>
      <c r="D15" s="57">
        <f>+'Daily Position'!Q59</f>
        <v>-267573.34567883867</v>
      </c>
      <c r="E15" s="57">
        <f>+C15-D15</f>
        <v>-299392194.70353794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 t="str">
        <f>IF(+Financials!P27=0,"No Capacity Available",+Financials!P27)</f>
        <v>No Capacity Available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-613241.07999999996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765933270.92999995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.75" x14ac:dyDescent="0.25"/>
  <cols>
    <col min="1" max="1" width="23.125" customWidth="1"/>
    <col min="2" max="2" width="7.875" style="272" customWidth="1"/>
    <col min="3" max="3" width="10.875" style="272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4" customWidth="1"/>
    <col min="16" max="16" width="14.125" customWidth="1"/>
    <col min="17" max="17" width="11.625" customWidth="1"/>
    <col min="18" max="18" width="14.5" customWidth="1"/>
    <col min="19" max="19" width="12.625" style="4" customWidth="1"/>
    <col min="20" max="20" width="13.5" customWidth="1"/>
    <col min="21" max="21" width="13.375" customWidth="1"/>
    <col min="22" max="22" width="7.25" customWidth="1"/>
    <col min="23" max="23" width="14.625" bestFit="1" customWidth="1"/>
    <col min="24" max="24" width="17.625" bestFit="1" customWidth="1"/>
    <col min="26" max="26" width="9.875" bestFit="1" customWidth="1"/>
  </cols>
  <sheetData>
    <row r="1" spans="1:26" s="79" customFormat="1" x14ac:dyDescent="0.25">
      <c r="A1" s="79" t="s">
        <v>130</v>
      </c>
      <c r="B1" s="269" t="s">
        <v>131</v>
      </c>
      <c r="C1" s="269" t="s">
        <v>132</v>
      </c>
      <c r="D1" s="79" t="s">
        <v>134</v>
      </c>
      <c r="E1" s="81"/>
      <c r="F1" s="79" t="s">
        <v>136</v>
      </c>
      <c r="G1" s="82" t="s">
        <v>137</v>
      </c>
      <c r="H1" s="282" t="s">
        <v>138</v>
      </c>
      <c r="I1" s="283"/>
      <c r="J1" s="284" t="s">
        <v>571</v>
      </c>
      <c r="K1" s="285"/>
      <c r="L1" s="285"/>
      <c r="M1" s="286"/>
      <c r="N1" s="79" t="s">
        <v>139</v>
      </c>
      <c r="O1" s="269"/>
      <c r="P1" s="86" t="s">
        <v>141</v>
      </c>
      <c r="Q1" s="90" t="s">
        <v>142</v>
      </c>
      <c r="R1" s="87" t="s">
        <v>143</v>
      </c>
      <c r="S1" s="280" t="s">
        <v>144</v>
      </c>
      <c r="T1" s="281"/>
      <c r="U1" s="86" t="s">
        <v>144</v>
      </c>
      <c r="V1" s="90"/>
      <c r="W1" s="87"/>
    </row>
    <row r="2" spans="1:26" s="80" customFormat="1" ht="15" customHeight="1" thickBot="1" x14ac:dyDescent="0.3">
      <c r="A2" s="83" t="s">
        <v>145</v>
      </c>
      <c r="B2" s="270" t="s">
        <v>1</v>
      </c>
      <c r="C2" s="270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180</v>
      </c>
      <c r="I2" s="242" t="s">
        <v>140</v>
      </c>
      <c r="J2" s="278" t="s">
        <v>1</v>
      </c>
      <c r="K2" s="85" t="s">
        <v>48</v>
      </c>
      <c r="L2" s="277" t="s">
        <v>180</v>
      </c>
      <c r="M2" s="242" t="s">
        <v>140</v>
      </c>
      <c r="N2" s="83" t="s">
        <v>252</v>
      </c>
      <c r="O2" s="270" t="s">
        <v>129</v>
      </c>
      <c r="P2" s="88" t="s">
        <v>146</v>
      </c>
      <c r="Q2" s="83" t="s">
        <v>146</v>
      </c>
      <c r="R2" s="89" t="s">
        <v>146</v>
      </c>
      <c r="S2" s="278" t="s">
        <v>5</v>
      </c>
      <c r="T2" s="89" t="s">
        <v>7</v>
      </c>
      <c r="U2" s="83" t="s">
        <v>252</v>
      </c>
      <c r="V2" s="83" t="s">
        <v>535</v>
      </c>
      <c r="W2" s="89" t="s">
        <v>190</v>
      </c>
    </row>
    <row r="3" spans="1:26" s="80" customFormat="1" ht="15" customHeight="1" x14ac:dyDescent="0.25">
      <c r="A3" s="139" t="s">
        <v>184</v>
      </c>
      <c r="B3" s="271"/>
      <c r="C3" s="271"/>
      <c r="E3" s="136"/>
      <c r="G3" s="137"/>
      <c r="H3" s="138"/>
      <c r="I3" s="136"/>
      <c r="J3" s="136"/>
      <c r="K3" s="136"/>
      <c r="L3" s="136"/>
      <c r="M3" s="136"/>
      <c r="O3" s="271"/>
      <c r="S3" s="136"/>
    </row>
    <row r="4" spans="1:26" x14ac:dyDescent="0.25">
      <c r="A4" t="s">
        <v>169</v>
      </c>
      <c r="B4" s="272">
        <v>36741</v>
      </c>
      <c r="C4" s="272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VLOOKUP(+O4,wtten,2)</f>
        <v>1.7533046970361272</v>
      </c>
      <c r="O4" s="264">
        <f>+Summary!$C$5</f>
        <v>36887</v>
      </c>
      <c r="P4" s="4">
        <f t="shared" ref="P4:P9" si="1">IF(O4&lt;B4,0,ROUND((+N4*H4),2)-I4-Q4)</f>
        <v>44820.429999999993</v>
      </c>
      <c r="Q4" s="4">
        <v>0</v>
      </c>
      <c r="R4" s="5">
        <f t="shared" ref="R4:R13" si="2">+P4+Q4</f>
        <v>44820.429999999993</v>
      </c>
      <c r="S4" s="4">
        <v>0</v>
      </c>
      <c r="T4" s="4">
        <f>IF(Summary!$E$5&lt;'Daily Position'!B4,0,ROUND(+U4*H4,2)-I4)</f>
        <v>31435.290000000008</v>
      </c>
      <c r="U4" s="2">
        <f>+VLOOKUP(+Summary!$E$5,wtten,2)</f>
        <v>1.5817003697159118</v>
      </c>
      <c r="V4" s="2"/>
      <c r="W4" s="144">
        <f>+N4*H4-'MRP Raptor'!U65</f>
        <v>0</v>
      </c>
    </row>
    <row r="5" spans="1:26" x14ac:dyDescent="0.25">
      <c r="A5" t="s">
        <v>166</v>
      </c>
      <c r="B5" s="272">
        <v>36741</v>
      </c>
      <c r="C5" s="272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1">
        <v>1276383</v>
      </c>
      <c r="I5" s="4">
        <f t="shared" si="0"/>
        <v>67648299.25</v>
      </c>
      <c r="N5" s="69">
        <f>VLOOKUP(+O5,acpw,2)</f>
        <v>20.875</v>
      </c>
      <c r="O5" s="264">
        <f>+Summary!$C$5</f>
        <v>36887</v>
      </c>
      <c r="P5" s="4">
        <f t="shared" si="1"/>
        <v>-41003804.120000005</v>
      </c>
      <c r="Q5" s="4">
        <v>0</v>
      </c>
      <c r="R5" s="5">
        <f t="shared" si="2"/>
        <v>-41003804.120000005</v>
      </c>
      <c r="S5" s="4">
        <v>0</v>
      </c>
      <c r="T5" s="4">
        <f>IF(Summary!$E$5&lt;'Daily Position'!B5,0,ROUND(+U5*H5,2)-I5)</f>
        <v>-41641995.620000005</v>
      </c>
      <c r="U5" s="2">
        <f>+VLOOKUP(+Summary!$E$5,acpw,2)</f>
        <v>20.375</v>
      </c>
      <c r="V5" s="2"/>
      <c r="W5" s="144">
        <f>+N5*H5-'MRP Raptor'!U34</f>
        <v>0</v>
      </c>
      <c r="X5" s="217"/>
    </row>
    <row r="6" spans="1:26" x14ac:dyDescent="0.25">
      <c r="A6" t="s">
        <v>13</v>
      </c>
      <c r="B6" s="272">
        <v>36741</v>
      </c>
      <c r="C6" s="272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N6" s="69">
        <f>VLOOKUP(+O6,avci,2)</f>
        <v>25.25</v>
      </c>
      <c r="O6" s="264">
        <f>+Summary!$C$5</f>
        <v>36887</v>
      </c>
      <c r="P6" s="4">
        <f t="shared" si="1"/>
        <v>-150072718.5</v>
      </c>
      <c r="Q6" s="4">
        <v>0</v>
      </c>
      <c r="R6" s="5">
        <f>+P6+Q6</f>
        <v>-150072718.5</v>
      </c>
      <c r="S6" s="4">
        <v>0</v>
      </c>
      <c r="T6" s="4">
        <f>IF(Summary!$E$5&lt;'Daily Position'!B6,0,ROUND(+U6*H6,2)-I6)</f>
        <v>-148979292.5</v>
      </c>
      <c r="U6" s="2">
        <f>+VLOOKUP(+Summary!$E$5,avci,2)</f>
        <v>26.25</v>
      </c>
      <c r="V6" s="2"/>
      <c r="W6" s="144">
        <f>+N6*H6-'MRP Raptor'!U10</f>
        <v>0</v>
      </c>
      <c r="X6" s="217"/>
    </row>
    <row r="7" spans="1:26" x14ac:dyDescent="0.25">
      <c r="A7" t="s">
        <v>168</v>
      </c>
      <c r="B7" s="272">
        <v>36741</v>
      </c>
      <c r="C7" s="272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VLOOKUP(+O7,wcrzo,2)</f>
        <v>5.6890813099384818</v>
      </c>
      <c r="O7" s="264">
        <f>+Summary!$C$5</f>
        <v>36887</v>
      </c>
      <c r="P7" s="4">
        <f t="shared" si="1"/>
        <v>233387.30999999994</v>
      </c>
      <c r="Q7" s="4">
        <v>0</v>
      </c>
      <c r="R7" s="5">
        <f t="shared" si="2"/>
        <v>233387.30999999994</v>
      </c>
      <c r="S7" s="4">
        <v>0</v>
      </c>
      <c r="T7" s="4">
        <f>IF(Summary!$E$5&lt;'Daily Position'!B7,0,ROUND(+U7*H7,2)-I7)</f>
        <v>306686.67999999993</v>
      </c>
      <c r="U7" s="2">
        <f>+VLOOKUP(+Summary!$E$5,wcrzo,2)</f>
        <v>6.1581972684112198</v>
      </c>
      <c r="V7" s="2"/>
      <c r="W7" s="144">
        <f>+N7*H7-'MRP Raptor'!U64</f>
        <v>0</v>
      </c>
      <c r="X7" s="217"/>
    </row>
    <row r="8" spans="1:26" x14ac:dyDescent="0.25">
      <c r="A8" s="141" t="s">
        <v>569</v>
      </c>
      <c r="B8" s="272">
        <v>36741</v>
      </c>
      <c r="C8" s="272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IF(O8&gt;(X8-1),116500000,0)</f>
        <v>116500000</v>
      </c>
      <c r="N8" s="69">
        <f>IF(O8&gt;X8-1,VLOOKUP(+O8,cesiv,2),0)</f>
        <v>17.25</v>
      </c>
      <c r="O8" s="264">
        <f>+Summary!$C$5</f>
        <v>36887</v>
      </c>
      <c r="P8" s="4">
        <f t="shared" si="1"/>
        <v>-93397316.5</v>
      </c>
      <c r="Q8" s="4">
        <v>0</v>
      </c>
      <c r="R8" s="5">
        <f>+P8+Q8</f>
        <v>-93397316.5</v>
      </c>
      <c r="S8" s="4">
        <v>0</v>
      </c>
      <c r="T8" s="4">
        <f>IF(O8&gt;X8-1,IF(Summary!$E$5&lt;'Daily Position'!B8,0,ROUND(+U8*H8,2)-I8),0)</f>
        <v>-94736602.5</v>
      </c>
      <c r="U8" s="2">
        <f>IF(O8&gt;X8-1,+VLOOKUP(+Summary!$E$5,cesiv,2),0)</f>
        <v>16.25</v>
      </c>
      <c r="V8" s="2"/>
      <c r="W8" s="144">
        <f>+N8*H8-'MRP Raptor'!U83</f>
        <v>0</v>
      </c>
      <c r="X8" s="1">
        <v>36874</v>
      </c>
      <c r="Y8" t="s">
        <v>570</v>
      </c>
    </row>
    <row r="9" spans="1:26" x14ac:dyDescent="0.25">
      <c r="A9" t="s">
        <v>170</v>
      </c>
      <c r="B9" s="272">
        <v>36741</v>
      </c>
      <c r="C9" s="272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VLOOKUP(+O9,pgeo,2)</f>
        <v>4.25</v>
      </c>
      <c r="O9" s="264">
        <f>+Summary!$C$5</f>
        <v>36887</v>
      </c>
      <c r="P9" s="4">
        <f t="shared" si="1"/>
        <v>-97322.880000000005</v>
      </c>
      <c r="Q9" s="4">
        <v>0</v>
      </c>
      <c r="R9" s="5">
        <f t="shared" si="2"/>
        <v>-97322.880000000005</v>
      </c>
      <c r="S9" s="4">
        <v>0</v>
      </c>
      <c r="T9" s="4">
        <f>IF(Summary!$E$5&lt;'Daily Position'!B9,0,ROUND(+U9*H9,2)-I9)</f>
        <v>-67377.38</v>
      </c>
      <c r="U9" s="2">
        <f>+VLOOKUP(+Summary!$E$5,pgeo,2)</f>
        <v>4.75</v>
      </c>
      <c r="V9" s="2"/>
      <c r="W9" s="144">
        <f>+N9*H9-'MRP Raptor'!U81</f>
        <v>0</v>
      </c>
      <c r="X9" s="217"/>
    </row>
    <row r="10" spans="1:26" x14ac:dyDescent="0.25">
      <c r="A10" t="s">
        <v>481</v>
      </c>
      <c r="B10" s="272">
        <v>36741</v>
      </c>
      <c r="C10" s="272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4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VLOOKUP(+O10,caplg,2)</f>
        <v>1.6528925619834711</v>
      </c>
      <c r="O10" s="264">
        <f>+Summary!$C$5</f>
        <v>36887</v>
      </c>
      <c r="P10" s="4">
        <f>IF(O10&lt;B10,0,ROUND((+N10*(H10-L10)),2)-ROUND(((H10-L10)*G10),2))</f>
        <v>0</v>
      </c>
      <c r="Q10" s="4">
        <f>IF(J10&lt;(O10+1),(+K10-G10)*L10,0)</f>
        <v>186715.35465116202</v>
      </c>
      <c r="R10" s="5">
        <f t="shared" si="2"/>
        <v>186715.35465116202</v>
      </c>
      <c r="S10" s="4">
        <f>IF(J10&lt;O10,+Q10,0)</f>
        <v>186715.35465116202</v>
      </c>
      <c r="T10" s="4">
        <f>IF(Summary!$E$5&lt;'Daily Position'!B10,0,ROUND(+U10*H10,2)-I10)</f>
        <v>186715.35000000009</v>
      </c>
      <c r="U10" s="2">
        <f>IF(X10&gt;O9,+VLOOKUP(+Summary!$E$5,caplg,2),+'Stock Prices'!J76)</f>
        <v>1.9379844961240309</v>
      </c>
      <c r="V10" s="2"/>
      <c r="W10" s="144">
        <f>+N10*(H10-L10)-'MRP Raptor'!U7</f>
        <v>0</v>
      </c>
      <c r="X10" s="276"/>
    </row>
    <row r="11" spans="1:26" x14ac:dyDescent="0.25">
      <c r="A11" t="s">
        <v>575</v>
      </c>
      <c r="B11" s="272">
        <v>36741</v>
      </c>
      <c r="C11" s="272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4"/>
      <c r="K11" s="69"/>
      <c r="L11" s="3"/>
      <c r="N11" s="69">
        <f>VLOOKUP(+O11,qsri,2)</f>
        <v>7.75</v>
      </c>
      <c r="O11" s="264">
        <f>+Summary!$C$5</f>
        <v>36887</v>
      </c>
      <c r="P11" s="4">
        <f>IF(O11&lt;B11,0,ROUND((+N11*(H11-L11)),2)-ROUND(((H11-L11)*G11),2))</f>
        <v>-63744.260000000009</v>
      </c>
      <c r="Q11" s="4">
        <f>IF(J11&lt;(O11+1),(+K11-G11)*L11,0)</f>
        <v>0</v>
      </c>
      <c r="R11" s="5">
        <f t="shared" si="2"/>
        <v>-63744.260000000009</v>
      </c>
      <c r="S11" s="4">
        <f>IF(J11&lt;O11,+Q11,0)</f>
        <v>0</v>
      </c>
      <c r="T11" s="4">
        <f>IF(Summary!$E$5&lt;'Daily Position'!B11,0,ROUND(+U11*H11,2)-I11)</f>
        <v>-63744.260000000009</v>
      </c>
      <c r="U11" s="2">
        <f>IF(O11=(X11+1),+'Stock Prices'!N65/(229391/12234952),+VLOOKUP(+Summary!$E$5,qsri,2))</f>
        <v>7.75</v>
      </c>
      <c r="V11" s="2"/>
      <c r="W11" s="144">
        <f>+N11*(H11+H12-L11-L12)-'MRP Raptor'!U55</f>
        <v>0</v>
      </c>
      <c r="X11" s="276">
        <v>36824</v>
      </c>
      <c r="Y11" s="3" t="s">
        <v>574</v>
      </c>
      <c r="Z11" s="1"/>
    </row>
    <row r="12" spans="1:26" x14ac:dyDescent="0.25">
      <c r="A12" t="s">
        <v>576</v>
      </c>
      <c r="B12" s="272">
        <v>36741</v>
      </c>
      <c r="C12" s="272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4">
        <v>36874</v>
      </c>
      <c r="K12" s="69">
        <v>7</v>
      </c>
      <c r="L12" s="3">
        <v>127500</v>
      </c>
      <c r="M12" s="4">
        <f>+K12*L12</f>
        <v>892500</v>
      </c>
      <c r="N12" s="69">
        <f>VLOOKUP(+O12,qsri,2)</f>
        <v>7.75</v>
      </c>
      <c r="O12" s="264">
        <f>+Summary!$C$5</f>
        <v>36887</v>
      </c>
      <c r="P12" s="4">
        <f>IF(O12&lt;B12,0,ROUND((+N12*(H12-L12)),2)-ROUND(((H12-L12)*G12),2))</f>
        <v>0</v>
      </c>
      <c r="Q12" s="4">
        <f>IF(J12&lt;(O12+1),(+K12-G12)*L12,0)</f>
        <v>374100.00000000006</v>
      </c>
      <c r="R12" s="5">
        <f>+P12+Q12</f>
        <v>374100.00000000006</v>
      </c>
      <c r="S12" s="4">
        <f>IF(J12&lt;O12,+Q12,0)</f>
        <v>374100.00000000006</v>
      </c>
      <c r="T12" s="4">
        <f>IF(Summary!$E$5&lt;'Daily Position'!B12,0,ROUND(+U12*H12,2)-I12)</f>
        <v>469725</v>
      </c>
      <c r="U12" s="2">
        <f>IF(O12=(X12+1),+'Stock Prices'!N66/(229391/12234952),+VLOOKUP(+Summary!$E$5,qsri,2))</f>
        <v>7.75</v>
      </c>
      <c r="V12" s="2"/>
      <c r="W12" s="144"/>
      <c r="X12" s="276">
        <v>36824</v>
      </c>
      <c r="Y12" s="3" t="s">
        <v>574</v>
      </c>
      <c r="Z12" s="1"/>
    </row>
    <row r="13" spans="1:26" x14ac:dyDescent="0.25">
      <c r="A13" t="s">
        <v>171</v>
      </c>
      <c r="B13" s="272">
        <v>36741</v>
      </c>
      <c r="C13" s="272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4">
        <v>36868</v>
      </c>
      <c r="K13" s="69">
        <v>6.72</v>
      </c>
      <c r="L13" s="3">
        <f>+H13</f>
        <v>804243</v>
      </c>
      <c r="M13" s="4">
        <f>+K13*L13</f>
        <v>5404512.96</v>
      </c>
      <c r="N13" s="69">
        <f>VLOOKUP(+O13,kwk,2)</f>
        <v>8.4375</v>
      </c>
      <c r="O13" s="264">
        <f>+Summary!$C$5</f>
        <v>36887</v>
      </c>
      <c r="P13" s="4">
        <f>IF(O13&lt;B13,0,ROUND((+N13*(H13-L13)),2)-ROUND(((H13-L13)*G13),2))</f>
        <v>0</v>
      </c>
      <c r="Q13" s="4">
        <f>IF(J13&lt;(O13+1),(+K13-G13)*L13,0)</f>
        <v>-727839.91500000015</v>
      </c>
      <c r="R13" s="5">
        <f t="shared" si="2"/>
        <v>-727839.91500000015</v>
      </c>
      <c r="S13" s="4">
        <f>IF(J13&lt;O13,+Q13,0)</f>
        <v>-727839.91500000015</v>
      </c>
      <c r="T13" s="4">
        <f>IF(Summary!$E$5&lt;'Daily Position'!B13,0,ROUND(+U13*H13,2)-I13)</f>
        <v>603182.25</v>
      </c>
      <c r="U13" s="2">
        <f>+VLOOKUP(+Summary!$E$5,kwk,2)</f>
        <v>8.375</v>
      </c>
      <c r="V13" s="2"/>
      <c r="W13" s="144">
        <f>+N13*(H13-L13)-'MRP Raptor'!U84</f>
        <v>0</v>
      </c>
      <c r="X13" s="276"/>
    </row>
    <row r="14" spans="1:26" x14ac:dyDescent="0.25">
      <c r="N14" s="2"/>
      <c r="P14" s="4"/>
      <c r="Q14" s="4"/>
      <c r="R14" s="5"/>
      <c r="T14" s="4"/>
      <c r="U14" s="4"/>
      <c r="V14" s="4"/>
    </row>
    <row r="15" spans="1:26" x14ac:dyDescent="0.25">
      <c r="A15" s="139" t="s">
        <v>185</v>
      </c>
      <c r="N15" s="2"/>
      <c r="P15" s="4"/>
      <c r="Q15" s="4"/>
      <c r="R15" s="5"/>
      <c r="T15" s="4"/>
      <c r="U15" s="4"/>
      <c r="V15" s="4"/>
    </row>
    <row r="16" spans="1:26" x14ac:dyDescent="0.25">
      <c r="A16" s="218" t="s">
        <v>531</v>
      </c>
      <c r="B16" s="272">
        <v>36741</v>
      </c>
      <c r="C16" s="272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4">
        <f>+Summary!$C$5</f>
        <v>36887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6">
        <v>2</v>
      </c>
      <c r="W16" s="144">
        <f>+N16-'MRP Raptor'!U71+'Private Cash'!B375</f>
        <v>0</v>
      </c>
    </row>
    <row r="17" spans="1:25" x14ac:dyDescent="0.25">
      <c r="A17" s="141" t="s">
        <v>238</v>
      </c>
      <c r="B17" s="272">
        <v>36741</v>
      </c>
      <c r="C17" s="272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3">VLOOKUP(+O17,Privates,V17)</f>
        <v>4563600</v>
      </c>
      <c r="O17" s="264">
        <f>+Summary!$C$5</f>
        <v>36887</v>
      </c>
      <c r="P17" s="4">
        <f t="shared" ref="P17:P47" si="4">IF(O17&lt;B17,0,(+N17-I17-Q17))</f>
        <v>0</v>
      </c>
      <c r="Q17" s="4">
        <v>0</v>
      </c>
      <c r="R17" s="5">
        <f t="shared" ref="R17:R46" si="5">+P17+Q17</f>
        <v>0</v>
      </c>
      <c r="S17" s="4">
        <v>0</v>
      </c>
      <c r="T17" s="4">
        <f>+U17-I17</f>
        <v>0</v>
      </c>
      <c r="U17" s="4">
        <f>VLOOKUP(+Summary!$E$5,Privates,V17)</f>
        <v>4563600</v>
      </c>
      <c r="V17" s="236">
        <f>+V16+1</f>
        <v>3</v>
      </c>
      <c r="W17" s="144">
        <f>+N17-'MRP Raptor'!U13+'Private Cash'!C375</f>
        <v>0</v>
      </c>
    </row>
    <row r="18" spans="1:25" x14ac:dyDescent="0.25">
      <c r="A18" s="141" t="s">
        <v>501</v>
      </c>
      <c r="B18" s="272">
        <v>36741</v>
      </c>
      <c r="C18" s="272">
        <v>37836</v>
      </c>
      <c r="D18" s="77" t="s">
        <v>17</v>
      </c>
      <c r="E18" s="4">
        <v>0</v>
      </c>
      <c r="F18" s="77" t="s">
        <v>18</v>
      </c>
      <c r="I18" s="4">
        <v>2136334</v>
      </c>
      <c r="N18" s="4">
        <f t="shared" si="3"/>
        <v>1423174.37</v>
      </c>
      <c r="O18" s="264">
        <f>+Summary!$C$5</f>
        <v>36887</v>
      </c>
      <c r="P18" s="4">
        <f t="shared" si="4"/>
        <v>-713159.62999999989</v>
      </c>
      <c r="Q18" s="4">
        <v>0</v>
      </c>
      <c r="R18" s="5">
        <f>+P18+Q18</f>
        <v>-713159.62999999989</v>
      </c>
      <c r="S18" s="4">
        <v>0</v>
      </c>
      <c r="T18" s="4">
        <f>+U18-I18</f>
        <v>-713159.62999999989</v>
      </c>
      <c r="U18" s="4">
        <f>VLOOKUP(+Summary!$E$5,Privates,V18)</f>
        <v>1423174.37</v>
      </c>
      <c r="V18" s="236">
        <f t="shared" ref="V18:V47" si="6">+V17+1</f>
        <v>4</v>
      </c>
      <c r="W18" s="144">
        <f>+N18-'MRP Raptor'!U47+'Private Cash'!D375</f>
        <v>0</v>
      </c>
    </row>
    <row r="19" spans="1:25" x14ac:dyDescent="0.25">
      <c r="A19" s="141" t="s">
        <v>239</v>
      </c>
      <c r="B19" s="272">
        <v>36741</v>
      </c>
      <c r="C19" s="272">
        <v>37836</v>
      </c>
      <c r="D19" s="77" t="s">
        <v>17</v>
      </c>
      <c r="E19" s="4">
        <v>0</v>
      </c>
      <c r="F19" s="77" t="s">
        <v>18</v>
      </c>
      <c r="I19" s="4">
        <v>429975</v>
      </c>
      <c r="N19" s="4">
        <f t="shared" si="3"/>
        <v>429975</v>
      </c>
      <c r="O19" s="264">
        <f>+Summary!$C$5</f>
        <v>36887</v>
      </c>
      <c r="P19" s="4">
        <f t="shared" si="4"/>
        <v>0</v>
      </c>
      <c r="Q19" s="4">
        <v>0</v>
      </c>
      <c r="R19" s="5">
        <f t="shared" si="5"/>
        <v>0</v>
      </c>
      <c r="S19" s="4">
        <v>0</v>
      </c>
      <c r="T19" s="4">
        <f>+U19-I19</f>
        <v>0</v>
      </c>
      <c r="U19" s="4">
        <f>VLOOKUP(+Summary!$E$5,Privates,V19)</f>
        <v>429975</v>
      </c>
      <c r="V19" s="236">
        <f t="shared" si="6"/>
        <v>5</v>
      </c>
      <c r="W19" s="144">
        <f>+N19-'MRP Raptor'!U72+'Private Cash'!E375</f>
        <v>0</v>
      </c>
    </row>
    <row r="20" spans="1:25" x14ac:dyDescent="0.25">
      <c r="A20" s="141" t="s">
        <v>240</v>
      </c>
      <c r="B20" s="272">
        <v>36741</v>
      </c>
      <c r="C20" s="272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4">
        <v>36831</v>
      </c>
      <c r="K20" s="69" t="s">
        <v>572</v>
      </c>
      <c r="L20" s="3"/>
      <c r="M20" s="4">
        <v>12500000</v>
      </c>
      <c r="N20" s="4">
        <f t="shared" si="3"/>
        <v>0</v>
      </c>
      <c r="O20" s="264">
        <f>+Summary!$C$5</f>
        <v>36887</v>
      </c>
      <c r="P20" s="4">
        <f>IF(O20&lt;B20,0,IF(O20&gt;J20,0,(+N20-I20-Q20)))</f>
        <v>0</v>
      </c>
      <c r="Q20" s="4">
        <f>IF(O20&gt;J20,+M20-I20,0)</f>
        <v>0</v>
      </c>
      <c r="R20" s="5">
        <f t="shared" si="5"/>
        <v>0</v>
      </c>
      <c r="S20" s="4">
        <f>IF(O20&gt;X20,0,0)</f>
        <v>0</v>
      </c>
      <c r="T20" s="4">
        <f>IF(O20&gt;X20,0,+U20-I20)</f>
        <v>0</v>
      </c>
      <c r="U20" s="4">
        <f>VLOOKUP(+Summary!$E$5,Privates,V20)</f>
        <v>0</v>
      </c>
      <c r="V20" s="236">
        <f t="shared" si="6"/>
        <v>6</v>
      </c>
      <c r="W20" s="144">
        <f>IF(O20&gt;X20,0,+N20-'MRP Raptor'!U56+'Private Cash'!F375)</f>
        <v>0</v>
      </c>
      <c r="X20" s="1"/>
    </row>
    <row r="21" spans="1:25" x14ac:dyDescent="0.25">
      <c r="A21" s="141" t="s">
        <v>568</v>
      </c>
      <c r="B21" s="272">
        <v>36741</v>
      </c>
      <c r="C21" s="272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3"/>
        <v>0</v>
      </c>
      <c r="O21" s="264">
        <f>+Summary!$C$5</f>
        <v>36887</v>
      </c>
      <c r="P21" s="4">
        <f t="shared" si="4"/>
        <v>0</v>
      </c>
      <c r="Q21" s="4">
        <v>0</v>
      </c>
      <c r="R21" s="5">
        <f t="shared" si="5"/>
        <v>0</v>
      </c>
      <c r="S21" s="4">
        <v>0</v>
      </c>
      <c r="T21" s="4">
        <f t="shared" ref="T21:T47" si="7">+U21-I21</f>
        <v>0</v>
      </c>
      <c r="U21" s="4">
        <f>VLOOKUP(+Summary!$E$5,Privates,V21)</f>
        <v>0</v>
      </c>
      <c r="V21" s="236">
        <f t="shared" si="6"/>
        <v>7</v>
      </c>
      <c r="W21" s="144">
        <f>+N21-'MRP Raptor'!U78+'Private Cash'!G375</f>
        <v>0</v>
      </c>
      <c r="X21" s="1">
        <v>36874</v>
      </c>
      <c r="Y21" t="s">
        <v>570</v>
      </c>
    </row>
    <row r="22" spans="1:25" x14ac:dyDescent="0.25">
      <c r="A22" s="141" t="s">
        <v>241</v>
      </c>
      <c r="B22" s="272">
        <v>36741</v>
      </c>
      <c r="C22" s="272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3"/>
        <v>1663000</v>
      </c>
      <c r="O22" s="264">
        <f>+Summary!$C$5</f>
        <v>36887</v>
      </c>
      <c r="P22" s="4">
        <f t="shared" si="4"/>
        <v>0</v>
      </c>
      <c r="Q22" s="4">
        <v>0</v>
      </c>
      <c r="R22" s="5">
        <f t="shared" si="5"/>
        <v>0</v>
      </c>
      <c r="S22" s="4">
        <v>0</v>
      </c>
      <c r="T22" s="4">
        <f t="shared" si="7"/>
        <v>0</v>
      </c>
      <c r="U22" s="4">
        <f>VLOOKUP(+Summary!$E$5,Privates,V22)</f>
        <v>1663000</v>
      </c>
      <c r="V22" s="236">
        <f t="shared" si="6"/>
        <v>8</v>
      </c>
      <c r="W22" s="144">
        <f>+N22-'MRP Raptor'!U73+'Private Cash'!H375</f>
        <v>0</v>
      </c>
    </row>
    <row r="23" spans="1:25" x14ac:dyDescent="0.25">
      <c r="A23" t="s">
        <v>527</v>
      </c>
      <c r="B23" s="272">
        <v>36741</v>
      </c>
      <c r="C23" s="272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3"/>
        <v>0</v>
      </c>
      <c r="O23" s="264">
        <f>+Summary!$C$5</f>
        <v>36887</v>
      </c>
      <c r="P23" s="4">
        <f t="shared" si="4"/>
        <v>-12878050</v>
      </c>
      <c r="Q23" s="4">
        <v>0</v>
      </c>
      <c r="R23" s="5">
        <f t="shared" si="5"/>
        <v>-12878050</v>
      </c>
      <c r="S23" s="4">
        <v>0</v>
      </c>
      <c r="T23" s="4">
        <f t="shared" si="7"/>
        <v>-12878050</v>
      </c>
      <c r="U23" s="4">
        <f>VLOOKUP(+Summary!$E$5,Privates,V23)</f>
        <v>0</v>
      </c>
      <c r="V23" s="236">
        <f t="shared" si="6"/>
        <v>9</v>
      </c>
      <c r="W23" s="144">
        <f>+N23-'MRP Raptor'!U29+'Private Cash'!I375</f>
        <v>0</v>
      </c>
    </row>
    <row r="24" spans="1:25" x14ac:dyDescent="0.25">
      <c r="A24" s="141" t="s">
        <v>242</v>
      </c>
      <c r="B24" s="272">
        <v>36741</v>
      </c>
      <c r="C24" s="272">
        <v>37836</v>
      </c>
      <c r="D24" s="77" t="s">
        <v>17</v>
      </c>
      <c r="E24" s="4">
        <v>0</v>
      </c>
      <c r="F24" s="77" t="s">
        <v>18</v>
      </c>
      <c r="I24" s="4">
        <v>1012500</v>
      </c>
      <c r="N24" s="4">
        <f t="shared" si="3"/>
        <v>1012500</v>
      </c>
      <c r="O24" s="264">
        <f>+Summary!$C$5</f>
        <v>36887</v>
      </c>
      <c r="P24" s="4">
        <f t="shared" si="4"/>
        <v>0</v>
      </c>
      <c r="Q24" s="4">
        <v>0</v>
      </c>
      <c r="R24" s="5">
        <f t="shared" si="5"/>
        <v>0</v>
      </c>
      <c r="S24" s="4">
        <v>0</v>
      </c>
      <c r="T24" s="4">
        <f t="shared" si="7"/>
        <v>0</v>
      </c>
      <c r="U24" s="4">
        <f>VLOOKUP(+Summary!$E$5,Privates,V24)</f>
        <v>1012500</v>
      </c>
      <c r="V24" s="236">
        <f t="shared" si="6"/>
        <v>10</v>
      </c>
      <c r="W24" s="144">
        <f>+N24-'MRP Raptor'!U74+'Private Cash'!J375</f>
        <v>0</v>
      </c>
    </row>
    <row r="25" spans="1:25" x14ac:dyDescent="0.25">
      <c r="A25" s="141" t="s">
        <v>517</v>
      </c>
      <c r="B25" s="272">
        <v>36741</v>
      </c>
      <c r="C25" s="272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3"/>
        <v>23507915.000000205</v>
      </c>
      <c r="O25" s="264">
        <f>+Summary!$C$5</f>
        <v>36887</v>
      </c>
      <c r="P25" s="4">
        <f t="shared" si="4"/>
        <v>2.0489096641540527E-7</v>
      </c>
      <c r="Q25" s="4">
        <v>0</v>
      </c>
      <c r="R25" s="5">
        <f t="shared" si="5"/>
        <v>2.0489096641540527E-7</v>
      </c>
      <c r="S25" s="4">
        <v>0</v>
      </c>
      <c r="T25" s="4">
        <f t="shared" si="7"/>
        <v>2.0116567611694336E-7</v>
      </c>
      <c r="U25" s="4">
        <f>VLOOKUP(+Summary!$E$5,Privates,V25)</f>
        <v>23507915.000000201</v>
      </c>
      <c r="V25" s="236">
        <f t="shared" si="6"/>
        <v>11</v>
      </c>
      <c r="W25" s="144">
        <f>+N25-'MRP Raptor'!U49+'Private Cash'!K375</f>
        <v>-3.7252902984619141E-9</v>
      </c>
    </row>
    <row r="26" spans="1:25" x14ac:dyDescent="0.25">
      <c r="A26" s="141" t="s">
        <v>485</v>
      </c>
      <c r="B26" s="272">
        <v>36741</v>
      </c>
      <c r="C26" s="272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3"/>
        <v>10372212</v>
      </c>
      <c r="O26" s="264">
        <f>+Summary!$C$5</f>
        <v>36887</v>
      </c>
      <c r="P26" s="4">
        <f t="shared" si="4"/>
        <v>0</v>
      </c>
      <c r="Q26" s="4">
        <v>0</v>
      </c>
      <c r="R26" s="5">
        <f>+P26+Q26</f>
        <v>0</v>
      </c>
      <c r="S26" s="4">
        <v>0</v>
      </c>
      <c r="T26" s="4">
        <f t="shared" si="7"/>
        <v>0</v>
      </c>
      <c r="U26" s="4">
        <f>VLOOKUP(+Summary!$E$5,Privates,V26)</f>
        <v>10372212</v>
      </c>
      <c r="V26" s="236">
        <f t="shared" si="6"/>
        <v>12</v>
      </c>
      <c r="W26" s="144">
        <f>+N26-'MRP Raptor'!U50+'Private Cash'!L375</f>
        <v>0</v>
      </c>
    </row>
    <row r="27" spans="1:25" x14ac:dyDescent="0.25">
      <c r="A27" s="141" t="s">
        <v>518</v>
      </c>
      <c r="B27" s="272">
        <v>36741</v>
      </c>
      <c r="C27" s="272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3"/>
        <v>1302980</v>
      </c>
      <c r="O27" s="264">
        <f>+Summary!$C$5</f>
        <v>36887</v>
      </c>
      <c r="P27" s="4">
        <f t="shared" si="4"/>
        <v>0</v>
      </c>
      <c r="Q27" s="4">
        <v>0</v>
      </c>
      <c r="R27" s="5">
        <f t="shared" si="5"/>
        <v>0</v>
      </c>
      <c r="S27" s="4">
        <v>0</v>
      </c>
      <c r="T27" s="4">
        <f t="shared" si="7"/>
        <v>0</v>
      </c>
      <c r="U27" s="4">
        <f>VLOOKUP(+Summary!$E$5,Privates,V27)</f>
        <v>1302980</v>
      </c>
      <c r="V27" s="236">
        <f t="shared" si="6"/>
        <v>13</v>
      </c>
      <c r="W27" s="144">
        <f>+N27-'MRP Raptor'!U57+'Private Cash'!M375</f>
        <v>0</v>
      </c>
    </row>
    <row r="28" spans="1:25" x14ac:dyDescent="0.25">
      <c r="A28" s="141" t="s">
        <v>519</v>
      </c>
      <c r="B28" s="272">
        <v>36741</v>
      </c>
      <c r="C28" s="272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3"/>
        <v>3486752</v>
      </c>
      <c r="O28" s="264">
        <f>+Summary!$C$5</f>
        <v>36887</v>
      </c>
      <c r="P28" s="4">
        <f t="shared" si="4"/>
        <v>0</v>
      </c>
      <c r="Q28" s="4">
        <v>0</v>
      </c>
      <c r="R28" s="5">
        <f t="shared" si="5"/>
        <v>0</v>
      </c>
      <c r="S28" s="4">
        <v>0</v>
      </c>
      <c r="T28" s="4">
        <f t="shared" si="7"/>
        <v>0</v>
      </c>
      <c r="U28" s="4">
        <f>VLOOKUP(+Summary!$E$5,Privates,V28)</f>
        <v>3486752</v>
      </c>
      <c r="V28" s="236">
        <f t="shared" si="6"/>
        <v>14</v>
      </c>
      <c r="W28" s="144">
        <f>+N28-'MRP Raptor'!U62+'Private Cash'!N375</f>
        <v>0</v>
      </c>
    </row>
    <row r="29" spans="1:25" x14ac:dyDescent="0.25">
      <c r="A29" s="141" t="s">
        <v>243</v>
      </c>
      <c r="B29" s="272">
        <v>36741</v>
      </c>
      <c r="C29" s="272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3"/>
        <v>429210</v>
      </c>
      <c r="O29" s="264">
        <f>+Summary!$C$5</f>
        <v>36887</v>
      </c>
      <c r="P29" s="4">
        <f t="shared" si="4"/>
        <v>0</v>
      </c>
      <c r="Q29" s="4">
        <v>0</v>
      </c>
      <c r="R29" s="5">
        <f t="shared" si="5"/>
        <v>0</v>
      </c>
      <c r="S29" s="4">
        <v>0</v>
      </c>
      <c r="T29" s="4">
        <f t="shared" si="7"/>
        <v>0</v>
      </c>
      <c r="U29" s="4">
        <f>VLOOKUP(+Summary!$E$5,Privates,V29)</f>
        <v>429210</v>
      </c>
      <c r="V29" s="236">
        <f t="shared" si="6"/>
        <v>15</v>
      </c>
      <c r="W29" s="144">
        <f>+N29-'MRP Raptor'!U58+'Private Cash'!O375</f>
        <v>0</v>
      </c>
    </row>
    <row r="30" spans="1:25" x14ac:dyDescent="0.25">
      <c r="A30" s="141" t="s">
        <v>244</v>
      </c>
      <c r="B30" s="272">
        <v>36741</v>
      </c>
      <c r="C30" s="272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3"/>
        <v>470790</v>
      </c>
      <c r="O30" s="264">
        <f>+Summary!$C$5</f>
        <v>36887</v>
      </c>
      <c r="P30" s="4">
        <f t="shared" si="4"/>
        <v>0</v>
      </c>
      <c r="Q30" s="4">
        <v>0</v>
      </c>
      <c r="R30" s="5">
        <f t="shared" si="5"/>
        <v>0</v>
      </c>
      <c r="S30" s="4">
        <v>0</v>
      </c>
      <c r="T30" s="4">
        <f t="shared" si="7"/>
        <v>0</v>
      </c>
      <c r="U30" s="4">
        <f>VLOOKUP(+Summary!$E$5,Privates,V30)</f>
        <v>470790</v>
      </c>
      <c r="V30" s="236">
        <f t="shared" si="6"/>
        <v>16</v>
      </c>
      <c r="W30" s="144">
        <f>+N30-'MRP Raptor'!U59+'Private Cash'!P375</f>
        <v>0</v>
      </c>
    </row>
    <row r="31" spans="1:25" x14ac:dyDescent="0.25">
      <c r="A31" s="141" t="s">
        <v>188</v>
      </c>
      <c r="B31" s="272">
        <v>36741</v>
      </c>
      <c r="C31" s="272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3"/>
        <v>26054801.25</v>
      </c>
      <c r="O31" s="264">
        <f>+Summary!$C$5</f>
        <v>36887</v>
      </c>
      <c r="P31" s="4">
        <f t="shared" si="4"/>
        <v>-1027698.75</v>
      </c>
      <c r="Q31" s="4">
        <v>0</v>
      </c>
      <c r="R31" s="5">
        <f t="shared" si="5"/>
        <v>-1027698.75</v>
      </c>
      <c r="S31" s="4">
        <v>0</v>
      </c>
      <c r="T31" s="4">
        <f t="shared" si="7"/>
        <v>-1027698.75</v>
      </c>
      <c r="U31" s="4">
        <f>VLOOKUP(+Summary!$E$5,Privates,V31)</f>
        <v>26054801.25</v>
      </c>
      <c r="V31" s="236">
        <f t="shared" si="6"/>
        <v>17</v>
      </c>
      <c r="W31" s="144">
        <f>+N31-'MRP Raptor'!U88+'Private Cash'!Q375</f>
        <v>0</v>
      </c>
    </row>
    <row r="32" spans="1:25" x14ac:dyDescent="0.25">
      <c r="A32" s="141" t="s">
        <v>245</v>
      </c>
      <c r="B32" s="272">
        <v>36741</v>
      </c>
      <c r="C32" s="272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3"/>
        <v>7121810</v>
      </c>
      <c r="O32" s="264">
        <f>+Summary!$C$5</f>
        <v>36887</v>
      </c>
      <c r="P32" s="4">
        <f t="shared" si="4"/>
        <v>0</v>
      </c>
      <c r="Q32" s="4">
        <v>0</v>
      </c>
      <c r="R32" s="5">
        <f t="shared" si="5"/>
        <v>0</v>
      </c>
      <c r="S32" s="4">
        <v>0</v>
      </c>
      <c r="T32" s="4">
        <f t="shared" si="7"/>
        <v>0</v>
      </c>
      <c r="U32" s="4">
        <f>VLOOKUP(+Summary!$E$5,Privates,V32)</f>
        <v>7121810</v>
      </c>
      <c r="V32" s="236">
        <f t="shared" si="6"/>
        <v>18</v>
      </c>
      <c r="W32" s="144">
        <f>+N32-'MRP Raptor'!U60+'Private Cash'!R375</f>
        <v>0</v>
      </c>
    </row>
    <row r="33" spans="1:23" x14ac:dyDescent="0.25">
      <c r="A33" s="141" t="s">
        <v>187</v>
      </c>
      <c r="B33" s="272">
        <v>36741</v>
      </c>
      <c r="C33" s="272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3"/>
        <v>5644007</v>
      </c>
      <c r="O33" s="264">
        <f>+Summary!$C$5</f>
        <v>36887</v>
      </c>
      <c r="P33" s="4">
        <f t="shared" si="4"/>
        <v>0</v>
      </c>
      <c r="Q33" s="4">
        <v>0</v>
      </c>
      <c r="R33" s="5">
        <f t="shared" si="5"/>
        <v>0</v>
      </c>
      <c r="S33" s="4">
        <v>0</v>
      </c>
      <c r="T33" s="4">
        <f t="shared" si="7"/>
        <v>0</v>
      </c>
      <c r="U33" s="4">
        <f>VLOOKUP(+Summary!$E$5,Privates,V33)</f>
        <v>5644007</v>
      </c>
      <c r="V33" s="236">
        <f t="shared" si="6"/>
        <v>19</v>
      </c>
      <c r="W33" s="144">
        <f>+N33-'MRP Raptor'!U4+'Private Cash'!S375</f>
        <v>3.4924596548080444E-10</v>
      </c>
    </row>
    <row r="34" spans="1:23" x14ac:dyDescent="0.25">
      <c r="A34" s="141" t="s">
        <v>246</v>
      </c>
      <c r="B34" s="272">
        <v>36741</v>
      </c>
      <c r="C34" s="272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3"/>
        <v>20984932.989999998</v>
      </c>
      <c r="O34" s="264">
        <f>+Summary!$C$5</f>
        <v>36887</v>
      </c>
      <c r="P34" s="4">
        <f t="shared" si="4"/>
        <v>68057.989999998361</v>
      </c>
      <c r="Q34" s="4">
        <v>0</v>
      </c>
      <c r="R34" s="5">
        <f t="shared" si="5"/>
        <v>68057.989999998361</v>
      </c>
      <c r="S34" s="4">
        <v>0</v>
      </c>
      <c r="T34" s="4">
        <f t="shared" si="7"/>
        <v>68057.989999998361</v>
      </c>
      <c r="U34" s="4">
        <f>VLOOKUP(+Summary!$E$5,Privates,V34)</f>
        <v>20984932.989999998</v>
      </c>
      <c r="V34" s="236">
        <f t="shared" si="6"/>
        <v>20</v>
      </c>
      <c r="W34" s="144">
        <f>+N34-'MRP Raptor'!U14+'Private Cash'!T375</f>
        <v>0</v>
      </c>
    </row>
    <row r="35" spans="1:23" x14ac:dyDescent="0.25">
      <c r="A35" s="141" t="s">
        <v>253</v>
      </c>
      <c r="B35" s="272">
        <v>36741</v>
      </c>
      <c r="C35" s="272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3"/>
        <v>2560525</v>
      </c>
      <c r="O35" s="264">
        <f>+Summary!$C$5</f>
        <v>36887</v>
      </c>
      <c r="P35" s="4">
        <f t="shared" si="4"/>
        <v>0</v>
      </c>
      <c r="Q35" s="4">
        <v>0</v>
      </c>
      <c r="R35" s="5">
        <f>+P35+Q35</f>
        <v>0</v>
      </c>
      <c r="S35" s="4">
        <v>0</v>
      </c>
      <c r="T35" s="4">
        <f t="shared" si="7"/>
        <v>0</v>
      </c>
      <c r="U35" s="4">
        <f>VLOOKUP(+Summary!$E$5,Privates,V35)</f>
        <v>2560525</v>
      </c>
      <c r="V35" s="236">
        <f t="shared" si="6"/>
        <v>21</v>
      </c>
      <c r="W35" s="144">
        <f>+N35-'MRP Raptor'!U15+'Private Cash'!U375</f>
        <v>0</v>
      </c>
    </row>
    <row r="36" spans="1:23" x14ac:dyDescent="0.25">
      <c r="A36" s="141" t="s">
        <v>247</v>
      </c>
      <c r="B36" s="272">
        <v>36741</v>
      </c>
      <c r="C36" s="272">
        <v>37836</v>
      </c>
      <c r="D36" s="77" t="s">
        <v>17</v>
      </c>
      <c r="E36" s="4">
        <v>0</v>
      </c>
      <c r="F36" s="77" t="s">
        <v>18</v>
      </c>
      <c r="I36" s="4">
        <v>4774950</v>
      </c>
      <c r="N36" s="4">
        <f t="shared" si="3"/>
        <v>4923475.66</v>
      </c>
      <c r="O36" s="264">
        <f>+Summary!$C$5</f>
        <v>36887</v>
      </c>
      <c r="P36" s="4">
        <f t="shared" si="4"/>
        <v>148525.66000000015</v>
      </c>
      <c r="Q36" s="4">
        <v>0</v>
      </c>
      <c r="R36" s="5">
        <f t="shared" si="5"/>
        <v>148525.66000000015</v>
      </c>
      <c r="S36" s="4">
        <v>0</v>
      </c>
      <c r="T36" s="4">
        <f t="shared" si="7"/>
        <v>148525.66000000015</v>
      </c>
      <c r="U36" s="4">
        <f>VLOOKUP(+Summary!$E$5,Privates,V36)</f>
        <v>4923475.66</v>
      </c>
      <c r="V36" s="236">
        <f t="shared" si="6"/>
        <v>22</v>
      </c>
      <c r="W36" s="144">
        <f>+N36-'MRP Raptor'!U75+'Private Cash'!V375</f>
        <v>0</v>
      </c>
    </row>
    <row r="37" spans="1:23" x14ac:dyDescent="0.25">
      <c r="A37" s="141" t="s">
        <v>248</v>
      </c>
      <c r="B37" s="272">
        <v>36741</v>
      </c>
      <c r="C37" s="272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3"/>
        <v>2013591.6599838899</v>
      </c>
      <c r="O37" s="264">
        <f>+Summary!$C$5</f>
        <v>36887</v>
      </c>
      <c r="P37" s="4">
        <f t="shared" si="4"/>
        <v>191228.6599838899</v>
      </c>
      <c r="Q37" s="4">
        <v>0</v>
      </c>
      <c r="R37" s="5">
        <f t="shared" si="5"/>
        <v>191228.6599838899</v>
      </c>
      <c r="S37" s="4">
        <v>0</v>
      </c>
      <c r="T37" s="4">
        <f t="shared" si="7"/>
        <v>191228.6599838899</v>
      </c>
      <c r="U37" s="4">
        <f>VLOOKUP(+Summary!$E$5,Privates,V37)</f>
        <v>2013591.6599838899</v>
      </c>
      <c r="V37" s="236">
        <f t="shared" si="6"/>
        <v>23</v>
      </c>
      <c r="W37" s="144">
        <f>+N37-'MRP Raptor'!U86+'Private Cash'!W375</f>
        <v>0</v>
      </c>
    </row>
    <row r="38" spans="1:23" x14ac:dyDescent="0.25">
      <c r="A38" s="141" t="s">
        <v>249</v>
      </c>
      <c r="B38" s="272">
        <v>36741</v>
      </c>
      <c r="C38" s="272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3"/>
        <v>1374750</v>
      </c>
      <c r="O38" s="264">
        <f>+Summary!$C$5</f>
        <v>36887</v>
      </c>
      <c r="P38" s="4">
        <f t="shared" si="4"/>
        <v>0</v>
      </c>
      <c r="Q38" s="4">
        <v>0</v>
      </c>
      <c r="R38" s="5">
        <f t="shared" si="5"/>
        <v>0</v>
      </c>
      <c r="S38" s="4">
        <v>0</v>
      </c>
      <c r="T38" s="4">
        <f t="shared" si="7"/>
        <v>0</v>
      </c>
      <c r="U38" s="4">
        <f>VLOOKUP(+Summary!$E$5,Privates,V38)</f>
        <v>1374750</v>
      </c>
      <c r="V38" s="236">
        <f t="shared" si="6"/>
        <v>24</v>
      </c>
      <c r="W38" s="144">
        <f>+N38-'MRP Raptor'!U89+'Private Cash'!X375</f>
        <v>0</v>
      </c>
    </row>
    <row r="39" spans="1:23" x14ac:dyDescent="0.25">
      <c r="A39" s="141" t="s">
        <v>250</v>
      </c>
      <c r="B39" s="272">
        <v>36741</v>
      </c>
      <c r="C39" s="272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3"/>
        <v>1803840</v>
      </c>
      <c r="O39" s="264">
        <f>+Summary!$C$5</f>
        <v>36887</v>
      </c>
      <c r="P39" s="4">
        <f t="shared" si="4"/>
        <v>0</v>
      </c>
      <c r="Q39" s="4">
        <v>0</v>
      </c>
      <c r="R39" s="5">
        <f t="shared" si="5"/>
        <v>0</v>
      </c>
      <c r="S39" s="4">
        <v>0</v>
      </c>
      <c r="T39" s="4">
        <f t="shared" si="7"/>
        <v>0</v>
      </c>
      <c r="U39" s="4">
        <f>VLOOKUP(+Summary!$E$5,Privates,V39)</f>
        <v>1803840</v>
      </c>
      <c r="V39" s="236">
        <f t="shared" si="6"/>
        <v>25</v>
      </c>
      <c r="W39" s="144">
        <f>+N39-'MRP Raptor'!U25+'Private Cash'!Y375</f>
        <v>0</v>
      </c>
    </row>
    <row r="40" spans="1:23" x14ac:dyDescent="0.25">
      <c r="A40" s="141" t="s">
        <v>528</v>
      </c>
      <c r="B40" s="272">
        <v>36741</v>
      </c>
      <c r="C40" s="272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3"/>
        <v>2300803</v>
      </c>
      <c r="O40" s="264">
        <f>+Summary!$C$5</f>
        <v>36887</v>
      </c>
      <c r="P40" s="4">
        <f t="shared" si="4"/>
        <v>0</v>
      </c>
      <c r="Q40" s="4">
        <v>0</v>
      </c>
      <c r="R40" s="5">
        <f>+P40+Q40</f>
        <v>0</v>
      </c>
      <c r="S40" s="4">
        <v>0</v>
      </c>
      <c r="T40" s="4">
        <f t="shared" si="7"/>
        <v>0</v>
      </c>
      <c r="U40" s="4">
        <f>VLOOKUP(+Summary!$E$5,Privates,V40)</f>
        <v>2300803</v>
      </c>
      <c r="V40" s="236">
        <f t="shared" si="6"/>
        <v>26</v>
      </c>
      <c r="W40" s="144">
        <f>+N40-'MRP Raptor'!U26+'Private Cash'!Z375</f>
        <v>0</v>
      </c>
    </row>
    <row r="41" spans="1:23" x14ac:dyDescent="0.25">
      <c r="A41" s="141" t="s">
        <v>251</v>
      </c>
      <c r="B41" s="272">
        <v>36741</v>
      </c>
      <c r="C41" s="272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3"/>
        <v>7463158.7400000002</v>
      </c>
      <c r="O41" s="264">
        <f>+Summary!$C$5</f>
        <v>36887</v>
      </c>
      <c r="P41" s="4">
        <f t="shared" si="4"/>
        <v>-20591.259999999776</v>
      </c>
      <c r="Q41" s="4">
        <v>0</v>
      </c>
      <c r="R41" s="5">
        <f t="shared" si="5"/>
        <v>-20591.259999999776</v>
      </c>
      <c r="S41" s="4">
        <v>0</v>
      </c>
      <c r="T41" s="4">
        <f t="shared" si="7"/>
        <v>-20591.259999999776</v>
      </c>
      <c r="U41" s="4">
        <f>VLOOKUP(+Summary!$E$5,Privates,V41)</f>
        <v>7463158.7400000002</v>
      </c>
      <c r="V41" s="236">
        <f t="shared" si="6"/>
        <v>27</v>
      </c>
      <c r="W41" s="144">
        <f>+N41-'MRP Raptor'!U16+'Private Cash'!AA375</f>
        <v>0</v>
      </c>
    </row>
    <row r="42" spans="1:23" x14ac:dyDescent="0.25">
      <c r="A42" s="141" t="s">
        <v>254</v>
      </c>
      <c r="B42" s="272">
        <v>36741</v>
      </c>
      <c r="C42" s="272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3"/>
        <v>2343750</v>
      </c>
      <c r="O42" s="264">
        <f>+Summary!$C$5</f>
        <v>36887</v>
      </c>
      <c r="P42" s="4">
        <f t="shared" si="4"/>
        <v>0</v>
      </c>
      <c r="Q42" s="4">
        <v>0</v>
      </c>
      <c r="R42" s="5">
        <f>+P42+Q42</f>
        <v>0</v>
      </c>
      <c r="S42" s="4">
        <v>0</v>
      </c>
      <c r="T42" s="4">
        <f t="shared" si="7"/>
        <v>0</v>
      </c>
      <c r="U42" s="4">
        <f>VLOOKUP(+Summary!$E$5,Privates,V42)</f>
        <v>2343750</v>
      </c>
      <c r="V42" s="236">
        <f t="shared" si="6"/>
        <v>28</v>
      </c>
      <c r="W42" s="144">
        <f>+N42-'MRP Raptor'!U17+'Private Cash'!AB375</f>
        <v>0</v>
      </c>
    </row>
    <row r="43" spans="1:23" x14ac:dyDescent="0.25">
      <c r="A43" t="s">
        <v>520</v>
      </c>
      <c r="B43" s="272">
        <v>36741</v>
      </c>
      <c r="C43" s="272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3"/>
        <v>16316247</v>
      </c>
      <c r="O43" s="264">
        <f>+Summary!$C$5</f>
        <v>36887</v>
      </c>
      <c r="P43" s="4">
        <f t="shared" si="4"/>
        <v>0</v>
      </c>
      <c r="Q43" s="4">
        <v>0</v>
      </c>
      <c r="R43" s="5">
        <f>+P43+Q43</f>
        <v>0</v>
      </c>
      <c r="S43" s="4">
        <v>0</v>
      </c>
      <c r="T43" s="4">
        <f t="shared" si="7"/>
        <v>0</v>
      </c>
      <c r="U43" s="4">
        <f>VLOOKUP(+Summary!$E$5,Privates,V43)</f>
        <v>16316247</v>
      </c>
      <c r="V43" s="236">
        <f t="shared" si="6"/>
        <v>29</v>
      </c>
      <c r="W43" s="144">
        <f>+N43-'MRP Raptor'!U18+'Private Cash'!AC375</f>
        <v>0</v>
      </c>
    </row>
    <row r="44" spans="1:23" x14ac:dyDescent="0.25">
      <c r="A44" t="s">
        <v>521</v>
      </c>
      <c r="B44" s="272">
        <v>36741</v>
      </c>
      <c r="C44" s="272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3"/>
        <v>1050000</v>
      </c>
      <c r="O44" s="264">
        <f>+Summary!$C$5</f>
        <v>36887</v>
      </c>
      <c r="P44" s="4">
        <f t="shared" si="4"/>
        <v>0</v>
      </c>
      <c r="Q44" s="4">
        <v>0</v>
      </c>
      <c r="R44" s="5">
        <f>+P44+Q44</f>
        <v>0</v>
      </c>
      <c r="S44" s="4">
        <v>0</v>
      </c>
      <c r="T44" s="4">
        <f t="shared" si="7"/>
        <v>0</v>
      </c>
      <c r="U44" s="4">
        <f>VLOOKUP(+Summary!$E$5,Privates,V44)</f>
        <v>1050000</v>
      </c>
      <c r="V44" s="236">
        <f t="shared" si="6"/>
        <v>30</v>
      </c>
      <c r="W44" s="144">
        <f>+N44-'MRP Raptor'!U19+'Private Cash'!AD375</f>
        <v>0</v>
      </c>
    </row>
    <row r="45" spans="1:23" x14ac:dyDescent="0.25">
      <c r="A45" s="141" t="s">
        <v>487</v>
      </c>
      <c r="B45" s="272">
        <v>36741</v>
      </c>
      <c r="C45" s="272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3"/>
        <v>80687584.609999999</v>
      </c>
      <c r="O45" s="264">
        <f>+Summary!$C$5</f>
        <v>36887</v>
      </c>
      <c r="P45" s="4">
        <f t="shared" si="4"/>
        <v>-792415.3900000006</v>
      </c>
      <c r="Q45" s="4">
        <v>0</v>
      </c>
      <c r="R45" s="5">
        <f t="shared" si="5"/>
        <v>-792415.3900000006</v>
      </c>
      <c r="S45" s="4">
        <v>0</v>
      </c>
      <c r="T45" s="4">
        <f t="shared" si="7"/>
        <v>-792415.3900000006</v>
      </c>
      <c r="U45" s="4">
        <f>VLOOKUP(+Summary!$E$5,Privates,V45)</f>
        <v>80687584.609999999</v>
      </c>
      <c r="V45" s="236">
        <f t="shared" si="6"/>
        <v>31</v>
      </c>
      <c r="W45" s="144">
        <f>+N45-'MRP Raptor'!U69+'Private Cash'!AE375</f>
        <v>4.1909515857696533E-9</v>
      </c>
    </row>
    <row r="46" spans="1:23" x14ac:dyDescent="0.25">
      <c r="A46" s="141" t="s">
        <v>486</v>
      </c>
      <c r="B46" s="272">
        <v>36741</v>
      </c>
      <c r="C46" s="272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3"/>
        <v>1360000</v>
      </c>
      <c r="O46" s="264">
        <f>+Summary!$C$5</f>
        <v>36887</v>
      </c>
      <c r="P46" s="4">
        <f t="shared" si="4"/>
        <v>0</v>
      </c>
      <c r="Q46" s="4">
        <v>0</v>
      </c>
      <c r="R46" s="5">
        <f t="shared" si="5"/>
        <v>0</v>
      </c>
      <c r="S46" s="4">
        <v>0</v>
      </c>
      <c r="T46" s="4">
        <f t="shared" si="7"/>
        <v>0</v>
      </c>
      <c r="U46" s="4">
        <f>VLOOKUP(+Summary!$E$5,Privates,V46)</f>
        <v>1360000</v>
      </c>
      <c r="V46" s="236">
        <f t="shared" si="6"/>
        <v>32</v>
      </c>
      <c r="W46" s="144">
        <f>+N46-'MRP Raptor'!U77+'Private Cash'!AF375</f>
        <v>0</v>
      </c>
    </row>
    <row r="47" spans="1:23" x14ac:dyDescent="0.25">
      <c r="A47" s="141" t="s">
        <v>189</v>
      </c>
      <c r="B47" s="272">
        <v>36741</v>
      </c>
      <c r="C47" s="272">
        <v>37836</v>
      </c>
      <c r="D47" s="77" t="s">
        <v>536</v>
      </c>
      <c r="E47" s="4">
        <v>36066314</v>
      </c>
      <c r="F47" s="77" t="s">
        <v>18</v>
      </c>
      <c r="I47" s="4">
        <v>93746590</v>
      </c>
      <c r="N47" s="4">
        <f t="shared" si="3"/>
        <v>93746588.676477998</v>
      </c>
      <c r="O47" s="264">
        <f>+Summary!$C$5</f>
        <v>36887</v>
      </c>
      <c r="P47" s="4">
        <f t="shared" si="4"/>
        <v>-1.3235220015048981</v>
      </c>
      <c r="Q47" s="4">
        <v>0</v>
      </c>
      <c r="R47" s="5">
        <f>+P47+Q47</f>
        <v>-1.3235220015048981</v>
      </c>
      <c r="S47" s="4">
        <v>0</v>
      </c>
      <c r="T47" s="4">
        <f t="shared" si="7"/>
        <v>-1.3235220015048981</v>
      </c>
      <c r="U47" s="4">
        <f>VLOOKUP(+Summary!$E$5,Privates,V47)</f>
        <v>93746588.676477998</v>
      </c>
      <c r="V47" s="236">
        <f t="shared" si="6"/>
        <v>33</v>
      </c>
      <c r="W47" s="144">
        <f>+N47-'MRP Raptor'!U30+'Private Cash'!AG375</f>
        <v>0</v>
      </c>
    </row>
    <row r="48" spans="1:23" x14ac:dyDescent="0.25">
      <c r="A48" s="141"/>
      <c r="N48" s="4"/>
      <c r="P48" s="4"/>
      <c r="Q48" s="4"/>
      <c r="R48" s="5"/>
      <c r="T48" s="4"/>
      <c r="U48" s="4"/>
      <c r="V48" s="236"/>
      <c r="W48" s="144"/>
    </row>
    <row r="49" spans="1:24" x14ac:dyDescent="0.25">
      <c r="A49" s="141" t="s">
        <v>255</v>
      </c>
      <c r="N49" s="4"/>
      <c r="P49" s="4"/>
      <c r="Q49" s="4"/>
      <c r="R49" s="5"/>
      <c r="T49" s="4"/>
      <c r="U49" s="4"/>
      <c r="V49" s="236"/>
      <c r="W49" s="144"/>
    </row>
    <row r="50" spans="1:24" x14ac:dyDescent="0.25">
      <c r="A50" t="s">
        <v>169</v>
      </c>
      <c r="B50" s="272">
        <v>36741</v>
      </c>
      <c r="C50" s="272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4"/>
      <c r="K50" s="2"/>
      <c r="L50" s="3"/>
      <c r="M50" s="4">
        <f>ROUND(+K50*L50,2)</f>
        <v>0</v>
      </c>
      <c r="N50" s="69">
        <f>+N4</f>
        <v>1.7533046970361272</v>
      </c>
      <c r="O50" s="264">
        <f>+Summary!$C$5</f>
        <v>36887</v>
      </c>
      <c r="P50" s="4">
        <f>IF(O50&lt;B50,0,ROUND((+N50*H50),2)-I50-Q50)</f>
        <v>26981.899999999994</v>
      </c>
      <c r="Q50" s="4">
        <v>0</v>
      </c>
      <c r="R50" s="5">
        <f t="shared" ref="R50:R56" si="8">+P50+Q50</f>
        <v>26981.899999999994</v>
      </c>
      <c r="S50" s="4">
        <v>0</v>
      </c>
      <c r="T50" s="4">
        <f>IF(Summary!$E$5&lt;'Daily Position'!B50,0,ROUND(+U50*H50,2)-I50)</f>
        <v>18924.040000000008</v>
      </c>
      <c r="U50" s="69">
        <f>+U4</f>
        <v>1.5817003697159118</v>
      </c>
      <c r="V50" s="2"/>
      <c r="W50" s="144">
        <f>+N50*H50-'MRP Raptor'!U22</f>
        <v>0</v>
      </c>
    </row>
    <row r="51" spans="1:24" x14ac:dyDescent="0.25">
      <c r="A51" t="s">
        <v>481</v>
      </c>
      <c r="B51" s="272">
        <v>36741</v>
      </c>
      <c r="C51" s="272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4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1.6528925619834711</v>
      </c>
      <c r="O51" s="264">
        <f>+Summary!$C$5</f>
        <v>36887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8"/>
        <v>112402.64349999953</v>
      </c>
      <c r="S51" s="4">
        <f>IF(J51&lt;O51,+Q51,0)</f>
        <v>112402.64349999953</v>
      </c>
      <c r="T51" s="4">
        <f>IF(Summary!$E$5&lt;'Daily Position'!B51,0,ROUND(+U51*H51,2)-I51)</f>
        <v>112404.64000000001</v>
      </c>
      <c r="U51" s="69">
        <f>+U10</f>
        <v>1.9379844961240309</v>
      </c>
      <c r="V51" s="2"/>
      <c r="W51" s="144">
        <f>+N51*(H51-L51)-'MRP Raptor'!U37</f>
        <v>0</v>
      </c>
      <c r="X51" s="217"/>
    </row>
    <row r="52" spans="1:24" x14ac:dyDescent="0.25">
      <c r="A52" t="str">
        <f>+A11</f>
        <v>DevX Energy Common</v>
      </c>
      <c r="B52" s="272">
        <v>36741</v>
      </c>
      <c r="C52" s="272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4"/>
      <c r="K52" s="2"/>
      <c r="L52" s="3"/>
      <c r="M52" s="4">
        <f>ROUND(+K52*L52,2)</f>
        <v>0</v>
      </c>
      <c r="N52" s="69">
        <f>+N11</f>
        <v>7.75</v>
      </c>
      <c r="O52" s="264">
        <f>+Summary!$C$5</f>
        <v>36887</v>
      </c>
      <c r="P52" s="4">
        <f>IF(O52&lt;B52,0,ROUND((+N52*(H52-L52)),2)-ROUND(((H52-L52)*G52),2))</f>
        <v>-38374.04</v>
      </c>
      <c r="Q52" s="4">
        <f>IF(J52&lt;(O52+1),(+K52-G52)*L52,0)</f>
        <v>0</v>
      </c>
      <c r="R52" s="5">
        <f t="shared" si="8"/>
        <v>-38374.04</v>
      </c>
      <c r="S52" s="4">
        <f>IF(J52&lt;O52,+Q52,0)</f>
        <v>0</v>
      </c>
      <c r="T52" s="4">
        <f>IF(Summary!$E$5&lt;'Daily Position'!B52,0,ROUND(+U52*H52,2)-I52)</f>
        <v>-38374.04</v>
      </c>
      <c r="U52" s="69">
        <f>+U11</f>
        <v>7.75</v>
      </c>
      <c r="V52" s="2"/>
      <c r="W52" s="144">
        <f>+N52*(H52+H53-L52-L53)-'MRP Raptor'!U41</f>
        <v>0</v>
      </c>
      <c r="X52" s="217"/>
    </row>
    <row r="53" spans="1:24" x14ac:dyDescent="0.25">
      <c r="A53" t="str">
        <f>+A12</f>
        <v>DevX Energy Pref</v>
      </c>
      <c r="B53" s="272">
        <v>36741</v>
      </c>
      <c r="C53" s="272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4">
        <f>+J12</f>
        <v>36874</v>
      </c>
      <c r="K53" s="2">
        <f>+K12</f>
        <v>7</v>
      </c>
      <c r="L53" s="3">
        <f>ROUND(+L12/0.6*0.3612,4)</f>
        <v>76755</v>
      </c>
      <c r="M53" s="4">
        <f>ROUND(+K53*L53,2)</f>
        <v>537285</v>
      </c>
      <c r="N53" s="69">
        <f>+N12</f>
        <v>7.75</v>
      </c>
      <c r="O53" s="264">
        <f>+Summary!$C$5</f>
        <v>36887</v>
      </c>
      <c r="P53" s="4">
        <f>IF(O53&lt;B53,0,ROUND((+N53*(H53-L53)),2)-ROUND(((H53-L53)*G53),2))</f>
        <v>0</v>
      </c>
      <c r="Q53" s="4">
        <f>IF(J53&lt;(O53+1),(+K53-G53)*L53,0)</f>
        <v>225208.20000000004</v>
      </c>
      <c r="R53" s="5">
        <f>+P53+Q53</f>
        <v>225208.20000000004</v>
      </c>
      <c r="S53" s="4">
        <f>IF(J53&lt;O53,+Q53,0)</f>
        <v>225208.20000000004</v>
      </c>
      <c r="T53" s="4">
        <f>IF(Summary!$E$5&lt;'Daily Position'!B53,0,ROUND(+U53*H53,2)-I53)</f>
        <v>282774.45</v>
      </c>
      <c r="U53" s="69">
        <f>+U12</f>
        <v>7.75</v>
      </c>
      <c r="V53" s="2"/>
      <c r="W53" s="144"/>
      <c r="X53" s="217"/>
    </row>
    <row r="54" spans="1:24" x14ac:dyDescent="0.25">
      <c r="A54" t="s">
        <v>171</v>
      </c>
      <c r="B54" s="272">
        <v>36741</v>
      </c>
      <c r="C54" s="272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4">
        <f>+J13</f>
        <v>36868</v>
      </c>
      <c r="K54" s="2">
        <f>+K13</f>
        <v>6.72</v>
      </c>
      <c r="L54" s="3">
        <f>ROUND(+L13/0.6*0.3612,3)</f>
        <v>484154.28600000002</v>
      </c>
      <c r="M54" s="4">
        <f>ROUND(+K54*L54,2)</f>
        <v>3253516.8</v>
      </c>
      <c r="N54" s="69">
        <f>+N13</f>
        <v>8.4375</v>
      </c>
      <c r="O54" s="264">
        <f>+Summary!$C$5</f>
        <v>36887</v>
      </c>
      <c r="P54" s="4">
        <f>IF(O54&lt;B54,0,ROUND((+N54*(H54-L54)),2)-ROUND(((H54-L54)*G54),2))</f>
        <v>0</v>
      </c>
      <c r="Q54" s="4">
        <f>IF(J54&lt;(O54+1),(+K54-G54)*L54,0)</f>
        <v>-438159.62883000012</v>
      </c>
      <c r="R54" s="5">
        <f t="shared" si="8"/>
        <v>-438159.62883000012</v>
      </c>
      <c r="S54" s="4">
        <f>IF(J54&lt;O54,+Q54,0)</f>
        <v>-438159.62883000012</v>
      </c>
      <c r="T54" s="4">
        <f>IF(Summary!$E$5&lt;'Daily Position'!B54,0,ROUND(+U54*H54,2)-I54)</f>
        <v>363115.71999999974</v>
      </c>
      <c r="U54" s="69">
        <f>+U13</f>
        <v>8.375</v>
      </c>
      <c r="V54" s="2"/>
      <c r="W54" s="144">
        <f>+N54*(H54-L54)-'MRP Raptor'!U42</f>
        <v>0</v>
      </c>
      <c r="X54" s="217"/>
    </row>
    <row r="55" spans="1:24" x14ac:dyDescent="0.25">
      <c r="A55" s="141" t="s">
        <v>238</v>
      </c>
      <c r="B55" s="272">
        <v>36741</v>
      </c>
      <c r="C55" s="272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2747287.2</v>
      </c>
      <c r="O55" s="264">
        <f>+Summary!$C$5</f>
        <v>36887</v>
      </c>
      <c r="P55" s="4">
        <f>IF(O55&lt;B55,0,(+N55-I55-Q55))</f>
        <v>0</v>
      </c>
      <c r="Q55" s="4">
        <v>0</v>
      </c>
      <c r="R55" s="5">
        <f t="shared" si="8"/>
        <v>0</v>
      </c>
      <c r="S55" s="4">
        <v>0</v>
      </c>
      <c r="T55" s="4">
        <f>+U55-I55</f>
        <v>0</v>
      </c>
      <c r="U55" s="4">
        <f>ROUND(+U17/0.6*0.3612,2)</f>
        <v>2747287.2</v>
      </c>
      <c r="V55" s="236"/>
      <c r="W55" s="144">
        <f>+N55-'MRP Raptor'!U39+'Private Cash'!C375/0.6*0.3612</f>
        <v>0.22611999994842336</v>
      </c>
    </row>
    <row r="56" spans="1:24" x14ac:dyDescent="0.25">
      <c r="A56" s="141" t="s">
        <v>244</v>
      </c>
      <c r="B56" s="272">
        <v>36741</v>
      </c>
      <c r="C56" s="272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283415.58</v>
      </c>
      <c r="O56" s="264">
        <f>+Summary!$C$5</f>
        <v>36887</v>
      </c>
      <c r="P56" s="4">
        <f>IF(O56&lt;B56,0,(+N56-I56-Q56))</f>
        <v>0</v>
      </c>
      <c r="Q56" s="4">
        <v>0</v>
      </c>
      <c r="R56" s="5">
        <f t="shared" si="8"/>
        <v>0</v>
      </c>
      <c r="S56" s="4">
        <v>0</v>
      </c>
      <c r="T56" s="4">
        <f>+U56-I56</f>
        <v>0</v>
      </c>
      <c r="U56" s="4">
        <f>ROUND(+U30/0.6*0.3612,2)</f>
        <v>283415.58</v>
      </c>
      <c r="V56" s="236"/>
      <c r="W56" s="144">
        <f>+N56-'MRP Raptor'!U44+'Private Cash'!P375/0.6*0.3612</f>
        <v>-0.41999999998370185</v>
      </c>
    </row>
    <row r="57" spans="1:24" x14ac:dyDescent="0.25">
      <c r="A57" s="141"/>
      <c r="N57" s="4"/>
      <c r="P57" s="4"/>
      <c r="Q57" s="4"/>
      <c r="R57" s="5"/>
      <c r="T57" s="4"/>
      <c r="U57" s="4"/>
      <c r="V57" s="236"/>
      <c r="W57" s="144"/>
    </row>
    <row r="59" spans="1:24" ht="16.5" thickBot="1" x14ac:dyDescent="0.3">
      <c r="B59" s="273" t="s">
        <v>19</v>
      </c>
      <c r="E59" s="78">
        <f>SUM(E4:E58)</f>
        <v>36066314</v>
      </c>
      <c r="I59" s="243">
        <f>SUM(I3:I58)</f>
        <v>734066729.07000005</v>
      </c>
      <c r="J59" s="71"/>
      <c r="K59" s="71"/>
      <c r="L59" s="71"/>
      <c r="M59" s="71"/>
      <c r="P59" s="78">
        <f>SUM(P3:P58)</f>
        <v>-299392194.70353788</v>
      </c>
      <c r="Q59" s="78">
        <f>SUM(Q3:Q58)</f>
        <v>-267573.34567883867</v>
      </c>
      <c r="R59" s="78">
        <f>SUM(R3:R58)</f>
        <v>-299659768.04921681</v>
      </c>
      <c r="S59" s="243">
        <f>SUM(S3:S58)</f>
        <v>-267573.34567883867</v>
      </c>
      <c r="T59" s="78">
        <f>SUM(T3:T58)</f>
        <v>-298176526.92353779</v>
      </c>
      <c r="U59" s="219"/>
      <c r="V59" s="219"/>
      <c r="W59" s="78">
        <f>SUM(W3:W58)</f>
        <v>-0.19387999922037125</v>
      </c>
    </row>
    <row r="60" spans="1:24" ht="16.5" thickTop="1" x14ac:dyDescent="0.25"/>
    <row r="61" spans="1:24" x14ac:dyDescent="0.25">
      <c r="G61" s="2" t="s">
        <v>571</v>
      </c>
      <c r="W61" s="5"/>
    </row>
    <row r="62" spans="1:24" x14ac:dyDescent="0.25">
      <c r="G62" s="2" t="s">
        <v>350</v>
      </c>
      <c r="I62" s="4">
        <f>+L10*G10+L12*G12+L13*G13+L51*G51+L53*G53+L54*G54</f>
        <v>12637306.712250002</v>
      </c>
      <c r="W62" s="5"/>
    </row>
    <row r="63" spans="1:24" x14ac:dyDescent="0.25">
      <c r="G63" s="2" t="s">
        <v>341</v>
      </c>
      <c r="I63" s="4">
        <f>+I20</f>
        <v>12500000</v>
      </c>
      <c r="W63" s="5"/>
    </row>
    <row r="64" spans="1:24" x14ac:dyDescent="0.25">
      <c r="W64" s="224"/>
    </row>
    <row r="65" spans="7:23" x14ac:dyDescent="0.25">
      <c r="G65" s="2" t="s">
        <v>573</v>
      </c>
      <c r="I65" s="4">
        <f>+I59-I62-I63</f>
        <v>708929422.35775006</v>
      </c>
      <c r="W65" s="231"/>
    </row>
  </sheetData>
  <mergeCells count="3">
    <mergeCell ref="S1:T1"/>
    <mergeCell ref="H1:I1"/>
    <mergeCell ref="J1:M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18"/>
  <sheetViews>
    <sheetView workbookViewId="0">
      <pane ySplit="4" topLeftCell="A105" activePane="bottomLeft" state="frozen"/>
      <selection pane="bottomLeft" activeCell="B110" sqref="B110"/>
    </sheetView>
  </sheetViews>
  <sheetFormatPr defaultRowHeight="15.75" x14ac:dyDescent="0.25"/>
  <cols>
    <col min="1" max="1" width="10" style="1" bestFit="1" customWidth="1"/>
    <col min="2" max="2" width="9.75" style="128" bestFit="1" customWidth="1"/>
    <col min="3" max="3" width="9.875" style="264" bestFit="1" customWidth="1"/>
    <col min="4" max="4" width="9.125" style="133" bestFit="1" customWidth="1"/>
    <col min="5" max="5" width="9.875" style="264" bestFit="1" customWidth="1"/>
    <col min="6" max="6" width="9.75" style="128" bestFit="1" customWidth="1"/>
    <col min="7" max="7" width="9.875" style="264" bestFit="1" customWidth="1"/>
    <col min="8" max="8" width="9.125" style="128" bestFit="1" customWidth="1"/>
    <col min="9" max="9" width="9.875" style="264" bestFit="1" customWidth="1"/>
    <col min="10" max="10" width="11.25" style="128" customWidth="1"/>
    <col min="11" max="11" width="9.875" style="264" bestFit="1" customWidth="1"/>
    <col min="12" max="12" width="10.375" style="131" bestFit="1" customWidth="1"/>
    <col min="13" max="13" width="9.875" style="264" bestFit="1" customWidth="1"/>
    <col min="14" max="14" width="9.125" style="128" bestFit="1" customWidth="1"/>
    <col min="15" max="15" width="9.875" style="264" bestFit="1" customWidth="1"/>
    <col min="16" max="16" width="9.125" style="128" bestFit="1" customWidth="1"/>
    <col min="17" max="17" width="9.875" style="264" bestFit="1" customWidth="1"/>
    <col min="18" max="18" width="9.125" style="128" bestFit="1" customWidth="1"/>
    <col min="19" max="19" width="9.875" style="268" bestFit="1" customWidth="1"/>
    <col min="20" max="20" width="9.75" style="128" bestFit="1" customWidth="1"/>
    <col min="21" max="21" width="10" style="264" customWidth="1"/>
    <col min="22" max="22" width="11.375" style="129" bestFit="1" customWidth="1"/>
    <col min="23" max="23" width="9.875" style="264" bestFit="1" customWidth="1"/>
    <col min="24" max="24" width="9.125" style="128" bestFit="1" customWidth="1"/>
    <col min="25" max="25" width="9.875" style="264" bestFit="1" customWidth="1"/>
    <col min="26" max="26" width="9.125" style="128" bestFit="1" customWidth="1"/>
    <col min="27" max="28" width="9.125" style="128" customWidth="1"/>
    <col min="30" max="30" width="9.125" style="264" bestFit="1" customWidth="1"/>
    <col min="31" max="31" width="10.125" bestFit="1" customWidth="1"/>
    <col min="32" max="32" width="9.125" style="264" bestFit="1" customWidth="1"/>
    <col min="33" max="33" width="10.75" bestFit="1" customWidth="1"/>
    <col min="34" max="34" width="9.125" style="264" bestFit="1" customWidth="1"/>
    <col min="35" max="35" width="10.625" customWidth="1"/>
  </cols>
  <sheetData>
    <row r="1" spans="1:38" x14ac:dyDescent="0.25">
      <c r="A1" s="265" t="s">
        <v>161</v>
      </c>
      <c r="B1" s="124"/>
      <c r="E1" s="268"/>
      <c r="F1" s="127"/>
    </row>
    <row r="2" spans="1:38" x14ac:dyDescent="0.25">
      <c r="B2" s="125"/>
      <c r="E2" s="268"/>
      <c r="F2" s="127"/>
    </row>
    <row r="3" spans="1:38" x14ac:dyDescent="0.25">
      <c r="A3" s="289" t="s">
        <v>4</v>
      </c>
      <c r="B3" s="290"/>
      <c r="C3" s="291" t="s">
        <v>183</v>
      </c>
      <c r="D3" s="292"/>
      <c r="E3" s="289" t="s">
        <v>13</v>
      </c>
      <c r="F3" s="290"/>
      <c r="G3" s="289" t="s">
        <v>166</v>
      </c>
      <c r="H3" s="290"/>
      <c r="I3" s="289" t="s">
        <v>482</v>
      </c>
      <c r="J3" s="290"/>
      <c r="K3" s="287" t="s">
        <v>257</v>
      </c>
      <c r="L3" s="288"/>
      <c r="M3" s="289" t="s">
        <v>167</v>
      </c>
      <c r="N3" s="290"/>
      <c r="O3" s="289" t="s">
        <v>168</v>
      </c>
      <c r="P3" s="290"/>
      <c r="Q3" s="289" t="s">
        <v>169</v>
      </c>
      <c r="R3" s="290"/>
      <c r="S3" s="289" t="s">
        <v>515</v>
      </c>
      <c r="T3" s="290"/>
      <c r="U3" s="293" t="s">
        <v>260</v>
      </c>
      <c r="V3" s="294"/>
      <c r="W3" s="289" t="s">
        <v>170</v>
      </c>
      <c r="X3" s="290"/>
      <c r="Y3" s="289" t="s">
        <v>171</v>
      </c>
      <c r="Z3" s="290"/>
      <c r="AA3" s="289" t="s">
        <v>186</v>
      </c>
      <c r="AB3" s="290"/>
      <c r="AD3" s="287" t="s">
        <v>258</v>
      </c>
      <c r="AE3" s="288"/>
      <c r="AF3" s="293" t="s">
        <v>259</v>
      </c>
      <c r="AG3" s="294"/>
      <c r="AH3" s="289" t="s">
        <v>484</v>
      </c>
      <c r="AI3" s="290"/>
    </row>
    <row r="4" spans="1:38" x14ac:dyDescent="0.25">
      <c r="A4" s="266" t="s">
        <v>1</v>
      </c>
      <c r="B4" s="126" t="s">
        <v>12</v>
      </c>
      <c r="C4" s="267" t="s">
        <v>1</v>
      </c>
      <c r="D4" s="134" t="s">
        <v>173</v>
      </c>
      <c r="E4" s="267" t="s">
        <v>1</v>
      </c>
      <c r="F4" s="126" t="s">
        <v>14</v>
      </c>
      <c r="G4" s="267" t="s">
        <v>1</v>
      </c>
      <c r="H4" s="126" t="s">
        <v>174</v>
      </c>
      <c r="I4" s="267" t="s">
        <v>1</v>
      </c>
      <c r="J4" s="126" t="s">
        <v>483</v>
      </c>
      <c r="K4" s="267" t="s">
        <v>1</v>
      </c>
      <c r="L4" s="132" t="s">
        <v>256</v>
      </c>
      <c r="M4" s="267" t="s">
        <v>1</v>
      </c>
      <c r="N4" s="126" t="s">
        <v>176</v>
      </c>
      <c r="O4" s="267" t="s">
        <v>1</v>
      </c>
      <c r="P4" s="126" t="s">
        <v>177</v>
      </c>
      <c r="Q4" s="267" t="s">
        <v>1</v>
      </c>
      <c r="R4" s="126" t="s">
        <v>178</v>
      </c>
      <c r="S4" s="267" t="s">
        <v>1</v>
      </c>
      <c r="T4" s="126" t="s">
        <v>516</v>
      </c>
      <c r="U4" s="267" t="s">
        <v>1</v>
      </c>
      <c r="V4" s="130" t="s">
        <v>179</v>
      </c>
      <c r="W4" s="267" t="s">
        <v>1</v>
      </c>
      <c r="X4" s="126" t="s">
        <v>181</v>
      </c>
      <c r="Y4" s="267" t="s">
        <v>1</v>
      </c>
      <c r="Z4" s="126" t="s">
        <v>172</v>
      </c>
      <c r="AA4" s="267" t="s">
        <v>1</v>
      </c>
      <c r="AB4" s="126" t="s">
        <v>577</v>
      </c>
      <c r="AD4" s="267" t="s">
        <v>1</v>
      </c>
      <c r="AE4" s="132" t="s">
        <v>175</v>
      </c>
      <c r="AF4" s="267" t="s">
        <v>1</v>
      </c>
      <c r="AG4" s="130" t="s">
        <v>179</v>
      </c>
      <c r="AH4" s="267" t="s">
        <v>1</v>
      </c>
      <c r="AI4" s="126" t="s">
        <v>483</v>
      </c>
    </row>
    <row r="5" spans="1:38" x14ac:dyDescent="0.25">
      <c r="A5" s="1">
        <v>36739</v>
      </c>
      <c r="B5" s="125">
        <v>76</v>
      </c>
      <c r="C5" s="264">
        <v>36739</v>
      </c>
      <c r="D5" s="133">
        <v>1.4882</v>
      </c>
      <c r="E5" s="264">
        <v>36739</v>
      </c>
      <c r="F5" s="127">
        <v>107.5</v>
      </c>
      <c r="G5" s="264">
        <v>36739</v>
      </c>
      <c r="H5" s="128">
        <v>51.766671915874781</v>
      </c>
      <c r="I5" s="264">
        <v>36739</v>
      </c>
      <c r="J5" s="128">
        <v>1.7470770057787932</v>
      </c>
      <c r="K5" s="264">
        <v>36739</v>
      </c>
      <c r="L5" s="128">
        <v>0.83994086816288138</v>
      </c>
      <c r="M5" s="264">
        <v>36739</v>
      </c>
      <c r="N5" s="128">
        <v>9.4E-2</v>
      </c>
      <c r="O5" s="264">
        <v>36739</v>
      </c>
      <c r="P5" s="128">
        <v>3.3478813829999998</v>
      </c>
      <c r="Q5" s="264">
        <v>36739</v>
      </c>
      <c r="R5" s="128">
        <v>1.091023692</v>
      </c>
      <c r="S5" s="264">
        <v>36739</v>
      </c>
      <c r="T5" s="128">
        <v>1.091023692</v>
      </c>
      <c r="U5" s="264">
        <v>36739</v>
      </c>
      <c r="V5" s="128">
        <v>2.0494557183174305</v>
      </c>
      <c r="W5" s="264">
        <v>36739</v>
      </c>
      <c r="X5" s="128">
        <v>6</v>
      </c>
      <c r="Y5" s="264">
        <v>36739</v>
      </c>
      <c r="Z5" s="128">
        <v>7.125</v>
      </c>
      <c r="AD5" s="264">
        <v>36739</v>
      </c>
      <c r="AE5" s="131">
        <v>1.25</v>
      </c>
      <c r="AF5" s="264">
        <v>36739</v>
      </c>
      <c r="AG5" s="129">
        <v>3.05</v>
      </c>
      <c r="AH5" s="264">
        <v>36739</v>
      </c>
      <c r="AI5" s="129">
        <v>2.6</v>
      </c>
      <c r="AJ5" s="143"/>
      <c r="AK5" s="143"/>
      <c r="AL5" s="145"/>
    </row>
    <row r="6" spans="1:38" x14ac:dyDescent="0.25">
      <c r="A6" s="1">
        <v>36740</v>
      </c>
      <c r="B6" s="125">
        <v>77.625</v>
      </c>
      <c r="C6" s="264">
        <v>36740</v>
      </c>
      <c r="D6" s="133">
        <v>1.4810000000000001</v>
      </c>
      <c r="E6" s="264">
        <v>36740</v>
      </c>
      <c r="F6" s="127">
        <v>132</v>
      </c>
      <c r="G6" s="264">
        <v>36740</v>
      </c>
      <c r="H6" s="128">
        <v>51.766671915874781</v>
      </c>
      <c r="I6" s="264">
        <v>36740</v>
      </c>
      <c r="J6" s="128">
        <v>1.7555705604321403</v>
      </c>
      <c r="K6" s="264">
        <v>36740</v>
      </c>
      <c r="L6" s="128">
        <v>0.91154625253207289</v>
      </c>
      <c r="M6" s="264">
        <v>36740</v>
      </c>
      <c r="N6" s="128">
        <v>7.8E-2</v>
      </c>
      <c r="O6" s="264">
        <v>36740</v>
      </c>
      <c r="P6" s="128">
        <v>3.3473850440000001</v>
      </c>
      <c r="Q6" s="264">
        <v>36740</v>
      </c>
      <c r="R6" s="128">
        <v>1.195439165</v>
      </c>
      <c r="S6" s="264">
        <v>36740</v>
      </c>
      <c r="T6" s="128">
        <v>1.195439165</v>
      </c>
      <c r="U6" s="264">
        <v>36740</v>
      </c>
      <c r="V6" s="128">
        <v>2.0594193112761645</v>
      </c>
      <c r="W6" s="264">
        <v>36740</v>
      </c>
      <c r="X6" s="128">
        <v>6</v>
      </c>
      <c r="Y6" s="264">
        <v>36740</v>
      </c>
      <c r="Z6" s="128">
        <v>7.3129999999999997</v>
      </c>
      <c r="AD6" s="264">
        <v>36740</v>
      </c>
      <c r="AE6" s="131">
        <v>1.35</v>
      </c>
      <c r="AF6" s="264">
        <v>36740</v>
      </c>
      <c r="AG6" s="129">
        <v>3.05</v>
      </c>
      <c r="AH6" s="264">
        <v>36740</v>
      </c>
      <c r="AI6" s="129">
        <v>2.6</v>
      </c>
      <c r="AJ6" s="143"/>
      <c r="AK6" s="143"/>
      <c r="AL6" s="145"/>
    </row>
    <row r="7" spans="1:38" x14ac:dyDescent="0.25">
      <c r="A7" s="1">
        <v>36741</v>
      </c>
      <c r="B7" s="125">
        <v>78.016000000000005</v>
      </c>
      <c r="C7" s="264">
        <v>36741</v>
      </c>
      <c r="D7" s="133">
        <v>1.4845999999999999</v>
      </c>
      <c r="E7" s="264">
        <v>36741</v>
      </c>
      <c r="F7" s="127">
        <v>163.5</v>
      </c>
      <c r="G7" s="264">
        <v>36741</v>
      </c>
      <c r="H7" s="128">
        <v>51.766671915874781</v>
      </c>
      <c r="I7" s="264">
        <v>36741</v>
      </c>
      <c r="J7" s="128">
        <v>1.6839552741479187</v>
      </c>
      <c r="K7" s="264">
        <v>36741</v>
      </c>
      <c r="L7" s="128">
        <v>0.94301495352283438</v>
      </c>
      <c r="M7" s="264">
        <v>36741</v>
      </c>
      <c r="N7" s="128">
        <v>9.4E-2</v>
      </c>
      <c r="O7" s="264">
        <v>36741</v>
      </c>
      <c r="P7" s="128">
        <v>4.1954025149999996</v>
      </c>
      <c r="Q7" s="264">
        <v>36741</v>
      </c>
      <c r="R7" s="128">
        <v>1.178683892</v>
      </c>
      <c r="S7" s="264">
        <v>36741</v>
      </c>
      <c r="T7" s="128">
        <v>1.178683892</v>
      </c>
      <c r="U7" s="264">
        <v>36741</v>
      </c>
      <c r="V7" s="128">
        <v>2.0881045399434193</v>
      </c>
      <c r="W7" s="264">
        <v>36741</v>
      </c>
      <c r="X7" s="128">
        <v>5.875</v>
      </c>
      <c r="Y7" s="264">
        <v>36741</v>
      </c>
      <c r="Z7" s="128">
        <v>7.625</v>
      </c>
      <c r="AD7" s="264">
        <v>36741</v>
      </c>
      <c r="AE7" s="131">
        <v>1.4</v>
      </c>
      <c r="AF7" s="264">
        <v>36741</v>
      </c>
      <c r="AG7" s="129">
        <v>3.1</v>
      </c>
      <c r="AH7" s="264">
        <v>36741</v>
      </c>
      <c r="AI7" s="129">
        <v>2.5</v>
      </c>
      <c r="AJ7" s="143"/>
      <c r="AK7" s="143"/>
      <c r="AL7" s="145"/>
    </row>
    <row r="8" spans="1:38" x14ac:dyDescent="0.25">
      <c r="A8" s="1">
        <v>36742</v>
      </c>
      <c r="B8" s="125">
        <v>78</v>
      </c>
      <c r="C8" s="264">
        <v>36742</v>
      </c>
      <c r="D8" s="133">
        <v>1.4895</v>
      </c>
      <c r="E8" s="264">
        <v>36742</v>
      </c>
      <c r="F8" s="127">
        <v>156</v>
      </c>
      <c r="G8" s="264">
        <v>36742</v>
      </c>
      <c r="H8" s="128">
        <v>51.766671915874781</v>
      </c>
      <c r="I8" s="264">
        <v>36742</v>
      </c>
      <c r="J8" s="128">
        <v>1.6784155756965424</v>
      </c>
      <c r="K8" s="264">
        <v>36742</v>
      </c>
      <c r="L8" s="128">
        <v>0.92648539778449135</v>
      </c>
      <c r="M8" s="264">
        <v>36742</v>
      </c>
      <c r="N8" s="128">
        <v>6.3E-2</v>
      </c>
      <c r="O8" s="264">
        <v>36742</v>
      </c>
      <c r="P8" s="128">
        <v>4.2172622339999997</v>
      </c>
      <c r="Q8" s="264">
        <v>36742</v>
      </c>
      <c r="R8" s="128">
        <v>1.1355365209999999</v>
      </c>
      <c r="S8" s="264">
        <v>36742</v>
      </c>
      <c r="T8" s="128">
        <v>1.1355365209999999</v>
      </c>
      <c r="U8" s="264">
        <v>36742</v>
      </c>
      <c r="V8" s="128">
        <v>2.0140986908358509</v>
      </c>
      <c r="W8" s="264">
        <v>36742</v>
      </c>
      <c r="X8" s="128">
        <v>5.625</v>
      </c>
      <c r="Y8" s="264">
        <v>36742</v>
      </c>
      <c r="Z8" s="128">
        <v>7.5</v>
      </c>
      <c r="AD8" s="264">
        <v>36742</v>
      </c>
      <c r="AE8" s="131">
        <v>1.38</v>
      </c>
      <c r="AF8" s="264">
        <v>36742</v>
      </c>
      <c r="AG8" s="129">
        <v>3</v>
      </c>
      <c r="AH8" s="264">
        <v>36742</v>
      </c>
      <c r="AI8" s="129">
        <v>2.5</v>
      </c>
      <c r="AJ8" s="143"/>
      <c r="AK8" s="143"/>
      <c r="AL8" s="145"/>
    </row>
    <row r="9" spans="1:38" x14ac:dyDescent="0.25">
      <c r="A9" s="1">
        <v>36745</v>
      </c>
      <c r="B9" s="125">
        <v>80.266000000000005</v>
      </c>
      <c r="C9" s="264">
        <v>36745</v>
      </c>
      <c r="D9" s="133">
        <v>1.4870000000000001</v>
      </c>
      <c r="E9" s="264">
        <v>36745</v>
      </c>
      <c r="F9" s="127">
        <v>140.625</v>
      </c>
      <c r="G9" s="264">
        <v>36745</v>
      </c>
      <c r="H9" s="128">
        <v>51.766671915874781</v>
      </c>
      <c r="I9" s="264">
        <v>36745</v>
      </c>
      <c r="J9" s="128">
        <v>1.6812373907195695</v>
      </c>
      <c r="K9" s="264">
        <v>36745</v>
      </c>
      <c r="L9" s="128">
        <v>0.92804303967720225</v>
      </c>
      <c r="M9" s="264">
        <v>36745</v>
      </c>
      <c r="N9" s="128">
        <v>6.3E-2</v>
      </c>
      <c r="O9" s="264">
        <v>36745</v>
      </c>
      <c r="P9" s="128">
        <v>4.4795166740000001</v>
      </c>
      <c r="Q9" s="264">
        <v>36745</v>
      </c>
      <c r="R9" s="128">
        <v>1.0992201509999999</v>
      </c>
      <c r="S9" s="264">
        <v>36745</v>
      </c>
      <c r="T9" s="128">
        <v>1.0992201509999999</v>
      </c>
      <c r="U9" s="264">
        <v>36745</v>
      </c>
      <c r="V9" s="128">
        <v>2.0174848688634834</v>
      </c>
      <c r="W9" s="264">
        <v>36745</v>
      </c>
      <c r="X9" s="128">
        <v>5.75</v>
      </c>
      <c r="Y9" s="264">
        <v>36745</v>
      </c>
      <c r="Z9" s="128">
        <v>7.75</v>
      </c>
      <c r="AD9" s="264">
        <v>36745</v>
      </c>
      <c r="AE9" s="131">
        <v>1.38</v>
      </c>
      <c r="AF9" s="264">
        <v>36745</v>
      </c>
      <c r="AG9" s="129">
        <v>3</v>
      </c>
      <c r="AH9" s="264">
        <v>36745</v>
      </c>
      <c r="AI9" s="129">
        <v>2.5</v>
      </c>
      <c r="AJ9" s="143"/>
      <c r="AK9" s="143"/>
      <c r="AL9" s="145"/>
    </row>
    <row r="10" spans="1:38" x14ac:dyDescent="0.25">
      <c r="A10" s="1">
        <v>36746</v>
      </c>
      <c r="B10" s="125">
        <v>82.438000000000002</v>
      </c>
      <c r="C10" s="264">
        <v>36746</v>
      </c>
      <c r="D10" s="133">
        <v>1.4875</v>
      </c>
      <c r="E10" s="264">
        <v>36746</v>
      </c>
      <c r="F10" s="127">
        <v>125.672</v>
      </c>
      <c r="G10" s="264">
        <v>36746</v>
      </c>
      <c r="H10" s="128">
        <v>52.75</v>
      </c>
      <c r="I10" s="264">
        <v>36746</v>
      </c>
      <c r="J10" s="128">
        <v>1.680672268907563</v>
      </c>
      <c r="K10" s="264">
        <v>36746</v>
      </c>
      <c r="L10" s="128">
        <v>0.99495798319327722</v>
      </c>
      <c r="M10" s="264">
        <v>36746</v>
      </c>
      <c r="N10" s="128">
        <v>7.8E-2</v>
      </c>
      <c r="O10" s="264">
        <v>36746</v>
      </c>
      <c r="P10" s="128">
        <v>5.058480426</v>
      </c>
      <c r="Q10" s="264">
        <v>36746</v>
      </c>
      <c r="R10" s="128">
        <v>1.1132443359999999</v>
      </c>
      <c r="S10" s="264">
        <v>36746</v>
      </c>
      <c r="T10" s="128">
        <v>1.1132443359999999</v>
      </c>
      <c r="U10" s="264">
        <v>36746</v>
      </c>
      <c r="V10" s="128">
        <v>2.0840336134453783</v>
      </c>
      <c r="W10" s="264">
        <v>36746</v>
      </c>
      <c r="X10" s="128">
        <v>5.75</v>
      </c>
      <c r="Y10" s="264">
        <v>36746</v>
      </c>
      <c r="Z10" s="128">
        <v>7.6879999999999997</v>
      </c>
      <c r="AD10" s="264">
        <v>36746</v>
      </c>
      <c r="AE10" s="131">
        <v>1.48</v>
      </c>
      <c r="AF10" s="264">
        <v>36746</v>
      </c>
      <c r="AG10" s="129">
        <v>3.1</v>
      </c>
      <c r="AH10" s="264">
        <v>36746</v>
      </c>
      <c r="AI10" s="129">
        <v>2.5</v>
      </c>
      <c r="AJ10" s="143"/>
      <c r="AK10" s="143"/>
      <c r="AL10" s="145"/>
    </row>
    <row r="11" spans="1:38" x14ac:dyDescent="0.25">
      <c r="A11" s="1">
        <v>36747</v>
      </c>
      <c r="B11" s="125">
        <v>82.296999999999997</v>
      </c>
      <c r="C11" s="264">
        <v>36747</v>
      </c>
      <c r="D11" s="133">
        <v>1.4827999999999999</v>
      </c>
      <c r="E11" s="264">
        <v>36747</v>
      </c>
      <c r="F11" s="127">
        <v>138.375</v>
      </c>
      <c r="G11" s="264">
        <v>36747</v>
      </c>
      <c r="H11" s="128">
        <v>52</v>
      </c>
      <c r="I11" s="264">
        <v>36747</v>
      </c>
      <c r="J11" s="128">
        <v>1.6185594820609659</v>
      </c>
      <c r="K11" s="264">
        <v>36747</v>
      </c>
      <c r="L11" s="128">
        <v>0.94415969786889664</v>
      </c>
      <c r="M11" s="264">
        <v>36747</v>
      </c>
      <c r="N11" s="128">
        <v>6.3E-2</v>
      </c>
      <c r="O11" s="264">
        <v>36747</v>
      </c>
      <c r="P11" s="128">
        <v>4.9983845010000003</v>
      </c>
      <c r="Q11" s="264">
        <v>36747</v>
      </c>
      <c r="R11" s="128">
        <v>1.256169847</v>
      </c>
      <c r="S11" s="264">
        <v>36747</v>
      </c>
      <c r="T11" s="128">
        <v>1.256169847</v>
      </c>
      <c r="U11" s="264">
        <v>36747</v>
      </c>
      <c r="V11" s="128">
        <v>2.0906393309954141</v>
      </c>
      <c r="W11" s="264">
        <v>36747</v>
      </c>
      <c r="X11" s="128">
        <v>6.0625</v>
      </c>
      <c r="Y11" s="264">
        <v>36747</v>
      </c>
      <c r="Z11" s="128">
        <v>7.75</v>
      </c>
      <c r="AD11" s="264">
        <v>36747</v>
      </c>
      <c r="AE11" s="131">
        <v>1.4</v>
      </c>
      <c r="AF11" s="264">
        <v>36747</v>
      </c>
      <c r="AG11" s="129">
        <v>3.1</v>
      </c>
      <c r="AH11" s="264">
        <v>36747</v>
      </c>
      <c r="AI11" s="129">
        <v>2.4</v>
      </c>
      <c r="AJ11" s="143"/>
      <c r="AK11" s="143"/>
      <c r="AL11" s="145"/>
    </row>
    <row r="12" spans="1:38" x14ac:dyDescent="0.25">
      <c r="A12" s="1">
        <v>36748</v>
      </c>
      <c r="B12" s="125">
        <v>80.766000000000005</v>
      </c>
      <c r="C12" s="264">
        <v>36748</v>
      </c>
      <c r="D12" s="133">
        <v>1.4824999999999999</v>
      </c>
      <c r="E12" s="264">
        <v>36748</v>
      </c>
      <c r="F12" s="127">
        <v>132.875</v>
      </c>
      <c r="G12" s="264">
        <v>36748</v>
      </c>
      <c r="H12" s="128">
        <v>42.625</v>
      </c>
      <c r="I12" s="264">
        <v>36748</v>
      </c>
      <c r="J12" s="128">
        <v>1.6863406408094437</v>
      </c>
      <c r="K12" s="264">
        <v>36748</v>
      </c>
      <c r="L12" s="128">
        <v>0.94435075885328834</v>
      </c>
      <c r="M12" s="264">
        <v>36748</v>
      </c>
      <c r="N12" s="128">
        <v>7.8E-2</v>
      </c>
      <c r="O12" s="264">
        <v>36748</v>
      </c>
      <c r="P12" s="128">
        <v>5.0553505640000003</v>
      </c>
      <c r="Q12" s="264">
        <v>36748</v>
      </c>
      <c r="R12" s="128">
        <v>1.2723610510000001</v>
      </c>
      <c r="S12" s="264">
        <v>36748</v>
      </c>
      <c r="T12" s="128">
        <v>1.2723610510000001</v>
      </c>
      <c r="U12" s="264">
        <v>36748</v>
      </c>
      <c r="V12" s="128">
        <v>2.0236087689713322</v>
      </c>
      <c r="W12" s="264">
        <v>36748</v>
      </c>
      <c r="X12" s="128">
        <v>5.75</v>
      </c>
      <c r="Y12" s="264">
        <v>36748</v>
      </c>
      <c r="Z12" s="128">
        <v>7.75</v>
      </c>
      <c r="AD12" s="264">
        <v>36748</v>
      </c>
      <c r="AE12" s="131">
        <v>1.4</v>
      </c>
      <c r="AF12" s="264">
        <v>36748</v>
      </c>
      <c r="AG12" s="129">
        <v>3</v>
      </c>
      <c r="AH12" s="264">
        <v>36748</v>
      </c>
      <c r="AI12" s="129">
        <v>2.5</v>
      </c>
      <c r="AJ12" s="143"/>
      <c r="AK12" s="143"/>
      <c r="AL12" s="145"/>
    </row>
    <row r="13" spans="1:38" x14ac:dyDescent="0.25">
      <c r="A13" s="1">
        <v>36749</v>
      </c>
      <c r="B13" s="125">
        <v>80.25</v>
      </c>
      <c r="C13" s="264">
        <v>36749</v>
      </c>
      <c r="D13" s="133">
        <v>1.4830000000000001</v>
      </c>
      <c r="E13" s="264">
        <v>36749</v>
      </c>
      <c r="F13" s="127">
        <v>130.5</v>
      </c>
      <c r="G13" s="264">
        <v>36749</v>
      </c>
      <c r="H13" s="128">
        <v>44.813000000000002</v>
      </c>
      <c r="I13" s="264">
        <v>36749</v>
      </c>
      <c r="J13" s="128">
        <v>1.6250842886041807</v>
      </c>
      <c r="K13" s="264">
        <v>36749</v>
      </c>
      <c r="L13" s="128">
        <v>0.99123398516520556</v>
      </c>
      <c r="M13" s="264">
        <v>36749</v>
      </c>
      <c r="N13" s="128">
        <v>6.3E-2</v>
      </c>
      <c r="O13" s="264">
        <v>36749</v>
      </c>
      <c r="P13" s="128">
        <v>4.8279226250000002</v>
      </c>
      <c r="Q13" s="264">
        <v>36749</v>
      </c>
      <c r="R13" s="128">
        <v>1.3152734960000001</v>
      </c>
      <c r="S13" s="264">
        <v>36749</v>
      </c>
      <c r="T13" s="128">
        <v>1.3152734960000001</v>
      </c>
      <c r="U13" s="264">
        <v>36749</v>
      </c>
      <c r="V13" s="128">
        <v>2.0161834120026971</v>
      </c>
      <c r="W13" s="264">
        <v>36749</v>
      </c>
      <c r="X13" s="128">
        <v>6</v>
      </c>
      <c r="Y13" s="264">
        <v>36749</v>
      </c>
      <c r="Z13" s="128">
        <v>7.875</v>
      </c>
      <c r="AD13" s="264">
        <v>36749</v>
      </c>
      <c r="AE13" s="131">
        <v>1.47</v>
      </c>
      <c r="AF13" s="264">
        <v>36749</v>
      </c>
      <c r="AG13" s="129">
        <v>2.99</v>
      </c>
      <c r="AH13" s="264">
        <v>36749</v>
      </c>
      <c r="AI13" s="129">
        <v>2.41</v>
      </c>
      <c r="AJ13" s="143"/>
      <c r="AK13" s="143"/>
      <c r="AL13" s="145"/>
    </row>
    <row r="14" spans="1:38" x14ac:dyDescent="0.25">
      <c r="A14" s="1">
        <v>36752</v>
      </c>
      <c r="B14" s="125">
        <v>84.25</v>
      </c>
      <c r="C14" s="264">
        <v>36752</v>
      </c>
      <c r="D14" s="133">
        <v>1.4854000000000001</v>
      </c>
      <c r="E14" s="264">
        <v>36752</v>
      </c>
      <c r="F14" s="127">
        <v>128.25</v>
      </c>
      <c r="G14" s="264">
        <v>36752</v>
      </c>
      <c r="H14" s="128">
        <v>47.75</v>
      </c>
      <c r="I14" s="264">
        <v>36752</v>
      </c>
      <c r="J14" s="128">
        <v>1.5820654369193483</v>
      </c>
      <c r="K14" s="264">
        <v>36752</v>
      </c>
      <c r="L14" s="128">
        <v>0.99636461559175971</v>
      </c>
      <c r="M14" s="264">
        <v>36752</v>
      </c>
      <c r="N14" s="128">
        <v>6.3E-2</v>
      </c>
      <c r="O14" s="264">
        <v>36752</v>
      </c>
      <c r="P14" s="128">
        <v>5.2071843949999996</v>
      </c>
      <c r="Q14" s="264">
        <v>36752</v>
      </c>
      <c r="R14" s="128">
        <v>1.4879492990000001</v>
      </c>
      <c r="S14" s="264">
        <v>36752</v>
      </c>
      <c r="T14" s="128">
        <v>1.4879492990000001</v>
      </c>
      <c r="U14" s="264">
        <v>36752</v>
      </c>
      <c r="V14" s="128">
        <v>2.0196580045778916</v>
      </c>
      <c r="W14" s="264">
        <v>36752</v>
      </c>
      <c r="X14" s="128">
        <v>6</v>
      </c>
      <c r="Y14" s="264">
        <v>36752</v>
      </c>
      <c r="Z14" s="128">
        <v>8.1880000000000006</v>
      </c>
      <c r="AD14" s="264">
        <v>36752</v>
      </c>
      <c r="AE14" s="131">
        <v>1.48</v>
      </c>
      <c r="AF14" s="264">
        <v>36752</v>
      </c>
      <c r="AG14" s="129">
        <v>3</v>
      </c>
      <c r="AH14" s="264">
        <v>36752</v>
      </c>
      <c r="AI14" s="129">
        <v>2.35</v>
      </c>
      <c r="AJ14" s="143"/>
      <c r="AK14" s="143"/>
      <c r="AL14" s="145"/>
    </row>
    <row r="15" spans="1:38" x14ac:dyDescent="0.25">
      <c r="A15" s="1">
        <v>36753</v>
      </c>
      <c r="B15" s="125">
        <v>82.125</v>
      </c>
      <c r="C15" s="264">
        <v>36753</v>
      </c>
      <c r="D15" s="133">
        <v>1.4835</v>
      </c>
      <c r="E15" s="264">
        <v>36753</v>
      </c>
      <c r="F15" s="127">
        <v>128.46899999999999</v>
      </c>
      <c r="G15" s="264">
        <v>36753</v>
      </c>
      <c r="H15" s="128">
        <v>45.75</v>
      </c>
      <c r="I15" s="264">
        <v>36753</v>
      </c>
      <c r="J15" s="128">
        <v>1.6177957532861476</v>
      </c>
      <c r="K15" s="264">
        <v>36753</v>
      </c>
      <c r="L15" s="128">
        <v>1.0785305021907652</v>
      </c>
      <c r="M15" s="264">
        <v>36753</v>
      </c>
      <c r="N15" s="128">
        <v>6.3E-2</v>
      </c>
      <c r="O15" s="264">
        <v>36753</v>
      </c>
      <c r="P15" s="128">
        <v>5.8325034799999997</v>
      </c>
      <c r="Q15" s="264">
        <v>36753</v>
      </c>
      <c r="R15" s="128">
        <v>1.7454882570000001</v>
      </c>
      <c r="S15" s="264">
        <v>36753</v>
      </c>
      <c r="T15" s="128">
        <v>1.7454882570000001</v>
      </c>
      <c r="U15" s="264">
        <v>36753</v>
      </c>
      <c r="V15" s="128">
        <v>2.0963936636332994</v>
      </c>
      <c r="W15" s="264">
        <v>36753</v>
      </c>
      <c r="X15" s="128">
        <v>6.0625</v>
      </c>
      <c r="Y15" s="264">
        <v>36753</v>
      </c>
      <c r="Z15" s="128">
        <v>7.9379999999999997</v>
      </c>
      <c r="AD15" s="264">
        <v>36753</v>
      </c>
      <c r="AE15" s="131">
        <v>1.6</v>
      </c>
      <c r="AF15" s="264">
        <v>36753</v>
      </c>
      <c r="AG15" s="129">
        <v>3.11</v>
      </c>
      <c r="AH15" s="264">
        <v>36753</v>
      </c>
      <c r="AI15" s="129">
        <v>2.4</v>
      </c>
      <c r="AJ15" s="143"/>
      <c r="AK15" s="143"/>
      <c r="AL15" s="145"/>
    </row>
    <row r="16" spans="1:38" x14ac:dyDescent="0.25">
      <c r="A16" s="1">
        <v>36754</v>
      </c>
      <c r="B16" s="128">
        <v>84.016000000000005</v>
      </c>
      <c r="C16" s="264">
        <v>36754</v>
      </c>
      <c r="D16" s="133">
        <v>1.4779</v>
      </c>
      <c r="E16" s="264">
        <v>36754</v>
      </c>
      <c r="F16" s="128">
        <v>137.75</v>
      </c>
      <c r="G16" s="264">
        <v>36754</v>
      </c>
      <c r="H16" s="128">
        <v>46.813000000000002</v>
      </c>
      <c r="I16" s="264">
        <v>36754</v>
      </c>
      <c r="J16" s="128">
        <v>1.6374585560592732</v>
      </c>
      <c r="K16" s="264">
        <v>36754</v>
      </c>
      <c r="L16" s="128">
        <v>1.0149536504499628</v>
      </c>
      <c r="M16" s="264">
        <v>36754</v>
      </c>
      <c r="N16" s="128">
        <v>6.3E-2</v>
      </c>
      <c r="O16" s="264">
        <v>36754</v>
      </c>
      <c r="P16" s="128">
        <v>5.4186674110000004</v>
      </c>
      <c r="Q16" s="264">
        <v>36754</v>
      </c>
      <c r="R16" s="128">
        <v>1.7456441</v>
      </c>
      <c r="S16" s="264">
        <v>36754</v>
      </c>
      <c r="T16" s="128">
        <v>1.7456441</v>
      </c>
      <c r="U16" s="264">
        <v>36754</v>
      </c>
      <c r="V16" s="128">
        <v>2.165234454293254</v>
      </c>
      <c r="W16" s="264">
        <v>36754</v>
      </c>
      <c r="X16" s="128">
        <v>5.8125</v>
      </c>
      <c r="Y16" s="264">
        <v>36754</v>
      </c>
      <c r="Z16" s="128">
        <v>7.75</v>
      </c>
      <c r="AD16" s="264">
        <v>36754</v>
      </c>
      <c r="AE16" s="131">
        <v>1.5</v>
      </c>
      <c r="AF16" s="264">
        <v>36754</v>
      </c>
      <c r="AG16" s="129">
        <v>3.2</v>
      </c>
      <c r="AH16" s="264">
        <v>36754</v>
      </c>
      <c r="AI16" s="129">
        <v>2.42</v>
      </c>
      <c r="AJ16" s="143"/>
      <c r="AK16" s="143"/>
      <c r="AL16" s="145"/>
    </row>
    <row r="17" spans="1:38" x14ac:dyDescent="0.25">
      <c r="A17" s="1">
        <v>36755</v>
      </c>
      <c r="B17" s="128">
        <v>90</v>
      </c>
      <c r="C17" s="264">
        <v>36755</v>
      </c>
      <c r="D17" s="133">
        <v>1.4744999999999999</v>
      </c>
      <c r="E17" s="264">
        <v>36755</v>
      </c>
      <c r="F17" s="128">
        <v>153.93799999999999</v>
      </c>
      <c r="G17" s="264">
        <v>36755</v>
      </c>
      <c r="H17" s="128">
        <v>50.719000000000001</v>
      </c>
      <c r="I17" s="264">
        <v>36755</v>
      </c>
      <c r="J17" s="128">
        <v>1.8379111563241777</v>
      </c>
      <c r="K17" s="264">
        <v>36755</v>
      </c>
      <c r="L17" s="128">
        <v>1.0783316378433367</v>
      </c>
      <c r="M17" s="264">
        <v>36755</v>
      </c>
      <c r="N17" s="128">
        <v>7.8E-2</v>
      </c>
      <c r="O17" s="264">
        <v>36755</v>
      </c>
      <c r="P17" s="128">
        <v>5.714406672</v>
      </c>
      <c r="Q17" s="264">
        <v>36755</v>
      </c>
      <c r="R17" s="128">
        <v>1.743570252</v>
      </c>
      <c r="S17" s="264">
        <v>36755</v>
      </c>
      <c r="T17" s="128">
        <v>1.743570252</v>
      </c>
      <c r="U17" s="264">
        <v>36755</v>
      </c>
      <c r="V17" s="128">
        <v>2.1770091556459819</v>
      </c>
      <c r="W17" s="264">
        <v>36755</v>
      </c>
      <c r="X17" s="128">
        <v>5.75</v>
      </c>
      <c r="Y17" s="264">
        <v>36755</v>
      </c>
      <c r="Z17" s="128">
        <v>7.75</v>
      </c>
      <c r="AD17" s="264">
        <v>36755</v>
      </c>
      <c r="AE17" s="131">
        <v>1.59</v>
      </c>
      <c r="AF17" s="264">
        <v>36755</v>
      </c>
      <c r="AG17" s="129">
        <v>3.21</v>
      </c>
      <c r="AH17" s="264">
        <v>36755</v>
      </c>
      <c r="AI17" s="129">
        <v>2.71</v>
      </c>
      <c r="AJ17" s="143"/>
      <c r="AK17" s="143"/>
      <c r="AL17" s="145"/>
    </row>
    <row r="18" spans="1:38" x14ac:dyDescent="0.25">
      <c r="A18" s="1">
        <v>36756</v>
      </c>
      <c r="B18" s="128">
        <v>86.938000000000002</v>
      </c>
      <c r="C18" s="264">
        <v>36756</v>
      </c>
      <c r="D18" s="133">
        <v>1.476</v>
      </c>
      <c r="E18" s="264">
        <v>36756</v>
      </c>
      <c r="F18" s="128">
        <v>152</v>
      </c>
      <c r="G18" s="264">
        <v>36756</v>
      </c>
      <c r="H18" s="128">
        <v>49.125</v>
      </c>
      <c r="I18" s="264">
        <v>36756</v>
      </c>
      <c r="J18" s="128">
        <v>1.8428184281842821</v>
      </c>
      <c r="K18" s="264">
        <v>36756</v>
      </c>
      <c r="L18" s="128">
        <v>1.0501355013550135</v>
      </c>
      <c r="M18" s="264">
        <v>36756</v>
      </c>
      <c r="N18" s="128">
        <v>7.9000000000000001E-2</v>
      </c>
      <c r="O18" s="264">
        <v>36756</v>
      </c>
      <c r="P18" s="128">
        <v>5.2978747479999999</v>
      </c>
      <c r="Q18" s="264">
        <v>36756</v>
      </c>
      <c r="R18" s="128">
        <v>1.7220509530000001</v>
      </c>
      <c r="S18" s="264">
        <v>36756</v>
      </c>
      <c r="T18" s="128">
        <v>1.7220509530000001</v>
      </c>
      <c r="U18" s="264">
        <v>36756</v>
      </c>
      <c r="V18" s="128">
        <v>2.1680216802168024</v>
      </c>
      <c r="W18" s="264">
        <v>36756</v>
      </c>
      <c r="X18" s="128">
        <v>5.75</v>
      </c>
      <c r="Y18" s="264">
        <v>36756</v>
      </c>
      <c r="Z18" s="128">
        <v>7.75</v>
      </c>
      <c r="AD18" s="264">
        <v>36756</v>
      </c>
      <c r="AE18" s="131">
        <v>1.55</v>
      </c>
      <c r="AF18" s="264">
        <v>36756</v>
      </c>
      <c r="AG18" s="129">
        <v>3.2</v>
      </c>
      <c r="AH18" s="264">
        <v>36756</v>
      </c>
      <c r="AI18" s="129">
        <v>2.72</v>
      </c>
      <c r="AJ18" s="143"/>
      <c r="AK18" s="143"/>
      <c r="AL18" s="145"/>
    </row>
    <row r="19" spans="1:38" x14ac:dyDescent="0.25">
      <c r="A19" s="1">
        <v>36759</v>
      </c>
      <c r="B19" s="128">
        <v>87.875</v>
      </c>
      <c r="C19" s="264">
        <v>36759</v>
      </c>
      <c r="D19" s="133">
        <v>1.4750000000000001</v>
      </c>
      <c r="E19" s="264">
        <v>36759</v>
      </c>
      <c r="F19" s="128">
        <v>142</v>
      </c>
      <c r="G19" s="264">
        <v>36759</v>
      </c>
      <c r="H19" s="128">
        <v>48.25</v>
      </c>
      <c r="I19" s="264">
        <v>36759</v>
      </c>
      <c r="J19" s="128">
        <v>1.8101694915254236</v>
      </c>
      <c r="K19" s="264">
        <v>36759</v>
      </c>
      <c r="L19" s="128">
        <v>1.0237288135593219</v>
      </c>
      <c r="M19" s="264">
        <v>36759</v>
      </c>
      <c r="N19" s="128">
        <v>7.9000000000000001E-2</v>
      </c>
      <c r="O19" s="264">
        <v>36759</v>
      </c>
      <c r="P19" s="128">
        <v>6.0969663010000001</v>
      </c>
      <c r="Q19" s="264">
        <v>36759</v>
      </c>
      <c r="R19" s="128">
        <v>1.8724089479999999</v>
      </c>
      <c r="S19" s="264">
        <v>36759</v>
      </c>
      <c r="T19" s="128">
        <v>1.8724089479999999</v>
      </c>
      <c r="U19" s="264">
        <v>36759</v>
      </c>
      <c r="V19" s="128">
        <v>2.2033898305084745</v>
      </c>
      <c r="W19" s="264">
        <v>36759</v>
      </c>
      <c r="X19" s="128">
        <v>5.5625</v>
      </c>
      <c r="Y19" s="264">
        <v>36759</v>
      </c>
      <c r="Z19" s="128">
        <v>8.1875</v>
      </c>
      <c r="AD19" s="264">
        <v>36759</v>
      </c>
      <c r="AE19" s="131">
        <v>1.51</v>
      </c>
      <c r="AF19" s="264">
        <v>36759</v>
      </c>
      <c r="AG19" s="129">
        <v>3.25</v>
      </c>
      <c r="AH19" s="264">
        <v>36759</v>
      </c>
      <c r="AI19" s="129">
        <v>2.67</v>
      </c>
      <c r="AJ19" s="143"/>
      <c r="AK19" s="143"/>
      <c r="AL19" s="145"/>
    </row>
    <row r="20" spans="1:38" x14ac:dyDescent="0.25">
      <c r="A20" s="1">
        <v>36760</v>
      </c>
      <c r="B20" s="128">
        <v>87.5</v>
      </c>
      <c r="C20" s="264">
        <v>36760</v>
      </c>
      <c r="D20" s="133">
        <v>1.4764999999999999</v>
      </c>
      <c r="E20" s="264">
        <v>36760</v>
      </c>
      <c r="F20" s="128">
        <v>131.25</v>
      </c>
      <c r="G20" s="264">
        <v>36760</v>
      </c>
      <c r="H20" s="128">
        <v>45.125</v>
      </c>
      <c r="I20" s="264">
        <v>36760</v>
      </c>
      <c r="J20" s="128">
        <v>1.8286488316965799</v>
      </c>
      <c r="K20" s="264">
        <v>36760</v>
      </c>
      <c r="L20" s="128">
        <v>1.015916017609211</v>
      </c>
      <c r="M20" s="264">
        <v>36760</v>
      </c>
      <c r="N20" s="128">
        <v>6.3E-2</v>
      </c>
      <c r="O20" s="264">
        <v>36760</v>
      </c>
      <c r="P20" s="128">
        <v>7.9353524090000001</v>
      </c>
      <c r="Q20" s="264">
        <v>36760</v>
      </c>
      <c r="R20" s="128">
        <v>1.7781008840000001</v>
      </c>
      <c r="S20" s="264">
        <v>36760</v>
      </c>
      <c r="T20" s="128">
        <v>1.7781008840000001</v>
      </c>
      <c r="U20" s="264">
        <v>36760</v>
      </c>
      <c r="V20" s="128">
        <v>2.1672875042329838</v>
      </c>
      <c r="W20" s="264">
        <v>36760</v>
      </c>
      <c r="X20" s="128">
        <v>5.5625</v>
      </c>
      <c r="Y20" s="264">
        <v>36760</v>
      </c>
      <c r="Z20" s="128">
        <v>8.375</v>
      </c>
      <c r="AD20" s="264">
        <v>36760</v>
      </c>
      <c r="AE20" s="131">
        <v>1.5</v>
      </c>
      <c r="AF20" s="264">
        <v>36760</v>
      </c>
      <c r="AG20" s="129">
        <v>3.2</v>
      </c>
      <c r="AH20" s="264">
        <v>36760</v>
      </c>
      <c r="AI20" s="129">
        <v>2.7</v>
      </c>
    </row>
    <row r="21" spans="1:38" x14ac:dyDescent="0.25">
      <c r="A21" s="1">
        <v>36761</v>
      </c>
      <c r="B21" s="128">
        <v>90</v>
      </c>
      <c r="C21" s="264">
        <v>36761</v>
      </c>
      <c r="D21" s="133">
        <v>1.4844999999999999</v>
      </c>
      <c r="E21" s="264">
        <v>36761</v>
      </c>
      <c r="F21" s="128">
        <v>137.875</v>
      </c>
      <c r="G21" s="264">
        <v>36761</v>
      </c>
      <c r="H21" s="128">
        <v>49.609000000000002</v>
      </c>
      <c r="I21" s="264">
        <v>36761</v>
      </c>
      <c r="J21" s="128">
        <v>1.852475581003705</v>
      </c>
      <c r="K21" s="264">
        <v>36761</v>
      </c>
      <c r="L21" s="128">
        <v>0.99023240148198044</v>
      </c>
      <c r="M21" s="264">
        <v>36761</v>
      </c>
      <c r="N21" s="128">
        <v>6.3E-2</v>
      </c>
      <c r="O21" s="264">
        <v>36761</v>
      </c>
      <c r="P21" s="128">
        <v>7.564614422</v>
      </c>
      <c r="Q21" s="264">
        <v>36761</v>
      </c>
      <c r="R21" s="128">
        <v>1.8840527970000001</v>
      </c>
      <c r="S21" s="264">
        <v>36761</v>
      </c>
      <c r="T21" s="128">
        <v>1.8840527970000001</v>
      </c>
      <c r="U21" s="264">
        <v>36761</v>
      </c>
      <c r="V21" s="128">
        <v>2.1556079488043114</v>
      </c>
      <c r="W21" s="264">
        <v>36761</v>
      </c>
      <c r="X21" s="128">
        <v>5.9690000000000003</v>
      </c>
      <c r="Y21" s="264">
        <v>36761</v>
      </c>
      <c r="Z21" s="128">
        <v>8.3130000000000006</v>
      </c>
      <c r="AD21" s="264">
        <v>36761</v>
      </c>
      <c r="AE21" s="131">
        <v>1.47</v>
      </c>
      <c r="AF21" s="264">
        <v>36761</v>
      </c>
      <c r="AG21" s="129">
        <v>3.2</v>
      </c>
      <c r="AH21" s="264">
        <v>36761</v>
      </c>
      <c r="AI21" s="129">
        <v>2.75</v>
      </c>
    </row>
    <row r="22" spans="1:38" x14ac:dyDescent="0.25">
      <c r="A22" s="1">
        <v>36762</v>
      </c>
      <c r="B22" s="128">
        <v>86</v>
      </c>
      <c r="C22" s="264">
        <v>36762</v>
      </c>
      <c r="D22" s="133">
        <v>1.4870000000000001</v>
      </c>
      <c r="E22" s="264">
        <v>36762</v>
      </c>
      <c r="F22" s="128">
        <v>131</v>
      </c>
      <c r="G22" s="264">
        <v>36762</v>
      </c>
      <c r="H22" s="128">
        <v>49.625</v>
      </c>
      <c r="I22" s="264">
        <v>36762</v>
      </c>
      <c r="J22" s="128">
        <v>1.7888365837256219</v>
      </c>
      <c r="K22" s="264">
        <v>36762</v>
      </c>
      <c r="L22" s="128">
        <v>1.0087424344317417</v>
      </c>
      <c r="M22" s="264">
        <v>36762</v>
      </c>
      <c r="N22" s="128">
        <v>7.0000000000000007E-2</v>
      </c>
      <c r="O22" s="264">
        <v>36762</v>
      </c>
      <c r="P22" s="128">
        <v>7.3167034531508568</v>
      </c>
      <c r="Q22" s="264">
        <v>36762</v>
      </c>
      <c r="R22" s="128">
        <v>1.9692292968718779</v>
      </c>
      <c r="S22" s="264">
        <v>36762</v>
      </c>
      <c r="T22" s="128">
        <v>1.9692292968718779</v>
      </c>
      <c r="U22" s="264">
        <v>36762</v>
      </c>
      <c r="V22" s="128">
        <v>2.1385339609952925</v>
      </c>
      <c r="W22" s="264">
        <v>36762</v>
      </c>
      <c r="X22" s="128">
        <v>5.96875</v>
      </c>
      <c r="Y22" s="264">
        <v>36762</v>
      </c>
      <c r="Z22" s="128">
        <v>8.3125</v>
      </c>
      <c r="AE22" s="131"/>
      <c r="AG22" s="129"/>
      <c r="AH22" s="264">
        <v>36762</v>
      </c>
      <c r="AI22" s="129">
        <v>2.66</v>
      </c>
    </row>
    <row r="23" spans="1:38" x14ac:dyDescent="0.25">
      <c r="A23" s="1">
        <v>36763</v>
      </c>
      <c r="B23" s="128">
        <v>84.875</v>
      </c>
      <c r="C23" s="264">
        <v>36763</v>
      </c>
      <c r="D23" s="133">
        <v>1.4850000000000001</v>
      </c>
      <c r="E23" s="264">
        <v>36763</v>
      </c>
      <c r="F23" s="128">
        <v>133</v>
      </c>
      <c r="G23" s="264">
        <v>36763</v>
      </c>
      <c r="H23" s="128">
        <v>47.75</v>
      </c>
      <c r="I23" s="264">
        <v>36763</v>
      </c>
      <c r="J23" s="128">
        <v>1.7845117845117844</v>
      </c>
      <c r="K23" s="264">
        <v>36763</v>
      </c>
      <c r="L23" s="128">
        <v>0.98989898989898983</v>
      </c>
      <c r="M23" s="264">
        <v>36763</v>
      </c>
      <c r="N23" s="128">
        <v>0.08</v>
      </c>
      <c r="O23" s="264">
        <v>36763</v>
      </c>
      <c r="P23" s="128">
        <v>7.1953257961566939</v>
      </c>
      <c r="Q23" s="264">
        <v>36763</v>
      </c>
      <c r="R23" s="128">
        <v>2.1106960388386247</v>
      </c>
      <c r="S23" s="264">
        <v>36763</v>
      </c>
      <c r="T23" s="128">
        <v>2.1106960388386247</v>
      </c>
      <c r="U23" s="264">
        <v>36763</v>
      </c>
      <c r="V23" s="128">
        <v>2.1414141414141414</v>
      </c>
      <c r="W23" s="264">
        <v>36763</v>
      </c>
      <c r="X23" s="128">
        <v>5.875</v>
      </c>
      <c r="Y23" s="264">
        <v>36763</v>
      </c>
      <c r="Z23" s="128">
        <v>8.25</v>
      </c>
      <c r="AE23" s="133"/>
      <c r="AH23" s="264">
        <v>36763</v>
      </c>
      <c r="AI23" s="129">
        <v>2.65</v>
      </c>
    </row>
    <row r="24" spans="1:38" x14ac:dyDescent="0.25">
      <c r="A24" s="1">
        <v>36766</v>
      </c>
      <c r="B24" s="128">
        <v>86.625</v>
      </c>
      <c r="C24" s="264">
        <v>36766</v>
      </c>
      <c r="D24" s="133">
        <v>1.482</v>
      </c>
      <c r="E24" s="264">
        <v>36766</v>
      </c>
      <c r="F24" s="128">
        <v>133</v>
      </c>
      <c r="G24" s="264">
        <v>36766</v>
      </c>
      <c r="H24" s="128">
        <v>52.75</v>
      </c>
      <c r="I24" s="264">
        <v>36766</v>
      </c>
      <c r="J24" s="128">
        <v>1.6936572199730093</v>
      </c>
      <c r="K24" s="264">
        <v>36766</v>
      </c>
      <c r="L24" s="128">
        <v>0.9919028340080972</v>
      </c>
      <c r="M24" s="264">
        <v>36766</v>
      </c>
      <c r="N24" s="128">
        <v>7.0000000000000007E-2</v>
      </c>
      <c r="O24" s="264">
        <v>36766</v>
      </c>
      <c r="P24" s="128">
        <v>8.047342388567607</v>
      </c>
      <c r="Q24" s="264">
        <v>36766</v>
      </c>
      <c r="R24" s="128">
        <v>2.4858920891218497</v>
      </c>
      <c r="S24" s="264">
        <v>36766</v>
      </c>
      <c r="T24" s="128">
        <v>2.4858920891218497</v>
      </c>
      <c r="U24" s="264">
        <v>36766</v>
      </c>
      <c r="V24" s="128">
        <v>2.0242914979757085</v>
      </c>
      <c r="W24" s="264">
        <v>36766</v>
      </c>
      <c r="X24" s="128">
        <v>6.25</v>
      </c>
      <c r="Y24" s="264">
        <v>36766</v>
      </c>
      <c r="Z24" s="128">
        <v>8.5</v>
      </c>
      <c r="AE24" s="133"/>
      <c r="AH24" s="264">
        <v>36766</v>
      </c>
      <c r="AI24" s="129">
        <v>2.5099999999999998</v>
      </c>
    </row>
    <row r="25" spans="1:38" x14ac:dyDescent="0.25">
      <c r="A25" s="1">
        <v>36767</v>
      </c>
      <c r="B25" s="128">
        <v>86.25</v>
      </c>
      <c r="C25" s="264">
        <v>36767</v>
      </c>
      <c r="D25" s="133">
        <v>1.4856</v>
      </c>
      <c r="E25" s="264">
        <v>36767</v>
      </c>
      <c r="F25" s="128">
        <v>131</v>
      </c>
      <c r="G25" s="264">
        <v>36767</v>
      </c>
      <c r="H25" s="128">
        <v>61.875</v>
      </c>
      <c r="I25" s="264">
        <v>36767</v>
      </c>
      <c r="J25" s="128">
        <v>1.7703284868066773</v>
      </c>
      <c r="K25" s="264">
        <v>36767</v>
      </c>
      <c r="L25" s="128">
        <v>1.0096930533117932</v>
      </c>
      <c r="M25" s="264">
        <v>36767</v>
      </c>
      <c r="N25" s="128">
        <v>7.0000000000000007E-2</v>
      </c>
      <c r="O25" s="264">
        <v>36767</v>
      </c>
      <c r="P25" s="128">
        <v>8.4774343890087049</v>
      </c>
      <c r="Q25" s="264">
        <v>36767</v>
      </c>
      <c r="R25" s="128">
        <v>2.3334306441688892</v>
      </c>
      <c r="S25" s="264">
        <v>36767</v>
      </c>
      <c r="T25" s="128">
        <v>2.3334306441688892</v>
      </c>
      <c r="U25" s="264">
        <v>36767</v>
      </c>
      <c r="V25" s="128">
        <v>2.0866989768443727</v>
      </c>
      <c r="W25" s="264">
        <v>36767</v>
      </c>
      <c r="X25" s="128">
        <v>6.25</v>
      </c>
      <c r="Y25" s="264">
        <v>36767</v>
      </c>
      <c r="Z25" s="128">
        <v>8.5</v>
      </c>
      <c r="AE25" s="133"/>
      <c r="AH25" s="264">
        <v>36767</v>
      </c>
      <c r="AI25" s="129">
        <v>2.63</v>
      </c>
    </row>
    <row r="26" spans="1:38" x14ac:dyDescent="0.25">
      <c r="A26" s="1">
        <v>36768</v>
      </c>
      <c r="B26" s="128">
        <v>84.875</v>
      </c>
      <c r="C26" s="264">
        <v>36768</v>
      </c>
      <c r="D26" s="133">
        <v>1.4770000000000001</v>
      </c>
      <c r="E26" s="264">
        <v>36768</v>
      </c>
      <c r="F26" s="128">
        <v>134.5</v>
      </c>
      <c r="G26" s="264">
        <v>36768</v>
      </c>
      <c r="H26" s="128">
        <v>59.4375</v>
      </c>
      <c r="I26" s="264">
        <v>36768</v>
      </c>
      <c r="J26" s="128">
        <v>1.6993906567366281</v>
      </c>
      <c r="K26" s="264">
        <v>36768</v>
      </c>
      <c r="L26" s="128">
        <v>1.0494245091401488</v>
      </c>
      <c r="M26" s="264">
        <v>36768</v>
      </c>
      <c r="N26" s="128">
        <v>8.5000000000000006E-2</v>
      </c>
      <c r="O26" s="264">
        <v>36768</v>
      </c>
      <c r="P26" s="128">
        <v>7.9887177404242067</v>
      </c>
      <c r="Q26" s="264">
        <v>36768</v>
      </c>
      <c r="R26" s="128">
        <v>2.5114356133082487</v>
      </c>
      <c r="S26" s="264">
        <v>36768</v>
      </c>
      <c r="T26" s="128">
        <v>2.5114356133082487</v>
      </c>
      <c r="U26" s="264">
        <v>36768</v>
      </c>
      <c r="V26" s="128">
        <v>2.2004062288422475</v>
      </c>
      <c r="W26" s="264">
        <v>36768</v>
      </c>
      <c r="X26" s="128">
        <v>6.125</v>
      </c>
      <c r="Y26" s="264">
        <v>36768</v>
      </c>
      <c r="Z26" s="128">
        <v>8.375</v>
      </c>
      <c r="AE26" s="133"/>
      <c r="AI26" s="128"/>
    </row>
    <row r="27" spans="1:38" x14ac:dyDescent="0.25">
      <c r="A27" s="1">
        <v>36769</v>
      </c>
      <c r="B27" s="128">
        <v>84.875</v>
      </c>
      <c r="C27" s="264">
        <v>36769</v>
      </c>
      <c r="D27" s="133">
        <v>1.4715</v>
      </c>
      <c r="E27" s="264">
        <v>36769</v>
      </c>
      <c r="F27" s="128">
        <v>149.8125</v>
      </c>
      <c r="G27" s="264">
        <v>36769</v>
      </c>
      <c r="H27" s="128">
        <v>70.25</v>
      </c>
      <c r="I27" s="264">
        <v>36769</v>
      </c>
      <c r="J27" s="128">
        <v>1.6649677200135917</v>
      </c>
      <c r="K27" s="264">
        <v>36769</v>
      </c>
      <c r="L27" s="128">
        <v>1.0805300713557595</v>
      </c>
      <c r="M27" s="264">
        <v>36769</v>
      </c>
      <c r="N27" s="128">
        <v>0.08</v>
      </c>
      <c r="O27" s="264">
        <v>36769</v>
      </c>
      <c r="P27" s="128">
        <v>7.7954395910271872</v>
      </c>
      <c r="Q27" s="264">
        <v>36769</v>
      </c>
      <c r="R27" s="128">
        <v>2.6833039952854225</v>
      </c>
      <c r="S27" s="264">
        <v>36769</v>
      </c>
      <c r="T27" s="128">
        <v>2.6833039952854225</v>
      </c>
      <c r="U27" s="264">
        <v>36769</v>
      </c>
      <c r="V27" s="128">
        <v>2.1746517159361196</v>
      </c>
      <c r="W27" s="264">
        <v>36769</v>
      </c>
      <c r="X27" s="128">
        <v>5.9375</v>
      </c>
      <c r="Y27" s="264">
        <v>36769</v>
      </c>
      <c r="Z27" s="128">
        <v>8.3125</v>
      </c>
      <c r="AE27" s="133"/>
      <c r="AI27" s="128"/>
    </row>
    <row r="28" spans="1:38" x14ac:dyDescent="0.25">
      <c r="A28" s="1">
        <v>36770</v>
      </c>
      <c r="B28" s="128">
        <v>85.328000000000003</v>
      </c>
      <c r="C28" s="264">
        <v>36770</v>
      </c>
      <c r="D28" s="133">
        <v>1.4726999999999999</v>
      </c>
      <c r="E28" s="264">
        <v>36770</v>
      </c>
      <c r="F28" s="128">
        <v>144</v>
      </c>
      <c r="G28" s="264">
        <v>36770</v>
      </c>
      <c r="H28" s="128">
        <v>64.9375</v>
      </c>
      <c r="I28" s="264">
        <v>36770</v>
      </c>
      <c r="J28" s="128">
        <v>1.7315135465471583</v>
      </c>
      <c r="K28" s="264">
        <v>36770</v>
      </c>
      <c r="L28" s="128">
        <v>1.038908127928295</v>
      </c>
      <c r="M28" s="264">
        <v>36770</v>
      </c>
      <c r="N28" s="128">
        <v>7.4999999999999997E-2</v>
      </c>
      <c r="O28" s="264">
        <v>36770</v>
      </c>
      <c r="P28" s="128">
        <v>7.7864410316933181</v>
      </c>
      <c r="Q28" s="264">
        <v>36770</v>
      </c>
      <c r="R28" s="128">
        <v>2.6691227539925695</v>
      </c>
      <c r="S28" s="264">
        <v>36770</v>
      </c>
      <c r="T28" s="128">
        <v>2.6691227539925695</v>
      </c>
      <c r="U28" s="264">
        <v>36770</v>
      </c>
      <c r="V28" s="128">
        <v>2.0370747606437156</v>
      </c>
      <c r="W28" s="264">
        <v>36770</v>
      </c>
      <c r="X28" s="128">
        <v>5.875</v>
      </c>
      <c r="Y28" s="264">
        <v>36770</v>
      </c>
      <c r="Z28" s="128">
        <v>8.5625</v>
      </c>
      <c r="AE28" s="133"/>
      <c r="AI28" s="128"/>
    </row>
    <row r="29" spans="1:38" x14ac:dyDescent="0.25">
      <c r="A29" s="1">
        <v>36774</v>
      </c>
      <c r="B29" s="128">
        <v>85</v>
      </c>
      <c r="C29" s="264">
        <v>36774</v>
      </c>
      <c r="D29" s="133">
        <v>1.4650000000000001</v>
      </c>
      <c r="E29" s="264">
        <v>36774</v>
      </c>
      <c r="F29" s="128">
        <v>133</v>
      </c>
      <c r="G29" s="264">
        <v>36774</v>
      </c>
      <c r="H29" s="128">
        <v>66</v>
      </c>
      <c r="I29" s="264">
        <v>36774</v>
      </c>
      <c r="J29" s="128">
        <v>1.7406143344709895</v>
      </c>
      <c r="K29" s="264">
        <v>36774</v>
      </c>
      <c r="L29" s="128">
        <v>1.0443686006825939</v>
      </c>
      <c r="M29" s="264">
        <v>36774</v>
      </c>
      <c r="N29" s="128">
        <v>7.0000000000000007E-2</v>
      </c>
      <c r="O29" s="264">
        <v>36774</v>
      </c>
      <c r="P29" s="128">
        <v>7.0569263334672527</v>
      </c>
      <c r="Q29" s="264">
        <v>36774</v>
      </c>
      <c r="R29" s="128">
        <v>2.0248756687309806</v>
      </c>
      <c r="S29" s="264">
        <v>36774</v>
      </c>
      <c r="T29" s="128">
        <v>2.0248756687309806</v>
      </c>
      <c r="U29" s="264">
        <v>36774</v>
      </c>
      <c r="V29" s="128">
        <v>2.1160409556313993</v>
      </c>
      <c r="W29" s="264">
        <v>36774</v>
      </c>
      <c r="X29" s="128">
        <v>5.875</v>
      </c>
      <c r="Y29" s="264">
        <v>36774</v>
      </c>
      <c r="Z29" s="128">
        <v>8.5625</v>
      </c>
      <c r="AE29" s="133"/>
      <c r="AI29" s="128"/>
    </row>
    <row r="30" spans="1:38" x14ac:dyDescent="0.25">
      <c r="A30" s="1">
        <v>36775</v>
      </c>
      <c r="B30" s="128">
        <v>84.375</v>
      </c>
      <c r="C30" s="264">
        <v>36775</v>
      </c>
      <c r="D30" s="133">
        <v>1.4818</v>
      </c>
      <c r="E30" s="264">
        <v>36775</v>
      </c>
      <c r="F30" s="128">
        <v>130.375</v>
      </c>
      <c r="G30" s="264">
        <v>36775</v>
      </c>
      <c r="H30" s="128">
        <v>67</v>
      </c>
      <c r="I30" s="264">
        <v>36775</v>
      </c>
      <c r="J30" s="128">
        <v>1.8221082467269538</v>
      </c>
      <c r="K30" s="264">
        <v>36775</v>
      </c>
      <c r="L30" s="128">
        <v>1.0460251046025104</v>
      </c>
      <c r="M30" s="264">
        <v>36775</v>
      </c>
      <c r="N30" s="128">
        <v>6.9000000000000006E-2</v>
      </c>
      <c r="O30" s="264">
        <v>36775</v>
      </c>
      <c r="P30" s="128">
        <v>7.3609937565012604</v>
      </c>
      <c r="Q30" s="264">
        <v>36775</v>
      </c>
      <c r="R30" s="128">
        <v>2.2939211643713957</v>
      </c>
      <c r="S30" s="264">
        <v>36775</v>
      </c>
      <c r="T30" s="128">
        <v>2.2939211643713957</v>
      </c>
      <c r="U30" s="264">
        <v>36775</v>
      </c>
      <c r="V30" s="128">
        <v>2.2945066810635715</v>
      </c>
      <c r="W30" s="264">
        <v>36775</v>
      </c>
      <c r="X30" s="128">
        <v>6.125</v>
      </c>
      <c r="Y30" s="264">
        <v>36775</v>
      </c>
      <c r="Z30" s="128">
        <v>8.375</v>
      </c>
      <c r="AE30" s="133"/>
      <c r="AI30" s="128"/>
    </row>
    <row r="31" spans="1:38" x14ac:dyDescent="0.25">
      <c r="A31" s="1">
        <v>36776</v>
      </c>
      <c r="B31" s="128">
        <v>83.875</v>
      </c>
      <c r="C31" s="264">
        <v>36776</v>
      </c>
      <c r="D31" s="133">
        <v>1.478</v>
      </c>
      <c r="E31" s="264">
        <v>36776</v>
      </c>
      <c r="F31" s="128">
        <v>136</v>
      </c>
      <c r="G31" s="264">
        <v>36776</v>
      </c>
      <c r="H31" s="128">
        <v>68</v>
      </c>
      <c r="I31" s="264">
        <v>36776</v>
      </c>
      <c r="J31" s="128">
        <v>1.6238159675236805</v>
      </c>
      <c r="K31" s="264">
        <v>36776</v>
      </c>
      <c r="L31" s="128">
        <v>1.0690121786197564</v>
      </c>
      <c r="M31" s="264">
        <v>36776</v>
      </c>
      <c r="N31" s="128">
        <v>6.9000000000000006E-2</v>
      </c>
      <c r="O31" s="264">
        <v>36776</v>
      </c>
      <c r="P31" s="128">
        <v>8.7640182128786499</v>
      </c>
      <c r="Q31" s="264">
        <v>36776</v>
      </c>
      <c r="R31" s="128">
        <v>2.4482673632249905</v>
      </c>
      <c r="S31" s="264">
        <v>36776</v>
      </c>
      <c r="T31" s="128">
        <v>2.4482673632249905</v>
      </c>
      <c r="U31" s="264">
        <v>36776</v>
      </c>
      <c r="V31" s="128">
        <v>2.3004059539918811</v>
      </c>
      <c r="W31" s="264">
        <v>36776</v>
      </c>
      <c r="X31" s="128">
        <v>6</v>
      </c>
      <c r="Y31" s="264">
        <v>36776</v>
      </c>
      <c r="Z31" s="128">
        <v>8.3125</v>
      </c>
      <c r="AE31" s="133"/>
      <c r="AI31" s="128"/>
    </row>
    <row r="32" spans="1:38" x14ac:dyDescent="0.25">
      <c r="A32" s="1">
        <v>36777</v>
      </c>
      <c r="B32" s="128">
        <v>84.218999999999994</v>
      </c>
      <c r="C32" s="264">
        <v>36777</v>
      </c>
      <c r="D32" s="133">
        <v>1.4767999999999999</v>
      </c>
      <c r="E32" s="264">
        <v>36777</v>
      </c>
      <c r="F32" s="128">
        <v>127.390625</v>
      </c>
      <c r="G32" s="264">
        <v>36777</v>
      </c>
      <c r="H32" s="128">
        <v>63.125</v>
      </c>
      <c r="I32" s="264">
        <v>36777</v>
      </c>
      <c r="J32" s="128">
        <v>1.6860780065005421</v>
      </c>
      <c r="K32" s="264">
        <v>36777</v>
      </c>
      <c r="L32" s="128">
        <v>1.0766522210184184</v>
      </c>
      <c r="M32" s="264">
        <v>36777</v>
      </c>
      <c r="N32" s="128">
        <v>6.4000000000000001E-2</v>
      </c>
      <c r="O32" s="264">
        <v>36777</v>
      </c>
      <c r="P32" s="128">
        <v>8.1499511212772475</v>
      </c>
      <c r="Q32" s="264">
        <v>36777</v>
      </c>
      <c r="R32" s="128">
        <v>2.2881773227447089</v>
      </c>
      <c r="S32" s="264">
        <v>36777</v>
      </c>
      <c r="T32" s="128">
        <v>2.2881773227447089</v>
      </c>
      <c r="U32" s="264">
        <v>36777</v>
      </c>
      <c r="V32" s="128">
        <v>2.3022751895991336</v>
      </c>
      <c r="W32" s="264">
        <v>36777</v>
      </c>
      <c r="X32" s="128">
        <v>6</v>
      </c>
      <c r="Y32" s="264">
        <v>36777</v>
      </c>
      <c r="Z32" s="128">
        <v>8.1875</v>
      </c>
      <c r="AE32" s="133"/>
      <c r="AI32" s="128"/>
    </row>
    <row r="33" spans="1:35" x14ac:dyDescent="0.25">
      <c r="A33" s="1">
        <v>36780</v>
      </c>
      <c r="B33" s="128">
        <v>86.016000000000005</v>
      </c>
      <c r="C33" s="264">
        <v>36780</v>
      </c>
      <c r="D33" s="133">
        <v>1.4804999999999999</v>
      </c>
      <c r="E33" s="264">
        <v>36780</v>
      </c>
      <c r="F33" s="128">
        <v>116.0625</v>
      </c>
      <c r="G33" s="264">
        <v>36780</v>
      </c>
      <c r="H33" s="128">
        <v>57.375</v>
      </c>
      <c r="I33" s="264">
        <v>36780</v>
      </c>
      <c r="J33" s="128">
        <v>1.6886187098953058</v>
      </c>
      <c r="K33" s="264">
        <v>36780</v>
      </c>
      <c r="L33" s="128">
        <v>1.0672070246538332</v>
      </c>
      <c r="M33" s="264">
        <v>36780</v>
      </c>
      <c r="N33" s="128">
        <v>0.06</v>
      </c>
      <c r="O33" s="264">
        <v>36780</v>
      </c>
      <c r="P33" s="128">
        <v>9.0073315081374599</v>
      </c>
      <c r="Q33" s="264">
        <v>36780</v>
      </c>
      <c r="R33" s="128">
        <v>2.0410484283914525</v>
      </c>
      <c r="S33" s="264">
        <v>36780</v>
      </c>
      <c r="T33" s="128">
        <v>2.0471069604920809</v>
      </c>
      <c r="U33" s="264">
        <v>36780</v>
      </c>
      <c r="V33" s="128">
        <v>2.2965214454576159</v>
      </c>
      <c r="W33" s="264">
        <v>36780</v>
      </c>
      <c r="X33" s="128">
        <v>6.125</v>
      </c>
      <c r="Y33" s="264">
        <v>36780</v>
      </c>
      <c r="Z33" s="128">
        <v>8.375</v>
      </c>
      <c r="AE33" s="133"/>
      <c r="AI33" s="128"/>
    </row>
    <row r="34" spans="1:35" x14ac:dyDescent="0.25">
      <c r="A34" s="1">
        <v>36781</v>
      </c>
      <c r="B34" s="128">
        <v>86.125</v>
      </c>
      <c r="C34" s="264">
        <v>36781</v>
      </c>
      <c r="D34" s="133">
        <v>1.4810000000000001</v>
      </c>
      <c r="E34" s="264">
        <v>36781</v>
      </c>
      <c r="F34" s="128">
        <v>102</v>
      </c>
      <c r="G34" s="264">
        <v>36781</v>
      </c>
      <c r="H34" s="128">
        <v>65.734375</v>
      </c>
      <c r="I34" s="264">
        <v>36781</v>
      </c>
      <c r="J34" s="128">
        <v>1.6880486158001349</v>
      </c>
      <c r="K34" s="264">
        <v>36781</v>
      </c>
      <c r="L34" s="128">
        <v>1.087103308575287</v>
      </c>
      <c r="M34" s="264">
        <v>36781</v>
      </c>
      <c r="N34" s="128">
        <v>5.5E-2</v>
      </c>
      <c r="O34" s="264">
        <v>36781</v>
      </c>
      <c r="P34" s="128">
        <v>8.0903620256926327</v>
      </c>
      <c r="Q34" s="264">
        <v>36781</v>
      </c>
      <c r="R34" s="128">
        <v>2.1838464359527054</v>
      </c>
      <c r="S34" s="264">
        <v>36781</v>
      </c>
      <c r="T34" s="128">
        <v>2.1901965490408859</v>
      </c>
      <c r="U34" s="264">
        <v>36781</v>
      </c>
      <c r="V34" s="128">
        <v>2.3295070898041863</v>
      </c>
      <c r="W34" s="264">
        <v>36781</v>
      </c>
      <c r="X34" s="128">
        <v>6</v>
      </c>
      <c r="Y34" s="264">
        <v>36781</v>
      </c>
      <c r="Z34" s="128">
        <v>8.375</v>
      </c>
      <c r="AE34" s="133"/>
      <c r="AI34" s="128"/>
    </row>
    <row r="35" spans="1:35" x14ac:dyDescent="0.25">
      <c r="A35" s="1">
        <v>36782</v>
      </c>
      <c r="B35" s="128">
        <v>86.688000000000002</v>
      </c>
      <c r="C35" s="264">
        <v>36782</v>
      </c>
      <c r="D35" s="133">
        <v>1.4824999999999999</v>
      </c>
      <c r="E35" s="264">
        <v>36782</v>
      </c>
      <c r="F35" s="128">
        <v>101.625</v>
      </c>
      <c r="G35" s="264">
        <v>36782</v>
      </c>
      <c r="H35" s="128">
        <v>72.75</v>
      </c>
      <c r="I35" s="264">
        <v>36782</v>
      </c>
      <c r="J35" s="128">
        <v>1.5649241146711634</v>
      </c>
      <c r="K35" s="264">
        <v>36782</v>
      </c>
      <c r="L35" s="128">
        <v>1.1332209106239461</v>
      </c>
      <c r="M35" s="264">
        <v>36782</v>
      </c>
      <c r="N35" s="128">
        <v>0.06</v>
      </c>
      <c r="O35" s="264">
        <v>36782</v>
      </c>
      <c r="P35" s="128">
        <v>8.2060857330679866</v>
      </c>
      <c r="Q35" s="264">
        <v>36782</v>
      </c>
      <c r="R35" s="128">
        <v>2.4274163026304776</v>
      </c>
      <c r="S35" s="264">
        <v>36782</v>
      </c>
      <c r="T35" s="128">
        <v>2.4342420299739884</v>
      </c>
      <c r="U35" s="264">
        <v>36782</v>
      </c>
      <c r="V35" s="128">
        <v>2.2259696458684655</v>
      </c>
      <c r="W35" s="264">
        <v>36782</v>
      </c>
      <c r="X35" s="128">
        <v>6</v>
      </c>
      <c r="Y35" s="264">
        <v>36782</v>
      </c>
      <c r="Z35" s="128">
        <v>8.25</v>
      </c>
      <c r="AE35" s="133"/>
      <c r="AI35" s="128"/>
    </row>
    <row r="36" spans="1:35" x14ac:dyDescent="0.25">
      <c r="A36" s="1">
        <v>36783</v>
      </c>
      <c r="B36" s="128">
        <v>86.703000000000003</v>
      </c>
      <c r="C36" s="264">
        <v>36783</v>
      </c>
      <c r="D36" s="133">
        <v>1.4867999999999999</v>
      </c>
      <c r="E36" s="264">
        <v>36783</v>
      </c>
      <c r="F36" s="128">
        <v>100.125</v>
      </c>
      <c r="G36" s="264">
        <v>36783</v>
      </c>
      <c r="H36" s="128">
        <v>68.5</v>
      </c>
      <c r="I36" s="264">
        <v>36783</v>
      </c>
      <c r="J36" s="128">
        <v>1.6478342749529193</v>
      </c>
      <c r="K36" s="264">
        <v>36783</v>
      </c>
      <c r="L36" s="128">
        <v>1.1702986279257466</v>
      </c>
      <c r="M36" s="264">
        <v>36783</v>
      </c>
      <c r="N36" s="128">
        <v>0.06</v>
      </c>
      <c r="O36" s="264">
        <v>36783</v>
      </c>
      <c r="P36" s="128">
        <v>8.2682113865368265</v>
      </c>
      <c r="Q36" s="264">
        <v>36783</v>
      </c>
      <c r="R36" s="128">
        <v>2.1744383038369914</v>
      </c>
      <c r="S36" s="264">
        <v>36783</v>
      </c>
      <c r="T36" s="128">
        <v>2.1807726778711478</v>
      </c>
      <c r="U36" s="264">
        <v>36783</v>
      </c>
      <c r="V36" s="128">
        <v>2.2531611514662364</v>
      </c>
      <c r="W36" s="264">
        <v>36783</v>
      </c>
      <c r="X36" s="128">
        <v>5.875</v>
      </c>
      <c r="Y36" s="264">
        <v>36783</v>
      </c>
      <c r="Z36" s="128">
        <v>8.375</v>
      </c>
      <c r="AE36" s="133"/>
      <c r="AI36" s="128"/>
    </row>
    <row r="37" spans="1:35" x14ac:dyDescent="0.25">
      <c r="A37" s="1">
        <v>36784</v>
      </c>
      <c r="B37" s="128">
        <v>89.438000000000002</v>
      </c>
      <c r="C37" s="264">
        <v>36784</v>
      </c>
      <c r="D37" s="133">
        <v>1.4830000000000001</v>
      </c>
      <c r="E37" s="264">
        <v>36784</v>
      </c>
      <c r="F37" s="128">
        <v>95.5</v>
      </c>
      <c r="G37" s="264">
        <v>36784</v>
      </c>
      <c r="H37" s="128">
        <v>73.5625</v>
      </c>
      <c r="I37" s="264">
        <v>36784</v>
      </c>
      <c r="J37" s="128">
        <v>1.6520566419420095</v>
      </c>
      <c r="K37" s="264">
        <v>36784</v>
      </c>
      <c r="L37" s="128">
        <v>1.1665542818610923</v>
      </c>
      <c r="M37" s="264">
        <v>36784</v>
      </c>
      <c r="N37" s="128">
        <v>6.2E-2</v>
      </c>
      <c r="O37" s="264">
        <v>36784</v>
      </c>
      <c r="P37" s="128">
        <v>9.0599249893546876</v>
      </c>
      <c r="Q37" s="264">
        <v>36784</v>
      </c>
      <c r="R37" s="128">
        <v>2.1207670955167699</v>
      </c>
      <c r="S37" s="264">
        <v>36784</v>
      </c>
      <c r="T37" s="128">
        <v>2.1269946168917619</v>
      </c>
      <c r="U37" s="264">
        <v>36784</v>
      </c>
      <c r="V37" s="128">
        <v>2.2589345920431558</v>
      </c>
      <c r="W37" s="264">
        <v>36784</v>
      </c>
      <c r="X37" s="128">
        <v>6</v>
      </c>
      <c r="Y37" s="264">
        <v>36784</v>
      </c>
      <c r="Z37" s="128">
        <v>8.625</v>
      </c>
      <c r="AE37" s="133"/>
      <c r="AI37" s="128"/>
    </row>
    <row r="38" spans="1:35" x14ac:dyDescent="0.25">
      <c r="A38" s="1">
        <v>36787</v>
      </c>
      <c r="B38" s="128">
        <v>89.625</v>
      </c>
      <c r="C38" s="264">
        <v>36787</v>
      </c>
      <c r="D38" s="133">
        <v>1.488</v>
      </c>
      <c r="E38" s="264">
        <v>36787</v>
      </c>
      <c r="F38" s="128">
        <v>88.375</v>
      </c>
      <c r="G38" s="264">
        <v>36787</v>
      </c>
      <c r="H38" s="128">
        <v>70.0625</v>
      </c>
      <c r="I38" s="264">
        <v>36787</v>
      </c>
      <c r="J38" s="128">
        <v>1.6465053763440862</v>
      </c>
      <c r="K38" s="264">
        <v>36787</v>
      </c>
      <c r="L38" s="128">
        <v>1.1626344086021505</v>
      </c>
      <c r="M38" s="264">
        <v>36787</v>
      </c>
      <c r="N38" s="128">
        <v>0.06</v>
      </c>
      <c r="O38" s="264">
        <v>36787</v>
      </c>
      <c r="P38" s="128">
        <v>9.9177860307027572</v>
      </c>
      <c r="Q38" s="264">
        <v>36787</v>
      </c>
      <c r="R38" s="128">
        <v>2.0158078390712428</v>
      </c>
      <c r="S38" s="264">
        <v>36787</v>
      </c>
      <c r="T38" s="128">
        <v>2.0218206504632712</v>
      </c>
      <c r="U38" s="264">
        <v>36787</v>
      </c>
      <c r="V38" s="128">
        <v>2.163978494623656</v>
      </c>
      <c r="W38" s="264">
        <v>36787</v>
      </c>
      <c r="X38" s="128">
        <v>6.03125</v>
      </c>
      <c r="Y38" s="264">
        <v>36787</v>
      </c>
      <c r="Z38" s="128">
        <v>8.25</v>
      </c>
      <c r="AE38" s="133"/>
      <c r="AI38" s="128"/>
    </row>
    <row r="39" spans="1:35" x14ac:dyDescent="0.25">
      <c r="A39" s="1">
        <v>36788</v>
      </c>
      <c r="B39" s="128">
        <v>84.875</v>
      </c>
      <c r="C39" s="264">
        <v>36788</v>
      </c>
      <c r="D39" s="133">
        <v>1.482</v>
      </c>
      <c r="E39" s="264">
        <v>36788</v>
      </c>
      <c r="F39" s="128">
        <v>104.1875</v>
      </c>
      <c r="G39" s="264">
        <v>36788</v>
      </c>
      <c r="H39" s="128">
        <v>68.875</v>
      </c>
      <c r="I39" s="264">
        <v>36788</v>
      </c>
      <c r="J39" s="128">
        <v>1.6194331983805668</v>
      </c>
      <c r="K39" s="264">
        <v>36788</v>
      </c>
      <c r="L39" s="128">
        <v>1.2415654520917681</v>
      </c>
      <c r="M39" s="264">
        <v>36788</v>
      </c>
      <c r="N39" s="128">
        <v>0.06</v>
      </c>
      <c r="O39" s="264">
        <v>36788</v>
      </c>
      <c r="P39" s="128">
        <v>9.3691321638103808</v>
      </c>
      <c r="Q39" s="264">
        <v>36788</v>
      </c>
      <c r="R39" s="128">
        <v>2.0184435116186297</v>
      </c>
      <c r="S39" s="264">
        <v>36788</v>
      </c>
      <c r="T39" s="128">
        <v>2.0244597844025094</v>
      </c>
      <c r="U39" s="264">
        <v>36788</v>
      </c>
      <c r="V39" s="128">
        <v>2.1592442645074224</v>
      </c>
      <c r="W39" s="264">
        <v>36788</v>
      </c>
      <c r="X39" s="128">
        <v>6</v>
      </c>
      <c r="Y39" s="264">
        <v>36788</v>
      </c>
      <c r="Z39" s="128">
        <v>8.5</v>
      </c>
    </row>
    <row r="40" spans="1:35" x14ac:dyDescent="0.25">
      <c r="A40" s="1">
        <v>36789</v>
      </c>
      <c r="B40" s="128">
        <v>82.171999999999997</v>
      </c>
      <c r="C40" s="264">
        <v>36789</v>
      </c>
      <c r="D40" s="133">
        <v>1.4832000000000001</v>
      </c>
      <c r="E40" s="264">
        <v>36789</v>
      </c>
      <c r="F40" s="128">
        <v>112.0625</v>
      </c>
      <c r="G40" s="264">
        <v>36789</v>
      </c>
      <c r="H40" s="128">
        <v>67.3125</v>
      </c>
      <c r="I40" s="264">
        <v>36789</v>
      </c>
      <c r="J40" s="128">
        <v>1.5507011866235165</v>
      </c>
      <c r="K40" s="264">
        <v>36789</v>
      </c>
      <c r="L40" s="128">
        <v>1.2338187702265373</v>
      </c>
      <c r="M40" s="264">
        <v>36789</v>
      </c>
      <c r="N40" s="128">
        <v>6.5000000000000002E-2</v>
      </c>
      <c r="O40" s="264">
        <v>36789</v>
      </c>
      <c r="P40" s="128">
        <v>9.0066143450196545</v>
      </c>
      <c r="Q40" s="264">
        <v>36789</v>
      </c>
      <c r="R40" s="128">
        <v>2.0699238479102693</v>
      </c>
      <c r="S40" s="264">
        <v>36789</v>
      </c>
      <c r="T40" s="128">
        <v>2.0760444195115375</v>
      </c>
      <c r="U40" s="264">
        <v>36789</v>
      </c>
      <c r="V40" s="128">
        <v>2.1574973031283711</v>
      </c>
      <c r="W40" s="264">
        <v>36789</v>
      </c>
      <c r="X40" s="128">
        <v>6</v>
      </c>
      <c r="Y40" s="264">
        <v>36789</v>
      </c>
      <c r="Z40" s="128">
        <v>8.625</v>
      </c>
    </row>
    <row r="41" spans="1:35" x14ac:dyDescent="0.25">
      <c r="A41" s="1">
        <v>36790</v>
      </c>
      <c r="B41" s="128">
        <v>80.75</v>
      </c>
      <c r="C41" s="264">
        <v>36790</v>
      </c>
      <c r="D41" s="133">
        <v>1.4871000000000001</v>
      </c>
      <c r="E41" s="264">
        <v>36790</v>
      </c>
      <c r="F41" s="128">
        <v>110.625</v>
      </c>
      <c r="G41" s="264">
        <v>36790</v>
      </c>
      <c r="H41" s="128">
        <v>70</v>
      </c>
      <c r="I41" s="264">
        <v>36790</v>
      </c>
      <c r="J41" s="128">
        <v>1.5130119023602986</v>
      </c>
      <c r="K41" s="264">
        <v>36790</v>
      </c>
      <c r="L41" s="128">
        <v>1.1969605272005917</v>
      </c>
      <c r="M41" s="264">
        <v>36790</v>
      </c>
      <c r="N41" s="128">
        <v>5.5E-2</v>
      </c>
      <c r="O41" s="264">
        <v>36790</v>
      </c>
      <c r="P41" s="128">
        <v>8.1495284877701177</v>
      </c>
      <c r="Q41" s="264">
        <v>36790</v>
      </c>
      <c r="R41" s="128">
        <v>2.0194621249881006</v>
      </c>
      <c r="S41" s="264">
        <v>36790</v>
      </c>
      <c r="T41" s="128">
        <v>2.0254784816739431</v>
      </c>
      <c r="U41" s="264">
        <v>36790</v>
      </c>
      <c r="V41" s="128">
        <v>2.0845941765853002</v>
      </c>
      <c r="W41" s="264">
        <v>36790</v>
      </c>
      <c r="X41" s="128">
        <v>6.875</v>
      </c>
      <c r="Y41" s="264">
        <v>36790</v>
      </c>
      <c r="Z41" s="128">
        <v>8.5</v>
      </c>
      <c r="AE41" s="133"/>
      <c r="AI41" s="128"/>
    </row>
    <row r="42" spans="1:35" x14ac:dyDescent="0.25">
      <c r="A42" s="1">
        <v>36791</v>
      </c>
      <c r="B42" s="128">
        <v>83</v>
      </c>
      <c r="C42" s="264">
        <v>36791</v>
      </c>
      <c r="D42" s="133">
        <v>1.4888999999999999</v>
      </c>
      <c r="E42" s="264">
        <v>36791</v>
      </c>
      <c r="F42" s="128">
        <v>115.5</v>
      </c>
      <c r="G42" s="264">
        <v>36791</v>
      </c>
      <c r="H42" s="128">
        <v>68.625</v>
      </c>
      <c r="I42" s="264">
        <v>36791</v>
      </c>
      <c r="J42" s="128">
        <v>1.5111827523675199</v>
      </c>
      <c r="K42" s="264">
        <v>36791</v>
      </c>
      <c r="L42" s="128">
        <v>1.2089462018940158</v>
      </c>
      <c r="M42" s="264">
        <v>36791</v>
      </c>
      <c r="N42" s="128">
        <v>0.06</v>
      </c>
      <c r="O42" s="264">
        <v>36791</v>
      </c>
      <c r="P42" s="128">
        <v>6.9924366501342829</v>
      </c>
      <c r="Q42" s="264">
        <v>36791</v>
      </c>
      <c r="R42" s="128">
        <v>2.1575212781101847</v>
      </c>
      <c r="S42" s="264">
        <v>36791</v>
      </c>
      <c r="T42" s="128">
        <v>2.1638234427571188</v>
      </c>
      <c r="U42" s="264">
        <v>36791</v>
      </c>
      <c r="V42" s="128">
        <v>2.1156558533145278</v>
      </c>
      <c r="W42" s="264">
        <v>36791</v>
      </c>
      <c r="X42" s="128">
        <v>6.625</v>
      </c>
      <c r="Y42" s="264">
        <v>36791</v>
      </c>
      <c r="Z42" s="128">
        <v>8.75</v>
      </c>
      <c r="AE42" s="133"/>
      <c r="AI42" s="128"/>
    </row>
    <row r="43" spans="1:35" x14ac:dyDescent="0.25">
      <c r="A43" s="1">
        <v>36794</v>
      </c>
      <c r="B43" s="128">
        <v>84.438000000000002</v>
      </c>
      <c r="C43" s="264">
        <v>36794</v>
      </c>
      <c r="D43" s="133">
        <v>1.4865999999999999</v>
      </c>
      <c r="E43" s="264">
        <v>36794</v>
      </c>
      <c r="F43" s="128">
        <v>115.984375</v>
      </c>
      <c r="G43" s="264">
        <v>36794</v>
      </c>
      <c r="H43" s="128">
        <v>66</v>
      </c>
      <c r="I43" s="264">
        <v>36794</v>
      </c>
      <c r="J43" s="128">
        <v>1.3453518094981838</v>
      </c>
      <c r="K43" s="264">
        <v>36794</v>
      </c>
      <c r="L43" s="128">
        <v>1.2377236647383292</v>
      </c>
      <c r="M43" s="264">
        <v>36794</v>
      </c>
      <c r="N43" s="128">
        <v>5.5E-2</v>
      </c>
      <c r="O43" s="264">
        <v>36794</v>
      </c>
      <c r="P43" s="128">
        <v>6.4486707903632823</v>
      </c>
      <c r="Q43" s="264">
        <v>36794</v>
      </c>
      <c r="R43" s="128">
        <v>1.691508710652273</v>
      </c>
      <c r="S43" s="264">
        <v>36794</v>
      </c>
      <c r="T43" s="128">
        <v>1.6968086675415301</v>
      </c>
      <c r="U43" s="264">
        <v>36794</v>
      </c>
      <c r="V43" s="128">
        <v>1.9507601237723666</v>
      </c>
      <c r="W43" s="264">
        <v>36794</v>
      </c>
      <c r="X43" s="128">
        <v>6.375</v>
      </c>
      <c r="Y43" s="264">
        <v>36794</v>
      </c>
      <c r="Z43" s="128">
        <v>8.75</v>
      </c>
      <c r="AE43" s="133"/>
      <c r="AI43" s="128"/>
    </row>
    <row r="44" spans="1:35" x14ac:dyDescent="0.25">
      <c r="A44" s="1">
        <v>36795</v>
      </c>
      <c r="B44" s="128">
        <v>85.5</v>
      </c>
      <c r="C44" s="264">
        <v>36795</v>
      </c>
      <c r="D44" s="133">
        <v>1.4869000000000001</v>
      </c>
      <c r="E44" s="264">
        <v>36795</v>
      </c>
      <c r="F44" s="128">
        <v>104.8125</v>
      </c>
      <c r="G44" s="264">
        <v>36795</v>
      </c>
      <c r="H44" s="128">
        <v>64.375</v>
      </c>
      <c r="I44" s="264">
        <v>36795</v>
      </c>
      <c r="J44" s="128">
        <v>1.345080368552021</v>
      </c>
      <c r="K44" s="264">
        <v>36795</v>
      </c>
      <c r="L44" s="128">
        <v>1.1971215280112986</v>
      </c>
      <c r="M44" s="264">
        <v>36795</v>
      </c>
      <c r="N44" s="128">
        <v>0.05</v>
      </c>
      <c r="O44" s="264">
        <v>36795</v>
      </c>
      <c r="P44" s="128">
        <v>6.8039761022106857</v>
      </c>
      <c r="Q44" s="264">
        <v>36795</v>
      </c>
      <c r="R44" s="128">
        <v>1.5582551454775657</v>
      </c>
      <c r="S44" s="264">
        <v>36795</v>
      </c>
      <c r="T44" s="128">
        <v>1.5582551454775659</v>
      </c>
      <c r="U44" s="264">
        <v>36795</v>
      </c>
      <c r="V44" s="128">
        <v>2.078149169412872</v>
      </c>
      <c r="W44" s="264">
        <v>36795</v>
      </c>
      <c r="X44" s="128">
        <v>6.25</v>
      </c>
      <c r="Y44" s="264">
        <v>36795</v>
      </c>
      <c r="Z44" s="128">
        <v>8.75</v>
      </c>
      <c r="AE44" s="133"/>
      <c r="AI44" s="128"/>
    </row>
    <row r="45" spans="1:35" x14ac:dyDescent="0.25">
      <c r="A45" s="1">
        <v>36796</v>
      </c>
      <c r="B45" s="128">
        <v>87.453000000000003</v>
      </c>
      <c r="C45" s="264">
        <v>36796</v>
      </c>
      <c r="D45" s="133">
        <v>1.4955000000000001</v>
      </c>
      <c r="E45" s="264">
        <v>36796</v>
      </c>
      <c r="F45" s="128">
        <v>101.5625</v>
      </c>
      <c r="G45" s="264">
        <v>36796</v>
      </c>
      <c r="H45" s="128">
        <v>65.125</v>
      </c>
      <c r="I45" s="264">
        <v>36796</v>
      </c>
      <c r="J45" s="128">
        <v>1.5379471748579068</v>
      </c>
      <c r="K45" s="264">
        <v>36796</v>
      </c>
      <c r="L45" s="128">
        <v>1.1768639251086592</v>
      </c>
      <c r="M45" s="264">
        <v>36796</v>
      </c>
      <c r="N45" s="128">
        <v>0.05</v>
      </c>
      <c r="O45" s="264">
        <v>36796</v>
      </c>
      <c r="P45" s="128">
        <v>6.6826166710722541</v>
      </c>
      <c r="Q45" s="264">
        <v>36796</v>
      </c>
      <c r="R45" s="128">
        <v>1.682606759577477</v>
      </c>
      <c r="S45" s="264">
        <v>36796</v>
      </c>
      <c r="T45" s="128">
        <v>1.682606759577477</v>
      </c>
      <c r="U45" s="264">
        <v>36796</v>
      </c>
      <c r="V45" s="128">
        <v>1.9391507856904044</v>
      </c>
      <c r="W45" s="264">
        <v>36796</v>
      </c>
      <c r="X45" s="128">
        <v>6.375</v>
      </c>
      <c r="Y45" s="264">
        <v>36796</v>
      </c>
      <c r="Z45" s="128">
        <v>8.8125</v>
      </c>
      <c r="AE45" s="133"/>
      <c r="AI45" s="128"/>
    </row>
    <row r="46" spans="1:35" x14ac:dyDescent="0.25">
      <c r="A46" s="1">
        <v>36797</v>
      </c>
      <c r="B46" s="128">
        <v>89.25</v>
      </c>
      <c r="C46" s="264">
        <v>36797</v>
      </c>
      <c r="D46" s="133">
        <v>1.5004999999999999</v>
      </c>
      <c r="E46" s="264">
        <v>36797</v>
      </c>
      <c r="F46" s="128">
        <v>102.875</v>
      </c>
      <c r="G46" s="264">
        <v>36797</v>
      </c>
      <c r="H46" s="128">
        <v>60</v>
      </c>
      <c r="I46" s="264">
        <v>36797</v>
      </c>
      <c r="J46" s="128">
        <v>1.4995001666111296</v>
      </c>
      <c r="K46" s="264">
        <v>36797</v>
      </c>
      <c r="L46" s="128">
        <v>1.166277907364212</v>
      </c>
      <c r="M46" s="264">
        <v>36797</v>
      </c>
      <c r="N46" s="128">
        <v>4.4999999999999998E-2</v>
      </c>
      <c r="O46" s="264">
        <v>36797</v>
      </c>
      <c r="P46" s="128">
        <v>6.7739978763979822</v>
      </c>
      <c r="Q46" s="264">
        <v>36797</v>
      </c>
      <c r="R46" s="128">
        <v>1.7044618341470379</v>
      </c>
      <c r="S46" s="264">
        <v>36797</v>
      </c>
      <c r="T46" s="128">
        <v>1.7044618341470381</v>
      </c>
      <c r="U46" s="264">
        <v>36797</v>
      </c>
      <c r="V46" s="128">
        <v>1.9993335554815062</v>
      </c>
      <c r="W46" s="264">
        <v>36797</v>
      </c>
      <c r="X46" s="128">
        <v>6.4375</v>
      </c>
      <c r="Y46" s="264">
        <v>36797</v>
      </c>
      <c r="Z46" s="128">
        <v>8.8125</v>
      </c>
      <c r="AE46" s="133"/>
      <c r="AI46" s="128"/>
    </row>
    <row r="47" spans="1:35" x14ac:dyDescent="0.25">
      <c r="A47" s="1">
        <v>36798</v>
      </c>
      <c r="B47" s="128">
        <v>87.641000000000005</v>
      </c>
      <c r="C47" s="264">
        <v>36798</v>
      </c>
      <c r="D47" s="133">
        <v>1.4862</v>
      </c>
      <c r="E47" s="264">
        <v>36798</v>
      </c>
      <c r="F47" s="128">
        <v>95.125</v>
      </c>
      <c r="G47" s="264">
        <v>36798</v>
      </c>
      <c r="H47" s="128">
        <v>62</v>
      </c>
      <c r="I47" s="264">
        <v>36798</v>
      </c>
      <c r="J47" s="128">
        <v>1.5139281388776746</v>
      </c>
      <c r="K47" s="264">
        <v>36798</v>
      </c>
      <c r="L47" s="128">
        <v>1.2111425111021397</v>
      </c>
      <c r="M47" s="264">
        <v>36798</v>
      </c>
      <c r="N47" s="128">
        <v>5.5E-2</v>
      </c>
      <c r="O47" s="264">
        <v>36798</v>
      </c>
      <c r="P47" s="128">
        <v>10.955957684378545</v>
      </c>
      <c r="Q47" s="264">
        <v>36798</v>
      </c>
      <c r="R47" s="128">
        <v>1.8074449703347872</v>
      </c>
      <c r="S47" s="264">
        <v>36798</v>
      </c>
      <c r="T47" s="128">
        <v>1.8074449703347872</v>
      </c>
      <c r="U47" s="264">
        <v>36798</v>
      </c>
      <c r="V47" s="128">
        <v>2.0185708518368997</v>
      </c>
      <c r="W47" s="264">
        <v>36798</v>
      </c>
      <c r="X47" s="128">
        <v>6.4375</v>
      </c>
      <c r="Y47" s="264">
        <v>36798</v>
      </c>
      <c r="Z47" s="128">
        <v>9.75</v>
      </c>
      <c r="AE47" s="133"/>
      <c r="AI47" s="128"/>
    </row>
    <row r="48" spans="1:35" x14ac:dyDescent="0.25">
      <c r="A48" s="1">
        <v>36801</v>
      </c>
      <c r="B48" s="128">
        <v>86.438000000000002</v>
      </c>
      <c r="C48" s="264">
        <v>36801</v>
      </c>
      <c r="D48" s="133">
        <v>1.5102</v>
      </c>
      <c r="E48" s="264">
        <v>36801</v>
      </c>
      <c r="F48" s="128">
        <v>80.375</v>
      </c>
      <c r="G48" s="264">
        <v>36801</v>
      </c>
      <c r="H48" s="128">
        <v>60.875</v>
      </c>
      <c r="I48" s="264">
        <v>36801</v>
      </c>
      <c r="J48" s="128">
        <v>1.4964905310554892</v>
      </c>
      <c r="K48" s="264">
        <v>36801</v>
      </c>
      <c r="L48" s="128">
        <v>1.1852734737120911</v>
      </c>
      <c r="M48" s="264">
        <v>36801</v>
      </c>
      <c r="N48" s="128">
        <v>4.4999999999999998E-2</v>
      </c>
      <c r="O48" s="264">
        <v>36801</v>
      </c>
      <c r="P48" s="128">
        <v>9.2211513758790726</v>
      </c>
      <c r="Q48" s="264">
        <v>36801</v>
      </c>
      <c r="R48" s="128">
        <v>1.7649422292557411</v>
      </c>
      <c r="S48" s="264">
        <v>36801</v>
      </c>
      <c r="T48" s="128">
        <v>1.7649422292557413</v>
      </c>
      <c r="U48" s="264">
        <v>36801</v>
      </c>
      <c r="V48" s="128">
        <v>1.986491855383393</v>
      </c>
      <c r="W48" s="264">
        <v>36801</v>
      </c>
      <c r="X48" s="128">
        <v>6.5</v>
      </c>
      <c r="Y48" s="264">
        <v>36801</v>
      </c>
      <c r="Z48" s="128">
        <v>9.25</v>
      </c>
      <c r="AE48" s="133"/>
      <c r="AI48" s="128"/>
    </row>
    <row r="49" spans="1:35" x14ac:dyDescent="0.25">
      <c r="A49" s="1">
        <v>36802</v>
      </c>
      <c r="B49" s="128">
        <v>85.563000000000002</v>
      </c>
      <c r="C49" s="264">
        <v>36802</v>
      </c>
      <c r="D49" s="133">
        <v>1.5044999999999999</v>
      </c>
      <c r="E49" s="264">
        <v>36802</v>
      </c>
      <c r="F49" s="128">
        <v>84.0625</v>
      </c>
      <c r="G49" s="264">
        <v>36802</v>
      </c>
      <c r="H49" s="128">
        <v>55.5</v>
      </c>
      <c r="I49" s="264">
        <v>36802</v>
      </c>
      <c r="J49" s="128">
        <v>1.429046194749086</v>
      </c>
      <c r="K49" s="264">
        <v>36802</v>
      </c>
      <c r="L49" s="128">
        <v>1.149883682286474</v>
      </c>
      <c r="M49" s="264">
        <v>36802</v>
      </c>
      <c r="N49" s="128">
        <v>4.4999999999999998E-2</v>
      </c>
      <c r="O49" s="264">
        <v>36802</v>
      </c>
      <c r="P49" s="128">
        <v>8.9849644026968321</v>
      </c>
      <c r="Q49" s="264">
        <v>36802</v>
      </c>
      <c r="R49" s="128">
        <v>1.8227741986306845</v>
      </c>
      <c r="S49" s="264">
        <v>36802</v>
      </c>
      <c r="T49" s="128">
        <v>1.8227741986306845</v>
      </c>
      <c r="U49" s="264">
        <v>36802</v>
      </c>
      <c r="V49" s="128">
        <v>1.9674310402126953</v>
      </c>
      <c r="W49" s="264">
        <v>36802</v>
      </c>
      <c r="X49" s="128">
        <v>7</v>
      </c>
      <c r="Y49" s="264">
        <v>36802</v>
      </c>
      <c r="Z49" s="128">
        <v>9.125</v>
      </c>
      <c r="AE49" s="133"/>
      <c r="AI49" s="128"/>
    </row>
    <row r="50" spans="1:35" x14ac:dyDescent="0.25">
      <c r="A50" s="1">
        <f>+E50</f>
        <v>36803</v>
      </c>
      <c r="B50" s="128">
        <v>83.063000000000002</v>
      </c>
      <c r="C50" s="264">
        <v>36803</v>
      </c>
      <c r="D50" s="133">
        <v>1.4947999999999999</v>
      </c>
      <c r="E50" s="264">
        <v>36803</v>
      </c>
      <c r="F50" s="128">
        <v>80.515625</v>
      </c>
      <c r="G50" s="264">
        <v>36803</v>
      </c>
      <c r="H50" s="128">
        <v>52.125</v>
      </c>
      <c r="I50" s="264">
        <v>36803</v>
      </c>
      <c r="J50" s="128">
        <v>1.4048702167514051</v>
      </c>
      <c r="K50" s="264">
        <v>36803</v>
      </c>
      <c r="L50" s="128">
        <v>1.1305860315761307</v>
      </c>
      <c r="M50" s="264">
        <v>36803</v>
      </c>
      <c r="N50" s="128">
        <v>4.9000000000000002E-2</v>
      </c>
      <c r="O50" s="264">
        <v>36803</v>
      </c>
      <c r="P50" s="128">
        <v>8.4982173634724507</v>
      </c>
      <c r="Q50" s="264">
        <v>36803</v>
      </c>
      <c r="R50" s="128">
        <v>1.8009824203215923</v>
      </c>
      <c r="S50" s="264">
        <v>36803</v>
      </c>
      <c r="T50" s="128">
        <v>1.8009824203215925</v>
      </c>
      <c r="U50" s="264">
        <v>36803</v>
      </c>
      <c r="V50" s="128">
        <v>1.9868878779769872</v>
      </c>
      <c r="W50" s="264">
        <v>36803</v>
      </c>
      <c r="X50" s="128">
        <v>6.3125</v>
      </c>
      <c r="Y50" s="264">
        <v>36803</v>
      </c>
      <c r="Z50" s="128">
        <v>9.5</v>
      </c>
      <c r="AE50" s="133"/>
      <c r="AI50" s="128"/>
    </row>
    <row r="51" spans="1:35" x14ac:dyDescent="0.25">
      <c r="A51" s="1">
        <v>36804</v>
      </c>
      <c r="B51" s="128">
        <v>83</v>
      </c>
      <c r="C51" s="264">
        <v>36804</v>
      </c>
      <c r="D51" s="133">
        <v>1.4964999999999999</v>
      </c>
      <c r="E51" s="264">
        <v>36804</v>
      </c>
      <c r="F51" s="128">
        <v>81.5</v>
      </c>
      <c r="G51" s="264">
        <v>36804</v>
      </c>
      <c r="H51" s="128">
        <v>45.0625</v>
      </c>
      <c r="I51" s="264">
        <v>36804</v>
      </c>
      <c r="J51" s="128">
        <v>1.971266288005346</v>
      </c>
      <c r="K51" s="264">
        <v>36804</v>
      </c>
      <c r="L51" s="128">
        <v>1.4099565653190778</v>
      </c>
      <c r="M51" s="264">
        <v>36804</v>
      </c>
      <c r="N51" s="128">
        <v>0.04</v>
      </c>
      <c r="O51" s="264">
        <v>36804</v>
      </c>
      <c r="P51" s="128">
        <v>8.0096474379452296</v>
      </c>
      <c r="Q51" s="264">
        <v>36804</v>
      </c>
      <c r="R51" s="128">
        <v>1.5828566677623843</v>
      </c>
      <c r="S51" s="264">
        <v>36804</v>
      </c>
      <c r="T51" s="128">
        <v>1.5828566677623848</v>
      </c>
      <c r="U51" s="264">
        <v>36804</v>
      </c>
      <c r="V51" s="128">
        <v>1.9378549949883062</v>
      </c>
      <c r="W51" s="264">
        <v>36804</v>
      </c>
      <c r="X51" s="128">
        <v>6.125</v>
      </c>
      <c r="Y51" s="264">
        <v>36804</v>
      </c>
      <c r="Z51" s="128">
        <v>9.375</v>
      </c>
      <c r="AE51" s="133"/>
      <c r="AI51" s="128"/>
    </row>
    <row r="52" spans="1:35" x14ac:dyDescent="0.25">
      <c r="A52" s="1">
        <v>36805</v>
      </c>
      <c r="B52" s="128">
        <v>81.625</v>
      </c>
      <c r="C52" s="264">
        <v>36805</v>
      </c>
      <c r="D52" s="133">
        <v>1.5004999999999999</v>
      </c>
      <c r="E52" s="264">
        <v>36805</v>
      </c>
      <c r="F52" s="128">
        <v>77.6875</v>
      </c>
      <c r="G52" s="264">
        <v>36805</v>
      </c>
      <c r="H52" s="128">
        <v>40.875</v>
      </c>
      <c r="I52" s="264">
        <v>36805</v>
      </c>
      <c r="J52" s="128">
        <v>1.9726757747417527</v>
      </c>
      <c r="K52" s="264">
        <v>36805</v>
      </c>
      <c r="L52" s="128">
        <v>1.3995334888370545</v>
      </c>
      <c r="M52" s="264">
        <v>36805</v>
      </c>
      <c r="N52" s="128">
        <v>0.04</v>
      </c>
      <c r="O52" s="264">
        <v>36805</v>
      </c>
      <c r="P52" s="128">
        <v>7.5118515285041045</v>
      </c>
      <c r="Q52" s="264">
        <v>36805</v>
      </c>
      <c r="R52" s="128">
        <v>1.5659120052214175</v>
      </c>
      <c r="S52" s="264">
        <v>36805</v>
      </c>
      <c r="T52" s="128">
        <v>1.5659120052214177</v>
      </c>
      <c r="U52" s="264">
        <v>36805</v>
      </c>
      <c r="V52" s="128">
        <v>1.9326891036321225</v>
      </c>
      <c r="W52" s="264">
        <v>36805</v>
      </c>
      <c r="X52" s="128">
        <v>5.875</v>
      </c>
      <c r="Y52" s="264">
        <v>36805</v>
      </c>
      <c r="Z52" s="128">
        <v>8.875</v>
      </c>
      <c r="AE52" s="133"/>
      <c r="AI52" s="128"/>
    </row>
    <row r="53" spans="1:35" x14ac:dyDescent="0.25">
      <c r="A53" s="1">
        <v>36808</v>
      </c>
      <c r="B53" s="128">
        <v>83</v>
      </c>
      <c r="C53" s="264">
        <v>36808</v>
      </c>
      <c r="D53" s="133">
        <v>1.5004999999999999</v>
      </c>
      <c r="E53" s="264">
        <v>36808</v>
      </c>
      <c r="F53" s="128">
        <v>77</v>
      </c>
      <c r="G53" s="264">
        <v>36808</v>
      </c>
      <c r="H53" s="128">
        <v>38</v>
      </c>
      <c r="I53" s="264">
        <v>36808</v>
      </c>
      <c r="J53" s="128">
        <v>1.9726757747417527</v>
      </c>
      <c r="K53" s="264">
        <v>36808</v>
      </c>
      <c r="L53" s="128">
        <v>1.3995334888370545</v>
      </c>
      <c r="M53" s="264">
        <v>36808</v>
      </c>
      <c r="N53" s="128">
        <v>4.4999999999999998E-2</v>
      </c>
      <c r="O53" s="264">
        <v>36808</v>
      </c>
      <c r="P53" s="128">
        <v>8.1179550569835524</v>
      </c>
      <c r="Q53" s="264">
        <v>36808</v>
      </c>
      <c r="R53" s="128">
        <v>1.4383654832453059</v>
      </c>
      <c r="S53" s="264">
        <v>36808</v>
      </c>
      <c r="T53" s="128">
        <v>1.4383654832453061</v>
      </c>
      <c r="U53" s="264">
        <v>36808</v>
      </c>
      <c r="V53" s="128">
        <v>1.9326891036321225</v>
      </c>
      <c r="W53" s="264">
        <v>36808</v>
      </c>
      <c r="X53" s="128">
        <v>6.25</v>
      </c>
      <c r="Y53" s="264">
        <v>36808</v>
      </c>
      <c r="Z53" s="128">
        <v>8.9375</v>
      </c>
      <c r="AE53" s="133"/>
      <c r="AI53" s="128"/>
    </row>
    <row r="54" spans="1:35" x14ac:dyDescent="0.25">
      <c r="A54" s="1">
        <v>36809</v>
      </c>
      <c r="B54" s="128">
        <v>81.688000000000002</v>
      </c>
      <c r="C54" s="264">
        <f>+E54</f>
        <v>36809</v>
      </c>
      <c r="D54" s="133">
        <v>1.4999</v>
      </c>
      <c r="E54" s="264">
        <v>36809</v>
      </c>
      <c r="F54" s="128">
        <v>69</v>
      </c>
      <c r="G54" s="264">
        <v>36809</v>
      </c>
      <c r="H54" s="128">
        <v>31.75</v>
      </c>
      <c r="I54" s="264">
        <v>36809</v>
      </c>
      <c r="J54" s="128">
        <v>1.9867991199413293</v>
      </c>
      <c r="K54" s="264">
        <v>36809</v>
      </c>
      <c r="L54" s="128">
        <v>1.4000933395559705</v>
      </c>
      <c r="M54" s="264">
        <v>36809</v>
      </c>
      <c r="N54" s="128">
        <v>4.6875E-2</v>
      </c>
      <c r="O54" s="264">
        <v>36809</v>
      </c>
      <c r="P54" s="128">
        <v>8.1150149025333747</v>
      </c>
      <c r="Q54" s="264">
        <v>36809</v>
      </c>
      <c r="R54" s="128">
        <v>1.7342490724924671</v>
      </c>
      <c r="S54" s="264">
        <v>36809</v>
      </c>
      <c r="T54" s="128">
        <v>1.7342490724924673</v>
      </c>
      <c r="U54" s="264">
        <v>36809</v>
      </c>
      <c r="V54" s="128">
        <v>1.9401293419561305</v>
      </c>
      <c r="W54" s="264">
        <v>36809</v>
      </c>
      <c r="X54" s="128">
        <v>6.125</v>
      </c>
      <c r="Y54" s="264">
        <v>36809</v>
      </c>
      <c r="Z54" s="128">
        <v>9</v>
      </c>
      <c r="AE54" s="133"/>
      <c r="AI54" s="128"/>
    </row>
    <row r="55" spans="1:35" x14ac:dyDescent="0.25">
      <c r="A55" s="1">
        <v>36810</v>
      </c>
      <c r="B55" s="128">
        <v>82.813000000000002</v>
      </c>
      <c r="C55" s="264">
        <v>36810</v>
      </c>
      <c r="D55" s="133">
        <v>1.5052000000000001</v>
      </c>
      <c r="E55" s="264">
        <v>36810</v>
      </c>
      <c r="F55" s="128">
        <v>78.8125</v>
      </c>
      <c r="G55" s="264">
        <v>36810</v>
      </c>
      <c r="H55" s="128">
        <v>31.875</v>
      </c>
      <c r="I55" s="264">
        <v>36810</v>
      </c>
      <c r="J55" s="128">
        <v>1.9532288068030825</v>
      </c>
      <c r="K55" s="264">
        <v>36810</v>
      </c>
      <c r="L55" s="128">
        <v>1.4018070688280626</v>
      </c>
      <c r="M55" s="264">
        <v>36810</v>
      </c>
      <c r="N55" s="128">
        <v>4.4999999999999998E-2</v>
      </c>
      <c r="O55" s="264">
        <v>36810</v>
      </c>
      <c r="P55" s="128">
        <v>8.5985421084141116</v>
      </c>
      <c r="Q55" s="264">
        <v>36810</v>
      </c>
      <c r="R55" s="128">
        <v>1.7640283578277933</v>
      </c>
      <c r="S55" s="264">
        <v>36810</v>
      </c>
      <c r="T55" s="128">
        <v>1.7640283578277935</v>
      </c>
      <c r="U55" s="264">
        <v>36810</v>
      </c>
      <c r="V55" s="128">
        <v>1.8602179112410309</v>
      </c>
      <c r="W55" s="264">
        <v>36810</v>
      </c>
      <c r="X55" s="128">
        <v>5.9375</v>
      </c>
      <c r="Y55" s="264">
        <v>36810</v>
      </c>
      <c r="Z55" s="128">
        <v>9.125</v>
      </c>
      <c r="AE55" s="133"/>
      <c r="AI55" s="128"/>
    </row>
    <row r="56" spans="1:35" x14ac:dyDescent="0.25">
      <c r="A56" s="1">
        <v>36811</v>
      </c>
      <c r="B56" s="128">
        <v>79.875</v>
      </c>
      <c r="C56" s="264">
        <v>36811</v>
      </c>
      <c r="D56" s="133">
        <v>1.5097</v>
      </c>
      <c r="E56" s="264">
        <v>36811</v>
      </c>
      <c r="F56" s="128">
        <v>76.5</v>
      </c>
      <c r="G56" s="264">
        <v>36811</v>
      </c>
      <c r="H56" s="128">
        <v>38.0625</v>
      </c>
      <c r="I56" s="264">
        <v>36811</v>
      </c>
      <c r="J56" s="128">
        <v>1.9474067695568655</v>
      </c>
      <c r="K56" s="264">
        <v>36811</v>
      </c>
      <c r="L56" s="128">
        <v>1.3976286679472743</v>
      </c>
      <c r="M56" s="264">
        <v>36811</v>
      </c>
      <c r="N56" s="128">
        <v>0.05</v>
      </c>
      <c r="O56" s="264">
        <v>36811</v>
      </c>
      <c r="P56" s="128">
        <v>9.3216382824494985</v>
      </c>
      <c r="Q56" s="264">
        <v>36811</v>
      </c>
      <c r="R56" s="128">
        <v>2.0708625549621424</v>
      </c>
      <c r="S56" s="264">
        <v>36811</v>
      </c>
      <c r="T56" s="128">
        <v>2.0708625549621424</v>
      </c>
      <c r="U56" s="264">
        <v>36811</v>
      </c>
      <c r="V56" s="128">
        <v>1.9871497648539445</v>
      </c>
      <c r="W56" s="264">
        <v>36811</v>
      </c>
      <c r="X56" s="128">
        <v>5.5</v>
      </c>
      <c r="Y56" s="264">
        <v>36811</v>
      </c>
      <c r="Z56" s="128">
        <v>9.75</v>
      </c>
      <c r="AE56" s="133"/>
      <c r="AI56" s="128"/>
    </row>
    <row r="57" spans="1:35" x14ac:dyDescent="0.25">
      <c r="A57" s="1">
        <v>36812</v>
      </c>
      <c r="B57" s="128">
        <v>79.5</v>
      </c>
      <c r="C57" s="264">
        <v>36812</v>
      </c>
      <c r="D57" s="133">
        <v>1.5078</v>
      </c>
      <c r="E57" s="264">
        <v>36812</v>
      </c>
      <c r="F57" s="128">
        <v>81</v>
      </c>
      <c r="G57" s="264">
        <v>36812</v>
      </c>
      <c r="H57" s="128">
        <v>45.25</v>
      </c>
      <c r="I57" s="264">
        <v>36812</v>
      </c>
      <c r="J57" s="128">
        <v>1.9498607242339832</v>
      </c>
      <c r="K57" s="264">
        <v>36812</v>
      </c>
      <c r="L57" s="128">
        <v>1.4060220188353894</v>
      </c>
      <c r="M57" s="264">
        <v>36812</v>
      </c>
      <c r="N57" s="128">
        <v>0.04</v>
      </c>
      <c r="O57" s="264">
        <v>36812</v>
      </c>
      <c r="P57" s="128">
        <v>8.5857704668200334</v>
      </c>
      <c r="Q57" s="264">
        <v>36812</v>
      </c>
      <c r="R57" s="128">
        <v>1.7045029719227713</v>
      </c>
      <c r="S57" s="264">
        <v>36812</v>
      </c>
      <c r="T57" s="128">
        <v>1.7045029719227716</v>
      </c>
      <c r="U57" s="264">
        <v>36812</v>
      </c>
      <c r="V57" s="128">
        <v>1.9564929035681125</v>
      </c>
      <c r="W57" s="264">
        <v>36812</v>
      </c>
      <c r="X57" s="128">
        <v>5.5</v>
      </c>
      <c r="Y57" s="264">
        <v>36812</v>
      </c>
      <c r="Z57" s="128">
        <v>9.5</v>
      </c>
      <c r="AE57" s="133"/>
      <c r="AI57" s="128"/>
    </row>
    <row r="58" spans="1:35" x14ac:dyDescent="0.25">
      <c r="A58" s="264">
        <v>36815</v>
      </c>
      <c r="B58" s="128">
        <v>80</v>
      </c>
      <c r="C58" s="264">
        <v>36815</v>
      </c>
      <c r="D58" s="133">
        <v>1.5195000000000001</v>
      </c>
      <c r="E58" s="264">
        <v>36815</v>
      </c>
      <c r="F58" s="128">
        <v>85.6875</v>
      </c>
      <c r="G58" s="264">
        <v>36815</v>
      </c>
      <c r="H58" s="128">
        <v>46.5</v>
      </c>
      <c r="I58" s="264">
        <v>36815</v>
      </c>
      <c r="J58" s="128">
        <v>1.9414281013491281</v>
      </c>
      <c r="K58" s="264">
        <v>36815</v>
      </c>
      <c r="L58" s="128">
        <v>1.3951957880881869</v>
      </c>
      <c r="M58" s="264">
        <v>36815</v>
      </c>
      <c r="N58" s="128">
        <v>4.9000000000000002E-2</v>
      </c>
      <c r="O58" s="264">
        <v>36815</v>
      </c>
      <c r="P58" s="128">
        <v>8.4069172697627099</v>
      </c>
      <c r="Q58" s="264">
        <v>36815</v>
      </c>
      <c r="R58" s="128">
        <v>1.5772032038743855</v>
      </c>
      <c r="S58" s="264">
        <v>36815</v>
      </c>
      <c r="T58" s="128">
        <v>1.5772032038743857</v>
      </c>
      <c r="U58" s="264">
        <v>36815</v>
      </c>
      <c r="V58" s="128">
        <v>1.9743336623889436</v>
      </c>
      <c r="W58" s="264">
        <v>36815</v>
      </c>
      <c r="X58" s="128">
        <v>5.5625</v>
      </c>
      <c r="Y58" s="264">
        <v>36815</v>
      </c>
      <c r="Z58" s="128">
        <v>9.5</v>
      </c>
      <c r="AE58" s="133"/>
      <c r="AI58" s="128"/>
    </row>
    <row r="59" spans="1:35" x14ac:dyDescent="0.25">
      <c r="A59" s="264">
        <v>36816</v>
      </c>
      <c r="B59" s="128">
        <v>79.188000000000002</v>
      </c>
      <c r="C59" s="264">
        <v>36816</v>
      </c>
      <c r="D59" s="133">
        <v>1.5195000000000001</v>
      </c>
      <c r="E59" s="264">
        <v>36816</v>
      </c>
      <c r="F59" s="128">
        <v>80.25</v>
      </c>
      <c r="G59" s="264">
        <v>36816</v>
      </c>
      <c r="H59" s="128">
        <v>39.875</v>
      </c>
      <c r="I59" s="264">
        <v>36816</v>
      </c>
      <c r="J59" s="128">
        <v>1.9611714379730174</v>
      </c>
      <c r="K59" s="264">
        <v>36816</v>
      </c>
      <c r="L59" s="128">
        <v>1.3951957880881869</v>
      </c>
      <c r="M59" s="264">
        <v>36816</v>
      </c>
      <c r="N59" s="128">
        <v>0.05</v>
      </c>
      <c r="O59" s="264">
        <v>36816</v>
      </c>
      <c r="P59" s="128">
        <v>8.2744213351827067</v>
      </c>
      <c r="Q59" s="264">
        <v>36816</v>
      </c>
      <c r="R59" s="128">
        <v>1.4857963967467092</v>
      </c>
      <c r="S59" s="264">
        <v>36816</v>
      </c>
      <c r="T59" s="128">
        <v>1.4857963967467094</v>
      </c>
      <c r="U59" s="264">
        <v>36816</v>
      </c>
      <c r="V59" s="128">
        <v>2.0401447844685752</v>
      </c>
      <c r="W59" s="264">
        <v>36816</v>
      </c>
      <c r="X59" s="128">
        <v>5.75</v>
      </c>
      <c r="Y59" s="264">
        <v>36816</v>
      </c>
      <c r="Z59" s="128">
        <v>9.4375</v>
      </c>
      <c r="AE59" s="133"/>
      <c r="AI59" s="128"/>
    </row>
    <row r="60" spans="1:35" x14ac:dyDescent="0.25">
      <c r="A60" s="264">
        <v>36817</v>
      </c>
      <c r="B60" s="128">
        <v>78.75</v>
      </c>
      <c r="C60" s="264">
        <v>36817</v>
      </c>
      <c r="D60" s="133">
        <v>1.516</v>
      </c>
      <c r="E60" s="264">
        <v>36817</v>
      </c>
      <c r="F60" s="128">
        <v>72</v>
      </c>
      <c r="G60" s="264">
        <v>36817</v>
      </c>
      <c r="H60" s="128">
        <v>37.125</v>
      </c>
      <c r="I60" s="264">
        <v>36817</v>
      </c>
      <c r="J60" s="128">
        <v>1.9525065963060686</v>
      </c>
      <c r="K60" s="264">
        <v>36817</v>
      </c>
      <c r="L60" s="128">
        <v>1.3984168865435356</v>
      </c>
      <c r="M60" s="264">
        <v>36817</v>
      </c>
      <c r="N60" s="128">
        <v>5.5E-2</v>
      </c>
      <c r="O60" s="264">
        <v>36817</v>
      </c>
      <c r="P60" s="128">
        <v>7.727198456418864</v>
      </c>
      <c r="Q60" s="264">
        <v>36817</v>
      </c>
      <c r="R60" s="128">
        <v>1.914272745469241</v>
      </c>
      <c r="S60" s="264">
        <v>36817</v>
      </c>
      <c r="T60" s="128">
        <v>1.9142727454692414</v>
      </c>
      <c r="U60" s="264">
        <v>36817</v>
      </c>
      <c r="V60" s="128">
        <v>2.0448548812664908</v>
      </c>
      <c r="W60" s="264">
        <v>36817</v>
      </c>
      <c r="X60" s="128">
        <v>5.625</v>
      </c>
      <c r="Y60" s="264">
        <v>36817</v>
      </c>
      <c r="Z60" s="128">
        <v>8.875</v>
      </c>
      <c r="AE60" s="133"/>
      <c r="AI60" s="128"/>
    </row>
    <row r="61" spans="1:35" x14ac:dyDescent="0.25">
      <c r="A61" s="264">
        <v>36818</v>
      </c>
      <c r="B61" s="128">
        <v>79</v>
      </c>
      <c r="C61" s="264">
        <v>36818</v>
      </c>
      <c r="D61" s="133">
        <v>1.5112000000000001</v>
      </c>
      <c r="E61" s="264">
        <v>36818</v>
      </c>
      <c r="F61" s="128">
        <v>65.25</v>
      </c>
      <c r="G61" s="264">
        <v>36818</v>
      </c>
      <c r="H61" s="128">
        <v>39.3125</v>
      </c>
      <c r="I61" s="264">
        <v>36818</v>
      </c>
      <c r="J61" s="128">
        <v>1.9785600847008999</v>
      </c>
      <c r="K61" s="264">
        <v>36818</v>
      </c>
      <c r="L61" s="128">
        <v>1.4028586553732134</v>
      </c>
      <c r="M61" s="264">
        <v>36818</v>
      </c>
      <c r="N61" s="128">
        <v>5.6000000000000001E-2</v>
      </c>
      <c r="O61" s="264">
        <v>36818</v>
      </c>
      <c r="P61" s="128">
        <v>7.0021410904302002</v>
      </c>
      <c r="Q61" s="264">
        <v>36818</v>
      </c>
      <c r="R61" s="128">
        <v>1.9143657908125191</v>
      </c>
      <c r="S61" s="264">
        <v>36818</v>
      </c>
      <c r="T61" s="128">
        <v>1.9143657908125191</v>
      </c>
      <c r="U61" s="264">
        <v>36818</v>
      </c>
      <c r="V61" s="128">
        <v>2.0381154049761778</v>
      </c>
      <c r="W61" s="264">
        <v>36818</v>
      </c>
      <c r="X61" s="128">
        <v>5.625</v>
      </c>
      <c r="Y61" s="264">
        <v>36818</v>
      </c>
      <c r="Z61" s="128">
        <v>9.5</v>
      </c>
      <c r="AE61" s="133"/>
      <c r="AI61" s="128"/>
    </row>
    <row r="62" spans="1:35" x14ac:dyDescent="0.25">
      <c r="A62" s="264">
        <v>36819</v>
      </c>
      <c r="B62" s="128">
        <v>80.5</v>
      </c>
      <c r="C62" s="264">
        <v>36819</v>
      </c>
      <c r="D62" s="133">
        <v>1.5122</v>
      </c>
      <c r="E62" s="264">
        <v>36819</v>
      </c>
      <c r="F62" s="128">
        <v>67.25</v>
      </c>
      <c r="G62" s="264">
        <v>36819</v>
      </c>
      <c r="H62" s="128">
        <v>40.5</v>
      </c>
      <c r="I62" s="264">
        <v>36819</v>
      </c>
      <c r="J62" s="128">
        <v>1.977251686284883</v>
      </c>
      <c r="K62" s="264">
        <v>36819</v>
      </c>
      <c r="L62" s="128">
        <v>1.4019309615130275</v>
      </c>
      <c r="M62" s="264">
        <v>36819</v>
      </c>
      <c r="N62" s="128">
        <v>0.05</v>
      </c>
      <c r="O62" s="264">
        <v>36819</v>
      </c>
      <c r="P62" s="128">
        <v>7.0012013687012926</v>
      </c>
      <c r="Q62" s="264">
        <v>36819</v>
      </c>
      <c r="R62" s="128">
        <v>1.866036530615832</v>
      </c>
      <c r="S62" s="264">
        <v>36819</v>
      </c>
      <c r="T62" s="128">
        <v>1.8660365306158322</v>
      </c>
      <c r="U62" s="264">
        <v>36819</v>
      </c>
      <c r="V62" s="128">
        <v>2.1161222060573999</v>
      </c>
      <c r="W62" s="264">
        <v>36819</v>
      </c>
      <c r="X62" s="128">
        <v>5.5</v>
      </c>
      <c r="Y62" s="264">
        <v>36819</v>
      </c>
      <c r="Z62" s="128">
        <v>9.4375</v>
      </c>
      <c r="AE62" s="133"/>
      <c r="AI62" s="128"/>
    </row>
    <row r="63" spans="1:35" x14ac:dyDescent="0.25">
      <c r="A63" s="264">
        <v>36822</v>
      </c>
      <c r="B63" s="128">
        <v>82</v>
      </c>
      <c r="C63" s="264">
        <v>36822</v>
      </c>
      <c r="D63" s="133">
        <v>1.5085</v>
      </c>
      <c r="E63" s="264">
        <v>36822</v>
      </c>
      <c r="F63" s="128">
        <v>68</v>
      </c>
      <c r="G63" s="264">
        <v>36822</v>
      </c>
      <c r="H63" s="128">
        <v>39.625</v>
      </c>
      <c r="I63" s="264">
        <v>36822</v>
      </c>
      <c r="J63" s="128">
        <v>1.9622141199867418</v>
      </c>
      <c r="K63" s="264">
        <v>36822</v>
      </c>
      <c r="L63" s="128">
        <v>1.4119986741796486</v>
      </c>
      <c r="M63" s="264">
        <v>36822</v>
      </c>
      <c r="N63" s="128">
        <v>4.8000000000000001E-2</v>
      </c>
      <c r="O63" s="264">
        <v>36822</v>
      </c>
      <c r="P63" s="128">
        <v>6.5127779878785352</v>
      </c>
      <c r="Q63" s="264">
        <v>36822</v>
      </c>
      <c r="R63" s="128">
        <v>1.8775090855798073</v>
      </c>
      <c r="S63" s="264">
        <v>36822</v>
      </c>
      <c r="T63" s="128">
        <v>1.8775090855798078</v>
      </c>
      <c r="U63" s="264">
        <v>36822</v>
      </c>
      <c r="V63" s="128">
        <v>2.0550215445807094</v>
      </c>
      <c r="W63" s="264">
        <v>36822</v>
      </c>
      <c r="X63" s="128">
        <v>5.5</v>
      </c>
      <c r="Y63" s="264">
        <v>36822</v>
      </c>
      <c r="Z63" s="128">
        <v>9.4375</v>
      </c>
      <c r="AE63" s="133"/>
      <c r="AI63" s="128"/>
    </row>
    <row r="64" spans="1:35" x14ac:dyDescent="0.25">
      <c r="A64" s="264">
        <v>36823</v>
      </c>
      <c r="B64" s="128">
        <v>80.1875</v>
      </c>
      <c r="C64" s="264">
        <v>36823</v>
      </c>
      <c r="D64" s="133">
        <v>1.5129999999999999</v>
      </c>
      <c r="E64" s="264">
        <v>36823</v>
      </c>
      <c r="F64" s="128">
        <f>62.875</f>
        <v>62.875</v>
      </c>
      <c r="G64" s="264">
        <v>36823</v>
      </c>
      <c r="H64" s="128">
        <v>47.125</v>
      </c>
      <c r="I64" s="264">
        <v>36823</v>
      </c>
      <c r="J64" s="128">
        <v>1.9828155981493722</v>
      </c>
      <c r="K64" s="264">
        <v>36823</v>
      </c>
      <c r="L64" s="128">
        <v>1.4011896893588898</v>
      </c>
      <c r="M64" s="264">
        <v>36823</v>
      </c>
      <c r="N64" s="128">
        <v>4.4999999999999998E-2</v>
      </c>
      <c r="O64" s="264">
        <v>36823</v>
      </c>
      <c r="P64" s="128">
        <v>6.1555252791989608</v>
      </c>
      <c r="Q64" s="264">
        <v>36823</v>
      </c>
      <c r="R64" s="128">
        <v>1.745664627101829</v>
      </c>
      <c r="S64" s="264">
        <v>36823</v>
      </c>
      <c r="T64" s="128">
        <v>1.745664627101829</v>
      </c>
      <c r="U64" s="264">
        <v>36823</v>
      </c>
      <c r="V64" s="128">
        <v>2.1810971579643095</v>
      </c>
      <c r="W64" s="264">
        <v>36823</v>
      </c>
      <c r="X64" s="128">
        <v>5.78125</v>
      </c>
      <c r="Y64" s="264">
        <v>36823</v>
      </c>
      <c r="Z64" s="128">
        <v>9.125</v>
      </c>
      <c r="AE64" s="133"/>
      <c r="AI64" s="128"/>
    </row>
    <row r="65" spans="1:35" x14ac:dyDescent="0.25">
      <c r="A65" s="264">
        <v>36824</v>
      </c>
      <c r="B65" s="128">
        <v>76.125</v>
      </c>
      <c r="C65" s="264">
        <v>36824</v>
      </c>
      <c r="D65" s="133">
        <v>1.5185</v>
      </c>
      <c r="E65" s="264">
        <v>36824</v>
      </c>
      <c r="F65" s="128">
        <v>51.75</v>
      </c>
      <c r="G65" s="264">
        <v>36824</v>
      </c>
      <c r="H65" s="128">
        <v>41.875</v>
      </c>
      <c r="I65" s="264">
        <v>36824</v>
      </c>
      <c r="J65" s="128">
        <v>1.975633849193283</v>
      </c>
      <c r="K65" s="264">
        <v>36824</v>
      </c>
      <c r="L65" s="128">
        <v>1.4027000329272308</v>
      </c>
      <c r="M65" s="264">
        <v>36824</v>
      </c>
      <c r="N65" s="128">
        <v>4.4999999999999998E-2</v>
      </c>
      <c r="O65" s="264">
        <v>36824</v>
      </c>
      <c r="P65" s="128">
        <v>5.7438166854938686</v>
      </c>
      <c r="Q65" s="264">
        <v>36824</v>
      </c>
      <c r="R65" s="128">
        <v>1.9285620858106052</v>
      </c>
      <c r="S65" s="264">
        <v>36824</v>
      </c>
      <c r="T65" s="128">
        <v>1.9285620858106054</v>
      </c>
      <c r="U65" s="264">
        <v>36824</v>
      </c>
      <c r="V65" s="128">
        <v>2.2390516957523872</v>
      </c>
      <c r="W65" s="264">
        <v>36824</v>
      </c>
      <c r="X65" s="128">
        <v>5.5</v>
      </c>
      <c r="Y65" s="264">
        <v>36824</v>
      </c>
      <c r="Z65" s="128">
        <v>8.8125</v>
      </c>
      <c r="AE65" s="133"/>
      <c r="AI65" s="128"/>
    </row>
    <row r="66" spans="1:35" x14ac:dyDescent="0.25">
      <c r="A66" s="264">
        <v>36825</v>
      </c>
      <c r="B66" s="128">
        <v>77.5</v>
      </c>
      <c r="C66" s="264">
        <v>36825</v>
      </c>
      <c r="D66" s="133">
        <v>1.5235000000000001</v>
      </c>
      <c r="E66" s="264">
        <v>36825</v>
      </c>
      <c r="F66" s="128">
        <v>44.125</v>
      </c>
      <c r="G66" s="264">
        <v>36825</v>
      </c>
      <c r="H66" s="128">
        <v>41.9375</v>
      </c>
      <c r="I66" s="264">
        <v>36825</v>
      </c>
      <c r="J66" s="128">
        <v>1.9494584837545126</v>
      </c>
      <c r="K66" s="264">
        <v>36825</v>
      </c>
      <c r="L66" s="128">
        <v>1.3980964883491958</v>
      </c>
      <c r="M66" s="264">
        <v>36825</v>
      </c>
      <c r="N66" s="128">
        <v>7.015625</v>
      </c>
      <c r="O66" s="264">
        <v>36825</v>
      </c>
      <c r="P66" s="128">
        <v>6.1612067958923262</v>
      </c>
      <c r="Q66" s="264">
        <v>36825</v>
      </c>
      <c r="R66" s="128">
        <v>1.4756079801316007</v>
      </c>
      <c r="S66" s="264">
        <v>36825</v>
      </c>
      <c r="T66" s="128">
        <v>1.4756079801316011</v>
      </c>
      <c r="U66" s="264">
        <v>36825</v>
      </c>
      <c r="V66" s="128">
        <v>1.9691499835904167</v>
      </c>
      <c r="W66" s="264">
        <v>36825</v>
      </c>
      <c r="X66" s="128">
        <v>5.75</v>
      </c>
      <c r="Y66" s="264">
        <v>36825</v>
      </c>
      <c r="Z66" s="128">
        <v>8.375</v>
      </c>
      <c r="AE66" s="133"/>
      <c r="AI66" s="128"/>
    </row>
    <row r="67" spans="1:35" x14ac:dyDescent="0.25">
      <c r="A67" s="264">
        <v>36826</v>
      </c>
      <c r="B67" s="128">
        <v>78.875</v>
      </c>
      <c r="C67" s="264">
        <v>36826</v>
      </c>
      <c r="D67" s="133">
        <v>1.5289999999999999</v>
      </c>
      <c r="E67" s="264">
        <v>36826</v>
      </c>
      <c r="F67" s="128">
        <v>45.375</v>
      </c>
      <c r="G67" s="264">
        <v>36826</v>
      </c>
      <c r="H67" s="128">
        <v>40.5</v>
      </c>
      <c r="I67" s="264">
        <v>36826</v>
      </c>
      <c r="J67" s="128">
        <v>1.9620667102681493</v>
      </c>
      <c r="K67" s="264">
        <v>36826</v>
      </c>
      <c r="L67" s="128">
        <v>1.3930673642903859</v>
      </c>
      <c r="M67" s="264">
        <v>36826</v>
      </c>
      <c r="N67" s="128">
        <v>7.125</v>
      </c>
      <c r="O67" s="264">
        <v>36826</v>
      </c>
      <c r="P67" s="128">
        <v>6.6447488453282126</v>
      </c>
      <c r="Q67" s="264">
        <v>36826</v>
      </c>
      <c r="R67" s="128">
        <v>1.3597452474216862</v>
      </c>
      <c r="S67" s="264">
        <v>36826</v>
      </c>
      <c r="T67" s="128">
        <v>1.3597452474216865</v>
      </c>
      <c r="U67" s="264">
        <v>36826</v>
      </c>
      <c r="V67" s="128">
        <v>2.0928711576193595</v>
      </c>
      <c r="W67" s="264">
        <v>36826</v>
      </c>
      <c r="X67" s="128">
        <v>5.25</v>
      </c>
      <c r="Y67" s="264">
        <v>36826</v>
      </c>
      <c r="Z67" s="128">
        <v>7.875</v>
      </c>
      <c r="AE67" s="133"/>
      <c r="AI67" s="128"/>
    </row>
    <row r="68" spans="1:35" x14ac:dyDescent="0.25">
      <c r="A68" s="264">
        <v>36829</v>
      </c>
      <c r="B68" s="128">
        <v>80.688000000000002</v>
      </c>
      <c r="C68" s="264">
        <v>36829</v>
      </c>
      <c r="D68" s="133">
        <v>1.53</v>
      </c>
      <c r="E68" s="264">
        <v>36829</v>
      </c>
      <c r="F68" s="128">
        <v>40</v>
      </c>
      <c r="G68" s="264">
        <v>36829</v>
      </c>
      <c r="H68" s="128">
        <v>36</v>
      </c>
      <c r="I68" s="264">
        <v>36829</v>
      </c>
      <c r="J68" s="128">
        <v>1.9607843137254901</v>
      </c>
      <c r="K68" s="264">
        <v>36829</v>
      </c>
      <c r="L68" s="128">
        <v>1.392156862745098</v>
      </c>
      <c r="M68" s="264">
        <v>36829</v>
      </c>
      <c r="N68" s="128">
        <v>7.25</v>
      </c>
      <c r="O68" s="264">
        <v>36829</v>
      </c>
      <c r="P68" s="128">
        <v>6.5229353376158725</v>
      </c>
      <c r="Q68" s="264">
        <v>36829</v>
      </c>
      <c r="R68" s="128">
        <v>1.553353027912538</v>
      </c>
      <c r="S68" s="264">
        <v>36829</v>
      </c>
      <c r="T68" s="128">
        <v>1.5533530279125383</v>
      </c>
      <c r="U68" s="264">
        <v>36829</v>
      </c>
      <c r="V68" s="128">
        <v>2.0261437908496731</v>
      </c>
      <c r="W68" s="264">
        <v>36829</v>
      </c>
      <c r="X68" s="128">
        <v>5.25</v>
      </c>
      <c r="Y68" s="264">
        <v>36829</v>
      </c>
      <c r="Z68" s="128">
        <v>7.75</v>
      </c>
      <c r="AE68" s="133"/>
      <c r="AI68" s="128"/>
    </row>
    <row r="69" spans="1:35" x14ac:dyDescent="0.25">
      <c r="A69" s="264">
        <v>36830</v>
      </c>
      <c r="B69" s="128">
        <v>82.063000000000002</v>
      </c>
      <c r="C69" s="264">
        <v>36830</v>
      </c>
      <c r="D69" s="133">
        <v>1.5122952380952399</v>
      </c>
      <c r="E69" s="264">
        <v>36830</v>
      </c>
      <c r="F69" s="128">
        <v>43.375</v>
      </c>
      <c r="G69" s="264">
        <v>36830</v>
      </c>
      <c r="H69" s="128">
        <v>38.125</v>
      </c>
      <c r="I69" s="264">
        <v>36830</v>
      </c>
      <c r="J69" s="128">
        <v>1.9837396325988248</v>
      </c>
      <c r="K69" s="264">
        <v>36830</v>
      </c>
      <c r="L69" s="128">
        <v>1.4150676045871617</v>
      </c>
      <c r="M69" s="264">
        <v>36830</v>
      </c>
      <c r="N69" s="128">
        <v>7</v>
      </c>
      <c r="O69" s="264">
        <v>36830</v>
      </c>
      <c r="P69" s="128">
        <v>6.5224567535726283</v>
      </c>
      <c r="Q69" s="264">
        <v>36830</v>
      </c>
      <c r="R69" s="128">
        <v>1.8071015449845458</v>
      </c>
      <c r="S69" s="264">
        <v>36830</v>
      </c>
      <c r="T69" s="128">
        <v>1.807101544984546</v>
      </c>
      <c r="U69" s="264">
        <v>36830</v>
      </c>
      <c r="V69" s="128">
        <v>1.9837396325988248</v>
      </c>
      <c r="W69" s="264">
        <v>36830</v>
      </c>
      <c r="X69" s="128">
        <v>5.375</v>
      </c>
      <c r="Y69" s="264">
        <v>36830</v>
      </c>
      <c r="Z69" s="128">
        <v>7.75</v>
      </c>
      <c r="AE69" s="133"/>
      <c r="AI69" s="128"/>
    </row>
    <row r="70" spans="1:35" x14ac:dyDescent="0.25">
      <c r="A70" s="264">
        <v>36831</v>
      </c>
      <c r="B70" s="128">
        <v>83.25</v>
      </c>
      <c r="C70" s="264">
        <v>36831</v>
      </c>
      <c r="D70" s="133">
        <v>1.5331999999999999</v>
      </c>
      <c r="E70" s="264">
        <v>36831</v>
      </c>
      <c r="F70" s="128">
        <v>39.9375</v>
      </c>
      <c r="G70" s="264">
        <v>36831</v>
      </c>
      <c r="H70" s="128">
        <v>36.875</v>
      </c>
      <c r="I70" s="264">
        <v>36831</v>
      </c>
      <c r="J70" s="128">
        <v>1.9566918862509786</v>
      </c>
      <c r="K70" s="264">
        <v>36831</v>
      </c>
      <c r="L70" s="128">
        <v>1.4022958518132012</v>
      </c>
      <c r="M70" s="264">
        <v>36831</v>
      </c>
      <c r="N70" s="128">
        <v>7.125</v>
      </c>
      <c r="O70" s="264">
        <v>36831</v>
      </c>
      <c r="P70" s="128">
        <v>6.9994077297698452</v>
      </c>
      <c r="Q70" s="264">
        <v>36831</v>
      </c>
      <c r="R70" s="128">
        <v>1.7555417194104583</v>
      </c>
      <c r="S70" s="264">
        <v>36831</v>
      </c>
      <c r="T70" s="128">
        <v>1.7555417194104588</v>
      </c>
      <c r="U70" s="264">
        <v>36831</v>
      </c>
      <c r="V70" s="128">
        <v>1.8914688233759458</v>
      </c>
      <c r="W70" s="264">
        <v>36831</v>
      </c>
      <c r="X70" s="128">
        <v>5.875</v>
      </c>
      <c r="Y70" s="264">
        <v>36831</v>
      </c>
      <c r="Z70" s="128">
        <v>8.3125</v>
      </c>
      <c r="AE70" s="133"/>
      <c r="AI70" s="128"/>
    </row>
    <row r="71" spans="1:35" x14ac:dyDescent="0.25">
      <c r="A71" s="264">
        <v>36832</v>
      </c>
      <c r="B71" s="128">
        <v>81.75</v>
      </c>
      <c r="C71" s="264">
        <v>36832</v>
      </c>
      <c r="D71" s="133">
        <v>1.5309999999999999</v>
      </c>
      <c r="E71" s="264">
        <v>36832</v>
      </c>
      <c r="F71" s="128">
        <v>45.875</v>
      </c>
      <c r="G71" s="264">
        <v>36832</v>
      </c>
      <c r="H71" s="128">
        <v>33.875</v>
      </c>
      <c r="I71" s="264">
        <v>36832</v>
      </c>
      <c r="J71" s="128">
        <v>1.9595035924232529</v>
      </c>
      <c r="K71" s="264">
        <v>36832</v>
      </c>
      <c r="L71" s="128">
        <v>1.4043109079033311</v>
      </c>
      <c r="M71" s="264">
        <v>36832</v>
      </c>
      <c r="N71" s="128">
        <v>7</v>
      </c>
      <c r="O71" s="264">
        <v>36832</v>
      </c>
      <c r="P71" s="128">
        <v>6.997660747558375</v>
      </c>
      <c r="Q71" s="264">
        <v>36832</v>
      </c>
      <c r="R71" s="128">
        <v>1.6027809623899234</v>
      </c>
      <c r="S71" s="264">
        <v>36832</v>
      </c>
      <c r="T71" s="128">
        <v>1.6027809623899238</v>
      </c>
      <c r="U71" s="264">
        <v>36832</v>
      </c>
      <c r="V71" s="128">
        <v>1.8615284128020904</v>
      </c>
      <c r="W71" s="264">
        <v>36832</v>
      </c>
      <c r="X71" s="128">
        <v>5.625</v>
      </c>
      <c r="Y71" s="264">
        <v>36832</v>
      </c>
      <c r="Z71" s="128">
        <v>8.5625</v>
      </c>
      <c r="AE71" s="133"/>
      <c r="AI71" s="128"/>
    </row>
    <row r="72" spans="1:35" x14ac:dyDescent="0.25">
      <c r="A72" s="264">
        <v>36833</v>
      </c>
      <c r="B72" s="128">
        <v>77.375</v>
      </c>
      <c r="C72" s="264">
        <v>36833</v>
      </c>
      <c r="D72" s="133">
        <v>1.532</v>
      </c>
      <c r="E72" s="264">
        <v>36833</v>
      </c>
      <c r="F72" s="128">
        <v>50.5</v>
      </c>
      <c r="G72" s="264">
        <v>36833</v>
      </c>
      <c r="H72" s="128">
        <v>31</v>
      </c>
      <c r="I72" s="264">
        <v>36833</v>
      </c>
      <c r="J72" s="128">
        <v>1.95822454308094</v>
      </c>
      <c r="K72" s="264">
        <v>36833</v>
      </c>
      <c r="L72" s="128">
        <v>1.3968668407310705</v>
      </c>
      <c r="M72" s="264">
        <v>36833</v>
      </c>
      <c r="N72" s="128">
        <v>7.0625</v>
      </c>
      <c r="O72" s="264">
        <v>36833</v>
      </c>
      <c r="P72" s="128">
        <v>6.7048564566785398</v>
      </c>
      <c r="Q72" s="264">
        <v>36833</v>
      </c>
      <c r="R72" s="128">
        <v>1.8925239113689141</v>
      </c>
      <c r="S72" s="264">
        <v>36833</v>
      </c>
      <c r="T72" s="128">
        <v>1.8925239113689143</v>
      </c>
      <c r="U72" s="264">
        <v>36833</v>
      </c>
      <c r="V72" s="128">
        <v>1.95822454308094</v>
      </c>
      <c r="W72" s="264">
        <v>36833</v>
      </c>
      <c r="X72" s="128">
        <v>5.875</v>
      </c>
      <c r="Y72" s="264">
        <v>36833</v>
      </c>
      <c r="Z72" s="128">
        <v>9.5</v>
      </c>
      <c r="AE72" s="133"/>
      <c r="AI72" s="128"/>
    </row>
    <row r="73" spans="1:35" x14ac:dyDescent="0.25">
      <c r="A73" s="264">
        <v>36836</v>
      </c>
      <c r="B73" s="128">
        <v>81.563000000000002</v>
      </c>
      <c r="C73" s="264">
        <v>36836</v>
      </c>
      <c r="D73" s="133">
        <v>1.53</v>
      </c>
      <c r="E73" s="264">
        <v>36836</v>
      </c>
      <c r="F73" s="128">
        <v>45.125</v>
      </c>
      <c r="G73" s="264">
        <v>36836</v>
      </c>
      <c r="H73" s="128">
        <v>28.5</v>
      </c>
      <c r="I73" s="264">
        <v>36836</v>
      </c>
      <c r="J73" s="128">
        <v>1.9607843137254901</v>
      </c>
      <c r="K73" s="264">
        <v>36836</v>
      </c>
      <c r="L73" s="128">
        <v>1.34640522875817</v>
      </c>
      <c r="M73" s="264">
        <v>36836</v>
      </c>
      <c r="N73" s="128">
        <v>7</v>
      </c>
      <c r="O73" s="264">
        <v>36836</v>
      </c>
      <c r="P73" s="128">
        <v>7.4928186714348923</v>
      </c>
      <c r="Q73" s="264">
        <v>36836</v>
      </c>
      <c r="R73" s="128">
        <v>1.4437812769695648</v>
      </c>
      <c r="S73" s="264">
        <v>36836</v>
      </c>
      <c r="T73" s="128">
        <v>1.443781276969565</v>
      </c>
      <c r="U73" s="264">
        <v>36836</v>
      </c>
      <c r="V73" s="128">
        <v>2.0261437908496731</v>
      </c>
      <c r="W73" s="264">
        <v>36836</v>
      </c>
      <c r="X73" s="128">
        <v>5.875</v>
      </c>
      <c r="Y73" s="264">
        <v>36836</v>
      </c>
      <c r="Z73" s="128">
        <v>9</v>
      </c>
      <c r="AE73" s="133"/>
      <c r="AI73" s="128"/>
    </row>
    <row r="74" spans="1:35" x14ac:dyDescent="0.25">
      <c r="A74" s="264">
        <v>36837</v>
      </c>
      <c r="B74" s="128">
        <v>81.813000000000002</v>
      </c>
      <c r="C74" s="264">
        <v>36837</v>
      </c>
      <c r="D74" s="133">
        <v>1.5331999999999999</v>
      </c>
      <c r="E74" s="264">
        <v>36837</v>
      </c>
      <c r="F74" s="128">
        <v>47.6875</v>
      </c>
      <c r="G74" s="264">
        <v>36837</v>
      </c>
      <c r="H74" s="128">
        <v>27.4375</v>
      </c>
      <c r="I74" s="264">
        <v>36837</v>
      </c>
      <c r="J74" s="128">
        <v>1.9566918862509786</v>
      </c>
      <c r="K74" s="264">
        <v>36837</v>
      </c>
      <c r="L74" s="128">
        <v>1.369684320375685</v>
      </c>
      <c r="M74" s="264">
        <v>36837</v>
      </c>
      <c r="N74" s="128">
        <v>7.03125</v>
      </c>
      <c r="O74" s="264">
        <v>36837</v>
      </c>
      <c r="P74" s="128">
        <v>7.1287076732268897</v>
      </c>
      <c r="Q74" s="264">
        <v>36837</v>
      </c>
      <c r="R74" s="128">
        <v>1.583818345858016</v>
      </c>
      <c r="S74" s="264">
        <v>36837</v>
      </c>
      <c r="T74" s="128">
        <v>1.583818345858016</v>
      </c>
      <c r="U74" s="264">
        <v>36837</v>
      </c>
      <c r="V74" s="128">
        <v>1.9045134359509523</v>
      </c>
      <c r="W74" s="264">
        <v>36837</v>
      </c>
      <c r="X74" s="128">
        <v>5.875</v>
      </c>
      <c r="Y74" s="264">
        <v>36837</v>
      </c>
      <c r="Z74" s="128">
        <v>9.125</v>
      </c>
      <c r="AE74" s="133"/>
      <c r="AI74" s="128"/>
    </row>
    <row r="75" spans="1:35" x14ac:dyDescent="0.25">
      <c r="A75" s="264">
        <v>36838</v>
      </c>
      <c r="B75" s="128">
        <v>82.125</v>
      </c>
      <c r="C75" s="264">
        <v>36838</v>
      </c>
      <c r="D75" s="133">
        <v>1.54</v>
      </c>
      <c r="E75" s="264">
        <v>36838</v>
      </c>
      <c r="F75" s="128">
        <v>44.015625</v>
      </c>
      <c r="G75" s="264">
        <v>36838</v>
      </c>
      <c r="H75" s="128">
        <v>26</v>
      </c>
      <c r="I75" s="264">
        <v>36838</v>
      </c>
      <c r="J75" s="128">
        <v>1.948051948051948</v>
      </c>
      <c r="K75" s="264">
        <v>36838</v>
      </c>
      <c r="L75" s="128">
        <v>1.383116883116883</v>
      </c>
      <c r="M75" s="264">
        <v>36838</v>
      </c>
      <c r="N75" s="128">
        <v>7</v>
      </c>
      <c r="O75" s="264">
        <v>36838</v>
      </c>
      <c r="P75" s="128">
        <v>7.0071778604253341</v>
      </c>
      <c r="Q75" s="264">
        <v>36838</v>
      </c>
      <c r="R75" s="128">
        <v>1.7522777886635528</v>
      </c>
      <c r="S75" s="264">
        <v>36838</v>
      </c>
      <c r="T75" s="128">
        <v>1.7522777886635528</v>
      </c>
      <c r="U75" s="264">
        <v>36838</v>
      </c>
      <c r="V75" s="128">
        <v>2.0129870129870131</v>
      </c>
      <c r="W75" s="264">
        <v>36838</v>
      </c>
      <c r="X75" s="128">
        <v>5.65625</v>
      </c>
      <c r="Y75" s="264">
        <v>36838</v>
      </c>
      <c r="Z75" s="128">
        <v>9.25</v>
      </c>
      <c r="AE75" s="133"/>
      <c r="AI75" s="128"/>
    </row>
    <row r="76" spans="1:35" x14ac:dyDescent="0.25">
      <c r="A76" s="264">
        <v>36839</v>
      </c>
      <c r="B76" s="128">
        <v>82.938000000000002</v>
      </c>
      <c r="C76" s="264">
        <v>36839</v>
      </c>
      <c r="D76" s="133">
        <v>1.548</v>
      </c>
      <c r="E76" s="264">
        <v>36839</v>
      </c>
      <c r="F76" s="128">
        <v>44.875</v>
      </c>
      <c r="G76" s="264">
        <v>36839</v>
      </c>
      <c r="H76" s="128">
        <v>23.375</v>
      </c>
      <c r="I76" s="264">
        <v>36839</v>
      </c>
      <c r="J76" s="128">
        <v>1.9379844961240309</v>
      </c>
      <c r="K76" s="264">
        <v>36839</v>
      </c>
      <c r="L76" s="128">
        <v>1.363049095607235</v>
      </c>
      <c r="M76" s="264">
        <v>36839</v>
      </c>
      <c r="N76" s="128">
        <v>7.0625</v>
      </c>
      <c r="O76" s="264">
        <v>36839</v>
      </c>
      <c r="P76" s="128">
        <v>7.0065392882844399</v>
      </c>
      <c r="Q76" s="264">
        <v>36839</v>
      </c>
      <c r="R76" s="128">
        <v>1.7720101180633034</v>
      </c>
      <c r="S76" s="264">
        <v>36839</v>
      </c>
      <c r="T76" s="128">
        <v>1.7720101180633037</v>
      </c>
      <c r="U76" s="264">
        <v>36839</v>
      </c>
      <c r="V76" s="128">
        <v>1.905684754521964</v>
      </c>
      <c r="W76" s="264">
        <v>36839</v>
      </c>
      <c r="X76" s="128">
        <v>5.75</v>
      </c>
      <c r="Y76" s="264">
        <v>36839</v>
      </c>
      <c r="Z76" s="128">
        <v>8.8125</v>
      </c>
      <c r="AE76" s="133"/>
      <c r="AI76" s="128"/>
    </row>
    <row r="77" spans="1:35" x14ac:dyDescent="0.25">
      <c r="A77" s="264">
        <v>36840</v>
      </c>
      <c r="B77" s="128">
        <f>82+0.9375</f>
        <v>82.9375</v>
      </c>
      <c r="C77" s="264">
        <v>36840</v>
      </c>
      <c r="D77" s="133">
        <v>1.5411999999999999</v>
      </c>
      <c r="E77" s="264">
        <v>36840</v>
      </c>
      <c r="F77" s="128">
        <v>41.25</v>
      </c>
      <c r="G77" s="264">
        <v>36840</v>
      </c>
      <c r="H77" s="128">
        <v>20.5625</v>
      </c>
      <c r="I77" s="264">
        <v>36840</v>
      </c>
      <c r="J77" s="128">
        <f>+J76</f>
        <v>1.9379844961240309</v>
      </c>
      <c r="K77" s="264">
        <v>36840</v>
      </c>
      <c r="L77" s="128">
        <v>1.3885284194134442</v>
      </c>
      <c r="M77" s="264">
        <v>36840</v>
      </c>
      <c r="N77" s="128">
        <v>7</v>
      </c>
      <c r="O77" s="264">
        <v>36840</v>
      </c>
      <c r="P77" s="128">
        <v>6.756858773401679</v>
      </c>
      <c r="Q77" s="264">
        <v>36840</v>
      </c>
      <c r="R77" s="128">
        <v>1.7841097451449277</v>
      </c>
      <c r="S77" s="264">
        <v>36840</v>
      </c>
      <c r="T77" s="128">
        <v>1.7841097451449279</v>
      </c>
      <c r="U77" s="264">
        <v>36840</v>
      </c>
      <c r="V77" s="128">
        <v>1.9140929146119909</v>
      </c>
      <c r="W77" s="264">
        <v>36840</v>
      </c>
      <c r="X77" s="128">
        <v>5.75</v>
      </c>
      <c r="Y77" s="264">
        <v>36840</v>
      </c>
      <c r="Z77" s="128">
        <v>9.125</v>
      </c>
      <c r="AE77" s="133"/>
      <c r="AI77" s="128"/>
    </row>
    <row r="78" spans="1:35" x14ac:dyDescent="0.25">
      <c r="A78" s="264">
        <v>36843</v>
      </c>
      <c r="B78" s="128">
        <v>79.438000000000002</v>
      </c>
      <c r="C78" s="264">
        <v>36843</v>
      </c>
      <c r="D78" s="133">
        <v>1.5429999999999999</v>
      </c>
      <c r="E78" s="264">
        <v>36843</v>
      </c>
      <c r="F78" s="128">
        <v>39.6875</v>
      </c>
      <c r="G78" s="264">
        <v>36843</v>
      </c>
      <c r="H78" s="128">
        <v>20</v>
      </c>
      <c r="I78" s="264">
        <v>36843</v>
      </c>
      <c r="J78" s="128">
        <f>+J77</f>
        <v>1.9379844961240309</v>
      </c>
      <c r="K78" s="264">
        <v>36843</v>
      </c>
      <c r="L78" s="128">
        <v>1.386908619572262</v>
      </c>
      <c r="M78" s="264">
        <v>36843</v>
      </c>
      <c r="N78" s="128">
        <v>7.0625</v>
      </c>
      <c r="O78" s="264">
        <v>36843</v>
      </c>
      <c r="P78" s="128">
        <v>6.8717659724566627</v>
      </c>
      <c r="Q78" s="264">
        <v>36843</v>
      </c>
      <c r="R78" s="128">
        <v>1.6451220710228229</v>
      </c>
      <c r="S78" s="264">
        <v>36843</v>
      </c>
      <c r="T78" s="128">
        <v>1.6451220710228232</v>
      </c>
      <c r="U78" s="264">
        <v>36843</v>
      </c>
      <c r="V78" s="128">
        <v>1.879455605962411</v>
      </c>
      <c r="W78" s="264">
        <v>36843</v>
      </c>
      <c r="X78" s="128">
        <v>5.75</v>
      </c>
      <c r="Y78" s="264">
        <v>36843</v>
      </c>
      <c r="Z78" s="128">
        <v>8.8125</v>
      </c>
      <c r="AE78" s="133"/>
      <c r="AI78" s="128"/>
    </row>
    <row r="79" spans="1:35" x14ac:dyDescent="0.25">
      <c r="A79" s="264">
        <v>36844</v>
      </c>
      <c r="B79" s="128">
        <v>79.563000000000002</v>
      </c>
      <c r="C79" s="264">
        <v>36844</v>
      </c>
      <c r="D79" s="133">
        <v>1.5445</v>
      </c>
      <c r="E79" s="264">
        <v>36844</v>
      </c>
      <c r="F79" s="128">
        <v>43</v>
      </c>
      <c r="G79" s="264">
        <v>36844</v>
      </c>
      <c r="H79" s="128">
        <v>22.875</v>
      </c>
      <c r="I79" s="264">
        <v>36844</v>
      </c>
      <c r="J79" s="128">
        <v>1.9229524117837489</v>
      </c>
      <c r="K79" s="264">
        <v>36844</v>
      </c>
      <c r="L79" s="128">
        <v>1.3855616704435094</v>
      </c>
      <c r="M79" s="264">
        <v>36844</v>
      </c>
      <c r="N79" s="128">
        <v>7.0625</v>
      </c>
      <c r="O79" s="264">
        <v>36844</v>
      </c>
      <c r="P79" s="128">
        <v>6.9321352961034011</v>
      </c>
      <c r="Q79" s="264">
        <v>36844</v>
      </c>
      <c r="R79" s="128">
        <v>1.6868108532553008</v>
      </c>
      <c r="S79" s="264">
        <v>36844</v>
      </c>
      <c r="T79" s="128">
        <v>1.686810853255301</v>
      </c>
      <c r="U79" s="264">
        <v>36844</v>
      </c>
      <c r="V79" s="128">
        <v>1.8776303010683069</v>
      </c>
      <c r="W79" s="264">
        <v>36844</v>
      </c>
      <c r="X79" s="128">
        <v>5.3125</v>
      </c>
      <c r="Y79" s="264">
        <v>36844</v>
      </c>
      <c r="Z79" s="128">
        <v>8.875</v>
      </c>
      <c r="AE79" s="133"/>
      <c r="AI79" s="128"/>
    </row>
    <row r="80" spans="1:35" x14ac:dyDescent="0.25">
      <c r="A80" s="264">
        <v>36845</v>
      </c>
      <c r="B80" s="128">
        <v>80.375</v>
      </c>
      <c r="C80" s="264">
        <v>36845</v>
      </c>
      <c r="D80" s="133">
        <v>1.5529999999999999</v>
      </c>
      <c r="E80" s="264">
        <v>36845</v>
      </c>
      <c r="F80" s="128">
        <v>40.4375</v>
      </c>
      <c r="G80" s="264">
        <v>36845</v>
      </c>
      <c r="H80" s="128">
        <v>20.375</v>
      </c>
      <c r="I80" s="264">
        <v>36845</v>
      </c>
      <c r="J80" s="128">
        <v>1.9124275595621381</v>
      </c>
      <c r="K80" s="264">
        <v>36845</v>
      </c>
      <c r="L80" s="128">
        <v>1.3779781068898906</v>
      </c>
      <c r="M80" s="264">
        <v>36845</v>
      </c>
      <c r="N80" s="128">
        <v>7.0625</v>
      </c>
      <c r="O80" s="264">
        <v>36845</v>
      </c>
      <c r="P80" s="128">
        <v>7.2291544809746489</v>
      </c>
      <c r="Q80" s="264">
        <v>36845</v>
      </c>
      <c r="R80" s="128">
        <v>1.6600363531160085</v>
      </c>
      <c r="S80" s="264">
        <v>36845</v>
      </c>
      <c r="T80" s="128">
        <v>1.6600363531160087</v>
      </c>
      <c r="U80" s="264">
        <v>36845</v>
      </c>
      <c r="V80" s="128">
        <v>1.80296200901481</v>
      </c>
      <c r="W80" s="264">
        <v>36845</v>
      </c>
      <c r="X80" s="128">
        <v>5.5</v>
      </c>
      <c r="Y80" s="264">
        <v>36845</v>
      </c>
      <c r="Z80" s="128">
        <v>8.875</v>
      </c>
      <c r="AE80" s="133"/>
      <c r="AI80" s="128"/>
    </row>
    <row r="81" spans="1:35" x14ac:dyDescent="0.25">
      <c r="A81" s="264">
        <v>36846</v>
      </c>
      <c r="B81" s="128">
        <v>81.25</v>
      </c>
      <c r="C81" s="264">
        <v>36846</v>
      </c>
      <c r="D81" s="133">
        <v>1.554</v>
      </c>
      <c r="E81" s="264">
        <v>36846</v>
      </c>
      <c r="F81" s="128">
        <v>35.25</v>
      </c>
      <c r="G81" s="264">
        <v>36846</v>
      </c>
      <c r="H81" s="128">
        <v>20.25</v>
      </c>
      <c r="I81" s="264">
        <v>36846</v>
      </c>
      <c r="J81" s="128">
        <v>1.9111969111969114</v>
      </c>
      <c r="K81" s="264">
        <v>36846</v>
      </c>
      <c r="L81" s="128">
        <v>1.3770913770913771</v>
      </c>
      <c r="M81" s="264">
        <v>36846</v>
      </c>
      <c r="N81" s="128">
        <v>7.03125</v>
      </c>
      <c r="O81" s="264">
        <v>36846</v>
      </c>
      <c r="P81" s="128">
        <v>6.9821827945057411</v>
      </c>
      <c r="Q81" s="264">
        <v>36846</v>
      </c>
      <c r="R81" s="128">
        <v>1.6758606606245379</v>
      </c>
      <c r="S81" s="264">
        <v>36846</v>
      </c>
      <c r="T81" s="128">
        <v>1.6758606606245381</v>
      </c>
      <c r="U81" s="264">
        <v>36846</v>
      </c>
      <c r="V81" s="128">
        <v>1.8661518661518661</v>
      </c>
      <c r="W81" s="264">
        <v>36846</v>
      </c>
      <c r="X81" s="128">
        <v>5.40625</v>
      </c>
      <c r="Y81" s="264">
        <v>36846</v>
      </c>
      <c r="Z81" s="128">
        <v>9</v>
      </c>
      <c r="AE81" s="133"/>
      <c r="AI81" s="128"/>
    </row>
    <row r="82" spans="1:35" x14ac:dyDescent="0.25">
      <c r="A82" s="264">
        <v>36847</v>
      </c>
      <c r="B82" s="128">
        <v>81.5</v>
      </c>
      <c r="C82" s="264">
        <v>36847</v>
      </c>
      <c r="D82" s="133">
        <v>1.5585</v>
      </c>
      <c r="E82" s="264">
        <v>36847</v>
      </c>
      <c r="F82" s="128">
        <v>28.875</v>
      </c>
      <c r="G82" s="264">
        <v>36847</v>
      </c>
      <c r="H82" s="128">
        <v>18.6875</v>
      </c>
      <c r="I82" s="264">
        <v>36847</v>
      </c>
      <c r="J82" s="128">
        <v>1.9056785370548606</v>
      </c>
      <c r="K82" s="264">
        <v>36847</v>
      </c>
      <c r="L82" s="128">
        <v>1.37311517484761</v>
      </c>
      <c r="M82" s="264">
        <v>36847</v>
      </c>
      <c r="N82" s="128">
        <v>7.0625</v>
      </c>
      <c r="O82" s="264">
        <v>36847</v>
      </c>
      <c r="P82" s="128">
        <v>6.3820367416989185</v>
      </c>
      <c r="Q82" s="264">
        <v>36847</v>
      </c>
      <c r="R82" s="128">
        <v>1.6749590795986473</v>
      </c>
      <c r="S82" s="264">
        <v>36847</v>
      </c>
      <c r="T82" s="128">
        <v>1.6749590795986473</v>
      </c>
      <c r="U82" s="264">
        <v>36847</v>
      </c>
      <c r="V82" s="128">
        <v>1.8607635547000321</v>
      </c>
      <c r="W82" s="264">
        <v>36847</v>
      </c>
      <c r="X82" s="128">
        <v>5.6875</v>
      </c>
      <c r="Y82" s="264">
        <v>36847</v>
      </c>
      <c r="Z82" s="128">
        <v>9</v>
      </c>
      <c r="AE82" s="133"/>
      <c r="AI82" s="128"/>
    </row>
    <row r="83" spans="1:35" x14ac:dyDescent="0.25">
      <c r="A83" s="264">
        <v>36850</v>
      </c>
      <c r="B83" s="128">
        <v>80.25</v>
      </c>
      <c r="C83" s="264">
        <v>36850</v>
      </c>
      <c r="D83" s="133">
        <v>1.5575000000000001</v>
      </c>
      <c r="E83" s="264">
        <v>36850</v>
      </c>
      <c r="F83" s="128">
        <v>24.25</v>
      </c>
      <c r="G83" s="264">
        <v>36850</v>
      </c>
      <c r="H83" s="128">
        <v>18</v>
      </c>
      <c r="I83" s="264">
        <v>36850</v>
      </c>
      <c r="J83" s="128">
        <v>1.9069020866773676</v>
      </c>
      <c r="K83" s="264">
        <v>36850</v>
      </c>
      <c r="L83" s="128">
        <v>1.3739967897271268</v>
      </c>
      <c r="M83" s="264">
        <v>36850</v>
      </c>
      <c r="N83" s="128">
        <v>7.0625</v>
      </c>
      <c r="O83" s="264">
        <v>36850</v>
      </c>
      <c r="P83" s="128">
        <v>5.4251303331928877</v>
      </c>
      <c r="Q83" s="264">
        <v>36850</v>
      </c>
      <c r="R83" s="128">
        <v>1.5840936981110871</v>
      </c>
      <c r="S83" s="264">
        <v>36850</v>
      </c>
      <c r="T83" s="128">
        <v>1.5840936981110874</v>
      </c>
      <c r="U83" s="264">
        <v>36850</v>
      </c>
      <c r="V83" s="128">
        <v>1.9261637239165328</v>
      </c>
      <c r="W83" s="264">
        <v>36850</v>
      </c>
      <c r="X83" s="128">
        <v>5.6875</v>
      </c>
      <c r="Y83" s="264">
        <v>36850</v>
      </c>
      <c r="Z83" s="128">
        <v>8.625</v>
      </c>
      <c r="AE83" s="133"/>
      <c r="AI83" s="128"/>
    </row>
    <row r="84" spans="1:35" x14ac:dyDescent="0.25">
      <c r="A84" s="264">
        <v>36851</v>
      </c>
      <c r="B84" s="128">
        <v>80.375</v>
      </c>
      <c r="C84" s="264">
        <v>36851</v>
      </c>
      <c r="D84" s="133">
        <v>1.5505</v>
      </c>
      <c r="E84" s="264">
        <v>36851</v>
      </c>
      <c r="F84" s="128">
        <v>26.5</v>
      </c>
      <c r="G84" s="264">
        <v>36851</v>
      </c>
      <c r="H84" s="128">
        <v>18.625</v>
      </c>
      <c r="I84" s="264">
        <v>36851</v>
      </c>
      <c r="J84" s="128">
        <v>1.9155111254434054</v>
      </c>
      <c r="K84" s="264">
        <v>36851</v>
      </c>
      <c r="L84" s="128">
        <v>1.3801999355046759</v>
      </c>
      <c r="M84" s="264">
        <v>36851</v>
      </c>
      <c r="N84" s="128">
        <v>7.0625</v>
      </c>
      <c r="O84" s="264">
        <v>36851</v>
      </c>
      <c r="P84" s="128">
        <v>5.7837621008653519</v>
      </c>
      <c r="Q84" s="264">
        <v>36851</v>
      </c>
      <c r="R84" s="128">
        <v>1.6273755330125435</v>
      </c>
      <c r="S84" s="264">
        <v>36851</v>
      </c>
      <c r="T84" s="128">
        <v>1.6273755330125435</v>
      </c>
      <c r="U84" s="264">
        <v>36851</v>
      </c>
      <c r="V84" s="128">
        <v>1.9026120606256047</v>
      </c>
      <c r="W84" s="264">
        <v>36851</v>
      </c>
      <c r="X84" s="128">
        <v>5.6875</v>
      </c>
      <c r="Y84" s="264">
        <v>36851</v>
      </c>
      <c r="Z84" s="128">
        <v>8.75</v>
      </c>
      <c r="AE84" s="133"/>
      <c r="AI84" s="128"/>
    </row>
    <row r="85" spans="1:35" x14ac:dyDescent="0.25">
      <c r="A85" s="264">
        <v>36852</v>
      </c>
      <c r="B85" s="128">
        <v>75.563000000000002</v>
      </c>
      <c r="C85" s="264">
        <v>36852</v>
      </c>
      <c r="D85" s="133">
        <v>1.5455000000000001</v>
      </c>
      <c r="E85" s="264">
        <v>36852</v>
      </c>
      <c r="F85" s="128">
        <v>21.75</v>
      </c>
      <c r="G85" s="264">
        <v>36852</v>
      </c>
      <c r="H85" s="128">
        <v>16.6875</v>
      </c>
      <c r="I85" s="264">
        <v>36852</v>
      </c>
      <c r="J85" s="128">
        <v>1.9411193788417986</v>
      </c>
      <c r="K85" s="264">
        <v>36852</v>
      </c>
      <c r="L85" s="128">
        <v>1.3846651569071498</v>
      </c>
      <c r="M85" s="264">
        <v>36852</v>
      </c>
      <c r="N85" s="128">
        <v>7.25</v>
      </c>
      <c r="O85" s="264">
        <v>36852</v>
      </c>
      <c r="P85" s="128">
        <v>5.309139352555543</v>
      </c>
      <c r="Q85" s="264">
        <v>36852</v>
      </c>
      <c r="R85" s="128">
        <v>1.6675164109199654</v>
      </c>
      <c r="S85" s="264">
        <v>36852</v>
      </c>
      <c r="T85" s="128">
        <v>1.6675164109199656</v>
      </c>
      <c r="U85" s="264">
        <v>36852</v>
      </c>
      <c r="V85" s="128">
        <v>1.7987706243933999</v>
      </c>
      <c r="W85" s="264">
        <v>36852</v>
      </c>
      <c r="X85" s="128">
        <v>5.25</v>
      </c>
      <c r="Y85" s="264">
        <v>36852</v>
      </c>
      <c r="Z85" s="128">
        <v>9</v>
      </c>
      <c r="AE85" s="133"/>
      <c r="AI85" s="128"/>
    </row>
    <row r="86" spans="1:35" x14ac:dyDescent="0.25">
      <c r="A86" s="264">
        <v>36854</v>
      </c>
      <c r="B86" s="128">
        <v>77.75</v>
      </c>
      <c r="C86" s="264">
        <v>36854</v>
      </c>
      <c r="D86" s="133">
        <v>1.5395000000000001</v>
      </c>
      <c r="E86" s="264">
        <v>36854</v>
      </c>
      <c r="F86" s="128">
        <v>23.125</v>
      </c>
      <c r="G86" s="264">
        <v>36854</v>
      </c>
      <c r="H86" s="128">
        <v>18.375</v>
      </c>
      <c r="I86" s="264">
        <v>36854</v>
      </c>
      <c r="J86" s="128">
        <v>1.948684637869438</v>
      </c>
      <c r="K86" s="264">
        <v>36854</v>
      </c>
      <c r="L86" s="128">
        <v>1.3846651569071498</v>
      </c>
      <c r="M86" s="264">
        <v>36854</v>
      </c>
      <c r="N86" s="128">
        <v>7.25</v>
      </c>
      <c r="O86" s="264">
        <v>36854</v>
      </c>
      <c r="P86" s="128">
        <v>6.0159078924329377</v>
      </c>
      <c r="Q86" s="264">
        <v>36854</v>
      </c>
      <c r="R86" s="128">
        <v>1.6599811507493187</v>
      </c>
      <c r="S86" s="264">
        <v>36854</v>
      </c>
      <c r="T86" s="128">
        <v>1.6599811507493187</v>
      </c>
      <c r="U86" s="264">
        <v>36854</v>
      </c>
      <c r="V86" s="128">
        <v>1.8837284832737899</v>
      </c>
      <c r="W86" s="264">
        <v>36854</v>
      </c>
      <c r="X86" s="128">
        <v>5.1875</v>
      </c>
      <c r="Y86" s="264">
        <v>36854</v>
      </c>
      <c r="Z86" s="128">
        <v>9</v>
      </c>
      <c r="AE86" s="133"/>
      <c r="AI86" s="128"/>
    </row>
    <row r="87" spans="1:35" x14ac:dyDescent="0.25">
      <c r="A87" s="264">
        <v>36857</v>
      </c>
      <c r="B87" s="128">
        <v>78.875</v>
      </c>
      <c r="C87" s="264">
        <v>36857</v>
      </c>
      <c r="D87" s="133">
        <v>1.5349999999999999</v>
      </c>
      <c r="E87" s="264">
        <v>36857</v>
      </c>
      <c r="F87" s="128">
        <v>19.8125</v>
      </c>
      <c r="G87" s="264">
        <v>36857</v>
      </c>
      <c r="H87" s="128">
        <v>17.5</v>
      </c>
      <c r="I87" s="264">
        <v>36857</v>
      </c>
      <c r="J87" s="128">
        <v>1.954397394136808</v>
      </c>
      <c r="K87" s="264">
        <v>36857</v>
      </c>
      <c r="L87" s="128">
        <v>1.3846651569071498</v>
      </c>
      <c r="M87" s="264">
        <v>36857</v>
      </c>
      <c r="N87" s="128">
        <v>7.25</v>
      </c>
      <c r="O87" s="264">
        <v>36857</v>
      </c>
      <c r="P87" s="128">
        <v>6.0734008973016413</v>
      </c>
      <c r="Q87" s="264">
        <v>36857</v>
      </c>
      <c r="R87" s="128">
        <v>1.6529708394015878</v>
      </c>
      <c r="S87" s="264">
        <v>36857</v>
      </c>
      <c r="T87" s="128">
        <v>1.6529708394015881</v>
      </c>
      <c r="U87" s="264">
        <v>36857</v>
      </c>
      <c r="V87" s="128">
        <v>1.947882736156352</v>
      </c>
      <c r="W87" s="264">
        <v>36857</v>
      </c>
      <c r="X87" s="128">
        <v>5</v>
      </c>
      <c r="Y87" s="264">
        <v>36857</v>
      </c>
      <c r="Z87" s="128">
        <v>8.5625</v>
      </c>
      <c r="AE87" s="133"/>
      <c r="AI87" s="128"/>
    </row>
    <row r="88" spans="1:35" x14ac:dyDescent="0.25">
      <c r="A88" s="264">
        <v>36858</v>
      </c>
      <c r="B88" s="128">
        <v>78.438000000000002</v>
      </c>
      <c r="C88" s="264">
        <v>36858</v>
      </c>
      <c r="D88" s="133">
        <v>1.536</v>
      </c>
      <c r="E88" s="264">
        <v>36858</v>
      </c>
      <c r="F88" s="128">
        <v>17.0625</v>
      </c>
      <c r="G88" s="264">
        <v>36858</v>
      </c>
      <c r="H88" s="128">
        <v>15.1875</v>
      </c>
      <c r="I88" s="264">
        <v>36858</v>
      </c>
      <c r="J88" s="128">
        <v>1.953125</v>
      </c>
      <c r="K88" s="264">
        <v>36858</v>
      </c>
      <c r="L88" s="128">
        <v>1.3846651569071498</v>
      </c>
      <c r="M88" s="264">
        <v>36858</v>
      </c>
      <c r="N88" s="128">
        <v>7.0625</v>
      </c>
      <c r="O88" s="264">
        <v>36858</v>
      </c>
      <c r="P88" s="128">
        <v>5.5310799046727492</v>
      </c>
      <c r="Q88" s="264">
        <v>36858</v>
      </c>
      <c r="R88" s="128">
        <v>1.6446524819935648</v>
      </c>
      <c r="S88" s="264">
        <v>36858</v>
      </c>
      <c r="T88" s="128">
        <v>1.6446524819935651</v>
      </c>
      <c r="U88" s="264">
        <v>36858</v>
      </c>
      <c r="V88" s="128">
        <v>1.8880208333333333</v>
      </c>
      <c r="W88" s="264">
        <v>36858</v>
      </c>
      <c r="X88" s="128">
        <v>4.75</v>
      </c>
      <c r="Y88" s="264">
        <v>36858</v>
      </c>
      <c r="Z88" s="128">
        <v>8.375</v>
      </c>
      <c r="AE88" s="133"/>
      <c r="AI88" s="128"/>
    </row>
    <row r="89" spans="1:35" x14ac:dyDescent="0.25">
      <c r="A89" s="264">
        <v>36859</v>
      </c>
      <c r="B89" s="128">
        <v>70.25</v>
      </c>
      <c r="C89" s="264">
        <v>36859</v>
      </c>
      <c r="D89" s="133">
        <v>1.5415000000000001</v>
      </c>
      <c r="E89" s="264">
        <v>36859</v>
      </c>
      <c r="F89" s="128">
        <v>19.75</v>
      </c>
      <c r="G89" s="264">
        <v>36859</v>
      </c>
      <c r="H89" s="128">
        <v>14.375</v>
      </c>
      <c r="I89" s="264">
        <v>36859</v>
      </c>
      <c r="J89" s="128">
        <v>1.9461563412260783</v>
      </c>
      <c r="K89" s="264">
        <v>36859</v>
      </c>
      <c r="L89" s="128">
        <v>1.3846651569071498</v>
      </c>
      <c r="M89" s="264">
        <v>36859</v>
      </c>
      <c r="N89" s="128">
        <v>7.0625</v>
      </c>
      <c r="O89" s="264">
        <v>36859</v>
      </c>
      <c r="P89" s="128">
        <v>5.8808694511430328</v>
      </c>
      <c r="Q89" s="264">
        <v>36859</v>
      </c>
      <c r="R89" s="128">
        <v>1.6152022377236779</v>
      </c>
      <c r="S89" s="264">
        <v>36859</v>
      </c>
      <c r="T89" s="128">
        <v>1.6152022377236779</v>
      </c>
      <c r="U89" s="264">
        <v>36859</v>
      </c>
      <c r="V89" s="128">
        <v>1.8488485241647745</v>
      </c>
      <c r="W89" s="264">
        <v>36859</v>
      </c>
      <c r="X89" s="128">
        <v>4.75</v>
      </c>
      <c r="Y89" s="264">
        <v>36859</v>
      </c>
      <c r="Z89" s="128">
        <v>8.3125</v>
      </c>
      <c r="AE89" s="133"/>
      <c r="AI89" s="128"/>
    </row>
    <row r="90" spans="1:35" x14ac:dyDescent="0.25">
      <c r="A90" s="264">
        <v>36860</v>
      </c>
      <c r="B90" s="128">
        <v>64.75</v>
      </c>
      <c r="C90" s="264">
        <v>36860</v>
      </c>
      <c r="D90" s="133">
        <v>1.5422</v>
      </c>
      <c r="E90" s="264">
        <v>36860</v>
      </c>
      <c r="F90" s="128">
        <v>21.125</v>
      </c>
      <c r="G90" s="264">
        <v>36860</v>
      </c>
      <c r="H90" s="128">
        <v>13.6875</v>
      </c>
      <c r="I90" s="264">
        <v>36860</v>
      </c>
      <c r="J90" s="128">
        <v>1.912851770198418</v>
      </c>
      <c r="K90" s="264">
        <v>36860</v>
      </c>
      <c r="L90" s="128">
        <v>1.3846651569071498</v>
      </c>
      <c r="M90" s="264">
        <v>36860</v>
      </c>
      <c r="N90" s="128">
        <v>6.8125</v>
      </c>
      <c r="O90" s="264">
        <v>36860</v>
      </c>
      <c r="P90" s="128">
        <v>5.0406456673465012</v>
      </c>
      <c r="Q90" s="264">
        <v>36860</v>
      </c>
      <c r="R90" s="128">
        <v>1.6223638614136326</v>
      </c>
      <c r="S90" s="264">
        <v>36860</v>
      </c>
      <c r="T90" s="128">
        <v>1.6223638614136329</v>
      </c>
      <c r="U90" s="264">
        <v>36860</v>
      </c>
      <c r="V90" s="128">
        <v>1.8739463104655687</v>
      </c>
      <c r="W90" s="264">
        <v>36860</v>
      </c>
      <c r="X90" s="128">
        <v>4.5625</v>
      </c>
      <c r="Y90" s="264">
        <v>36860</v>
      </c>
      <c r="Z90" s="128">
        <v>8.1875</v>
      </c>
      <c r="AE90" s="133"/>
      <c r="AI90" s="128"/>
    </row>
    <row r="91" spans="1:35" x14ac:dyDescent="0.25">
      <c r="A91" s="264">
        <v>36861</v>
      </c>
      <c r="B91" s="128">
        <v>65.5</v>
      </c>
      <c r="C91" s="264">
        <v>36861</v>
      </c>
      <c r="D91" s="133">
        <v>1.5455000000000001</v>
      </c>
      <c r="E91" s="264">
        <v>36861</v>
      </c>
      <c r="F91" s="128">
        <v>21.75</v>
      </c>
      <c r="G91" s="264">
        <v>36861</v>
      </c>
      <c r="H91" s="128">
        <v>16.8125</v>
      </c>
      <c r="I91" s="264">
        <v>36861</v>
      </c>
      <c r="J91" s="128">
        <v>1.9087673891944354</v>
      </c>
      <c r="K91" s="264">
        <v>36861</v>
      </c>
      <c r="L91" s="128">
        <v>1.3846651569071498</v>
      </c>
      <c r="M91" s="264">
        <v>36861</v>
      </c>
      <c r="N91" s="128">
        <v>6.875</v>
      </c>
      <c r="O91" s="264">
        <v>36861</v>
      </c>
      <c r="P91" s="128">
        <v>4.9293080401400369</v>
      </c>
      <c r="Q91" s="264">
        <v>36861</v>
      </c>
      <c r="R91" s="128">
        <v>1.6053214467084147</v>
      </c>
      <c r="S91" s="264">
        <v>36861</v>
      </c>
      <c r="T91" s="128">
        <v>1.6053214467084149</v>
      </c>
      <c r="U91" s="264">
        <v>36861</v>
      </c>
      <c r="V91" s="128">
        <v>1.8117114202523452</v>
      </c>
      <c r="W91" s="264">
        <v>36861</v>
      </c>
      <c r="X91" s="128">
        <v>4.75</v>
      </c>
      <c r="Y91" s="264">
        <v>36861</v>
      </c>
      <c r="Z91" s="128">
        <v>8</v>
      </c>
      <c r="AE91" s="133"/>
      <c r="AI91" s="128"/>
    </row>
    <row r="92" spans="1:35" x14ac:dyDescent="0.25">
      <c r="A92" s="264">
        <v>36864</v>
      </c>
      <c r="B92" s="128">
        <v>65.938000000000002</v>
      </c>
      <c r="C92" s="264">
        <v>36864</v>
      </c>
      <c r="D92" s="133">
        <v>1.5429999999999999</v>
      </c>
      <c r="E92" s="264">
        <v>36864</v>
      </c>
      <c r="F92" s="128">
        <v>18</v>
      </c>
      <c r="G92" s="264">
        <v>36864</v>
      </c>
      <c r="H92" s="128">
        <v>17</v>
      </c>
      <c r="I92" s="264">
        <v>36864</v>
      </c>
      <c r="J92" s="128">
        <v>1.9118600129617631</v>
      </c>
      <c r="K92" s="264">
        <v>36864</v>
      </c>
      <c r="L92" s="128">
        <v>1.3846651569071498</v>
      </c>
      <c r="M92" s="264">
        <v>36864</v>
      </c>
      <c r="N92" s="128">
        <v>7</v>
      </c>
      <c r="O92" s="264">
        <v>36864</v>
      </c>
      <c r="P92" s="128">
        <v>5.2769894984504591</v>
      </c>
      <c r="Q92" s="264">
        <v>36864</v>
      </c>
      <c r="R92" s="128">
        <v>1.6165351900292262</v>
      </c>
      <c r="S92" s="264">
        <v>36864</v>
      </c>
      <c r="T92" s="128">
        <v>1.6165351900292264</v>
      </c>
      <c r="U92" s="264">
        <v>36864</v>
      </c>
      <c r="V92" s="128">
        <v>1.8470511989630591</v>
      </c>
      <c r="W92" s="264">
        <v>36864</v>
      </c>
      <c r="X92" s="128">
        <v>4.875</v>
      </c>
      <c r="Y92" s="264">
        <v>36864</v>
      </c>
      <c r="Z92" s="128">
        <v>8.5</v>
      </c>
      <c r="AE92" s="133"/>
      <c r="AI92" s="128"/>
    </row>
    <row r="93" spans="1:35" x14ac:dyDescent="0.25">
      <c r="A93" s="264">
        <v>36865</v>
      </c>
      <c r="B93" s="128">
        <v>68.25</v>
      </c>
      <c r="C93" s="264">
        <v>36865</v>
      </c>
      <c r="D93" s="133">
        <v>1.5429999999999999</v>
      </c>
      <c r="E93" s="264">
        <v>36865</v>
      </c>
      <c r="F93" s="128">
        <v>31.75</v>
      </c>
      <c r="G93" s="264">
        <v>36865</v>
      </c>
      <c r="H93" s="128">
        <v>20</v>
      </c>
      <c r="I93" s="264">
        <v>36865</v>
      </c>
      <c r="J93" s="128">
        <v>1.7822423849643552</v>
      </c>
      <c r="K93" s="264">
        <v>36865</v>
      </c>
      <c r="L93" s="128">
        <v>1.3846651569071498</v>
      </c>
      <c r="M93" s="264">
        <v>36865</v>
      </c>
      <c r="N93" s="128">
        <v>7.125</v>
      </c>
      <c r="O93" s="264">
        <v>36865</v>
      </c>
      <c r="P93" s="128">
        <v>5.8598745305891597</v>
      </c>
      <c r="Q93" s="264">
        <v>36865</v>
      </c>
      <c r="R93" s="128">
        <v>1.5645515552613194</v>
      </c>
      <c r="S93" s="264">
        <v>36865</v>
      </c>
      <c r="T93" s="128">
        <v>1.5645515552613194</v>
      </c>
      <c r="U93" s="264">
        <v>36865</v>
      </c>
      <c r="V93" s="128">
        <v>1.8211276733635775</v>
      </c>
      <c r="W93" s="264">
        <v>36865</v>
      </c>
      <c r="X93" s="128">
        <v>4.875</v>
      </c>
      <c r="Y93" s="264">
        <v>36865</v>
      </c>
      <c r="Z93" s="128">
        <v>8.25</v>
      </c>
      <c r="AE93" s="133"/>
      <c r="AI93" s="128"/>
    </row>
    <row r="94" spans="1:35" x14ac:dyDescent="0.25">
      <c r="A94" s="264">
        <v>36866</v>
      </c>
      <c r="B94" s="128">
        <v>71.938000000000002</v>
      </c>
      <c r="C94" s="264">
        <v>36866</v>
      </c>
      <c r="D94" s="133">
        <v>1.5275000000000001</v>
      </c>
      <c r="E94" s="264">
        <v>36866</v>
      </c>
      <c r="F94" s="128">
        <v>32.375</v>
      </c>
      <c r="G94" s="264">
        <v>36866</v>
      </c>
      <c r="H94" s="128">
        <v>22.625</v>
      </c>
      <c r="I94" s="264">
        <v>36866</v>
      </c>
      <c r="J94" s="128">
        <v>1.8003273322422257</v>
      </c>
      <c r="K94" s="264">
        <v>36866</v>
      </c>
      <c r="L94" s="128">
        <v>1.3846651569071498</v>
      </c>
      <c r="M94" s="264">
        <v>36866</v>
      </c>
      <c r="N94" s="128">
        <v>7.0625</v>
      </c>
      <c r="O94" s="264">
        <v>36866</v>
      </c>
      <c r="P94" s="128">
        <v>5.3754412250254697</v>
      </c>
      <c r="Q94" s="264">
        <v>36866</v>
      </c>
      <c r="R94" s="128">
        <v>1.7208886002658681</v>
      </c>
      <c r="S94" s="264">
        <v>36866</v>
      </c>
      <c r="T94" s="128">
        <v>1.7208886002658681</v>
      </c>
      <c r="U94" s="264">
        <v>36866</v>
      </c>
      <c r="V94" s="128">
        <v>1.8985270049099834</v>
      </c>
      <c r="W94" s="264">
        <v>36866</v>
      </c>
      <c r="X94" s="128">
        <v>4.875</v>
      </c>
      <c r="Y94" s="264">
        <v>36866</v>
      </c>
      <c r="Z94" s="128">
        <v>7.875</v>
      </c>
      <c r="AE94" s="133"/>
      <c r="AI94" s="128"/>
    </row>
    <row r="95" spans="1:35" x14ac:dyDescent="0.25">
      <c r="A95" s="264">
        <v>36867</v>
      </c>
      <c r="B95" s="128">
        <v>72.875</v>
      </c>
      <c r="C95" s="264">
        <v>36867</v>
      </c>
      <c r="D95" s="133">
        <v>1.5291999999999999</v>
      </c>
      <c r="E95" s="264">
        <v>36867</v>
      </c>
      <c r="F95" s="128">
        <v>34.5625</v>
      </c>
      <c r="G95" s="264">
        <v>36867</v>
      </c>
      <c r="H95" s="128">
        <v>19.0625</v>
      </c>
      <c r="I95" s="264">
        <v>36867</v>
      </c>
      <c r="J95" s="128">
        <v>1.7983259220507457</v>
      </c>
      <c r="K95" s="264">
        <v>36867</v>
      </c>
      <c r="L95" s="128">
        <v>1.3846651569071498</v>
      </c>
      <c r="M95" s="264">
        <v>36867</v>
      </c>
      <c r="N95" s="128">
        <v>7.09375</v>
      </c>
      <c r="O95" s="264">
        <v>36867</v>
      </c>
      <c r="P95" s="128">
        <v>5.612296789875284</v>
      </c>
      <c r="Q95" s="264">
        <v>36867</v>
      </c>
      <c r="R95" s="128">
        <v>1.7422311286676364</v>
      </c>
      <c r="S95" s="264">
        <v>36867</v>
      </c>
      <c r="T95" s="128">
        <v>1.7422311286676369</v>
      </c>
      <c r="U95" s="264">
        <v>36867</v>
      </c>
      <c r="V95" s="128">
        <v>1.8964164268898771</v>
      </c>
      <c r="W95" s="264">
        <v>36867</v>
      </c>
      <c r="X95" s="128">
        <v>4.8125</v>
      </c>
      <c r="Y95" s="264">
        <v>36867</v>
      </c>
      <c r="Z95" s="128">
        <v>7.875</v>
      </c>
      <c r="AE95" s="133"/>
      <c r="AI95" s="128"/>
    </row>
    <row r="96" spans="1:35" x14ac:dyDescent="0.25">
      <c r="A96" s="264">
        <v>36868</v>
      </c>
      <c r="B96" s="128">
        <v>73.063000000000002</v>
      </c>
      <c r="C96" s="264">
        <v>36868</v>
      </c>
      <c r="D96" s="133">
        <v>1.5192000000000001</v>
      </c>
      <c r="E96" s="264">
        <v>36868</v>
      </c>
      <c r="F96" s="128">
        <v>38.9375</v>
      </c>
      <c r="G96" s="264">
        <v>36868</v>
      </c>
      <c r="H96" s="128">
        <v>23.4375</v>
      </c>
      <c r="I96" s="264">
        <v>36868</v>
      </c>
      <c r="J96" s="128">
        <v>1.8101632438125328</v>
      </c>
      <c r="K96" s="264">
        <v>36868</v>
      </c>
      <c r="L96" s="128">
        <v>1.3846651569071498</v>
      </c>
      <c r="M96" s="264">
        <v>36868</v>
      </c>
      <c r="N96" s="128">
        <v>7.0625</v>
      </c>
      <c r="O96" s="264">
        <v>36868</v>
      </c>
      <c r="P96" s="128">
        <v>5.7352082919193581</v>
      </c>
      <c r="Q96" s="264">
        <v>36868</v>
      </c>
      <c r="R96" s="128">
        <v>1.7447523116308872</v>
      </c>
      <c r="S96" s="264">
        <v>36868</v>
      </c>
      <c r="T96" s="128">
        <v>1.7447523116308876</v>
      </c>
      <c r="U96" s="264">
        <v>36868</v>
      </c>
      <c r="V96" s="128">
        <v>1.9088994207477619</v>
      </c>
      <c r="W96" s="264">
        <v>36868</v>
      </c>
      <c r="X96" s="128">
        <v>4.8125</v>
      </c>
      <c r="Y96" s="264">
        <v>36868</v>
      </c>
      <c r="Z96" s="128">
        <v>8</v>
      </c>
      <c r="AE96" s="133"/>
      <c r="AI96" s="128"/>
    </row>
    <row r="97" spans="1:35" x14ac:dyDescent="0.25">
      <c r="A97" s="264">
        <v>36871</v>
      </c>
      <c r="B97" s="128">
        <v>76.5</v>
      </c>
      <c r="C97" s="264">
        <v>36871</v>
      </c>
      <c r="D97" s="133">
        <v>1.526</v>
      </c>
      <c r="E97" s="264">
        <v>36871</v>
      </c>
      <c r="F97" s="128">
        <v>42.375</v>
      </c>
      <c r="G97" s="264">
        <v>36871</v>
      </c>
      <c r="H97" s="128">
        <v>25.875</v>
      </c>
      <c r="I97" s="264">
        <v>36871</v>
      </c>
      <c r="J97" s="128">
        <v>1.8020969855832241</v>
      </c>
      <c r="K97" s="264">
        <v>36871</v>
      </c>
      <c r="L97" s="128">
        <v>1.3846651569071498</v>
      </c>
      <c r="M97" s="264">
        <v>36871</v>
      </c>
      <c r="N97" s="128">
        <v>7.1875</v>
      </c>
      <c r="O97" s="264">
        <v>36871</v>
      </c>
      <c r="P97" s="128">
        <v>7.1754096839972901</v>
      </c>
      <c r="Q97" s="264">
        <v>36871</v>
      </c>
      <c r="R97" s="128">
        <v>1.6775610545998558</v>
      </c>
      <c r="S97" s="264">
        <v>36871</v>
      </c>
      <c r="T97" s="128">
        <v>1.6775610545998563</v>
      </c>
      <c r="U97" s="264">
        <v>36871</v>
      </c>
      <c r="V97" s="128">
        <v>1.8676277850589778</v>
      </c>
      <c r="W97" s="264">
        <v>36871</v>
      </c>
      <c r="X97" s="128">
        <v>4.75</v>
      </c>
      <c r="Y97" s="264">
        <v>36871</v>
      </c>
      <c r="Z97" s="128">
        <v>8.5</v>
      </c>
      <c r="AE97" s="133"/>
      <c r="AI97" s="128"/>
    </row>
    <row r="98" spans="1:35" x14ac:dyDescent="0.25">
      <c r="A98" s="264">
        <v>36872</v>
      </c>
      <c r="B98" s="128">
        <v>77.188000000000002</v>
      </c>
      <c r="C98" s="264">
        <v>36872</v>
      </c>
      <c r="D98" s="133">
        <v>1.5275000000000001</v>
      </c>
      <c r="E98" s="264">
        <v>36872</v>
      </c>
      <c r="F98" s="128">
        <v>40.25</v>
      </c>
      <c r="G98" s="264">
        <v>36872</v>
      </c>
      <c r="H98" s="128">
        <v>23.125</v>
      </c>
      <c r="I98" s="264">
        <v>36872</v>
      </c>
      <c r="J98" s="128">
        <v>1.8003273322422257</v>
      </c>
      <c r="K98" s="264">
        <v>36872</v>
      </c>
      <c r="L98" s="128">
        <v>1.3846651569071498</v>
      </c>
      <c r="M98" s="264">
        <v>36872</v>
      </c>
      <c r="N98" s="128">
        <v>7.1875</v>
      </c>
      <c r="O98" s="264">
        <v>36872</v>
      </c>
      <c r="P98" s="128">
        <v>5.9727915657064541</v>
      </c>
      <c r="Q98" s="264">
        <v>36872</v>
      </c>
      <c r="R98" s="128">
        <v>1.6539509333683664</v>
      </c>
      <c r="S98" s="264">
        <v>36872</v>
      </c>
      <c r="T98" s="128">
        <v>1.6539509333683664</v>
      </c>
      <c r="U98" s="264">
        <v>36872</v>
      </c>
      <c r="V98" s="128">
        <v>1.8330605564648115</v>
      </c>
      <c r="W98" s="264">
        <v>36872</v>
      </c>
      <c r="X98" s="128">
        <v>4.9375</v>
      </c>
      <c r="Y98" s="264">
        <v>36872</v>
      </c>
      <c r="Z98" s="128">
        <v>8.25</v>
      </c>
      <c r="AE98" s="133"/>
      <c r="AI98" s="128"/>
    </row>
    <row r="99" spans="1:35" x14ac:dyDescent="0.25">
      <c r="A99" s="264">
        <v>36873</v>
      </c>
      <c r="B99" s="128">
        <v>74.5</v>
      </c>
      <c r="C99" s="264">
        <v>36873</v>
      </c>
      <c r="D99" s="133">
        <v>1.522</v>
      </c>
      <c r="E99" s="264">
        <v>36873</v>
      </c>
      <c r="F99" s="128">
        <v>37.6875</v>
      </c>
      <c r="G99" s="264">
        <v>36873</v>
      </c>
      <c r="H99" s="128">
        <v>22.625</v>
      </c>
      <c r="I99" s="264">
        <v>36873</v>
      </c>
      <c r="J99" s="128">
        <v>1.8068331143232588</v>
      </c>
      <c r="K99" s="264">
        <v>36873</v>
      </c>
      <c r="L99" s="128">
        <v>1.3846651569071498</v>
      </c>
      <c r="M99" s="264">
        <v>36873</v>
      </c>
      <c r="N99" s="128">
        <v>7.125</v>
      </c>
      <c r="O99" s="264">
        <v>36873</v>
      </c>
      <c r="P99" s="128">
        <v>6.6832353740983441</v>
      </c>
      <c r="Q99" s="264">
        <v>36873</v>
      </c>
      <c r="R99" s="128">
        <v>1.5824514872797075</v>
      </c>
      <c r="S99" s="264">
        <v>36873</v>
      </c>
      <c r="T99" s="128">
        <v>1.5824514872797075</v>
      </c>
      <c r="U99" s="264">
        <v>36873</v>
      </c>
      <c r="V99" s="128">
        <v>1.7739816031537452</v>
      </c>
      <c r="W99" s="264">
        <v>36873</v>
      </c>
      <c r="X99" s="128">
        <v>4.875</v>
      </c>
      <c r="Y99" s="264">
        <v>36873</v>
      </c>
      <c r="Z99" s="128">
        <v>8.125</v>
      </c>
      <c r="AA99" s="264">
        <v>36873</v>
      </c>
      <c r="AE99" s="133"/>
      <c r="AI99" s="128"/>
    </row>
    <row r="100" spans="1:35" x14ac:dyDescent="0.25">
      <c r="A100" s="264">
        <v>36874</v>
      </c>
      <c r="B100" s="128">
        <v>76.5</v>
      </c>
      <c r="C100" s="264">
        <v>36874</v>
      </c>
      <c r="D100" s="133">
        <v>1.5175000000000001</v>
      </c>
      <c r="E100" s="264">
        <v>36874</v>
      </c>
      <c r="F100" s="128">
        <v>33.3125</v>
      </c>
      <c r="G100" s="264">
        <v>36874</v>
      </c>
      <c r="H100" s="128">
        <v>22.0625</v>
      </c>
      <c r="I100" s="264">
        <v>36874</v>
      </c>
      <c r="J100" s="128">
        <v>1.8121911037891267</v>
      </c>
      <c r="K100" s="264">
        <v>36874</v>
      </c>
      <c r="L100" s="128">
        <v>1.3846651569071498</v>
      </c>
      <c r="M100" s="264">
        <v>36874</v>
      </c>
      <c r="N100" s="128">
        <v>7.125</v>
      </c>
      <c r="O100" s="264">
        <v>36874</v>
      </c>
      <c r="P100" s="128">
        <v>6.3160225087648705</v>
      </c>
      <c r="Q100" s="264">
        <v>36874</v>
      </c>
      <c r="R100" s="128">
        <v>1.6582040111740428</v>
      </c>
      <c r="S100" s="264">
        <v>36874</v>
      </c>
      <c r="T100" s="128">
        <v>1.658204011174043</v>
      </c>
      <c r="U100" s="264">
        <v>36874</v>
      </c>
      <c r="V100" s="128">
        <v>1.8451400329489289</v>
      </c>
      <c r="W100" s="264">
        <v>36874</v>
      </c>
      <c r="X100" s="128">
        <v>4.625</v>
      </c>
      <c r="Y100" s="264">
        <v>36874</v>
      </c>
      <c r="Z100" s="128">
        <v>8.1875</v>
      </c>
      <c r="AA100" s="264">
        <v>36874</v>
      </c>
      <c r="AB100" s="128">
        <v>13.125</v>
      </c>
      <c r="AE100" s="133"/>
      <c r="AI100" s="128"/>
    </row>
    <row r="101" spans="1:35" x14ac:dyDescent="0.25">
      <c r="A101" s="264">
        <v>36875</v>
      </c>
      <c r="B101" s="128">
        <v>77.563000000000002</v>
      </c>
      <c r="C101" s="264">
        <v>36875</v>
      </c>
      <c r="D101" s="133">
        <v>1.5189999999999999</v>
      </c>
      <c r="E101" s="264">
        <v>36875</v>
      </c>
      <c r="F101" s="128">
        <v>31.25</v>
      </c>
      <c r="G101" s="264">
        <v>36875</v>
      </c>
      <c r="H101" s="128">
        <v>19.875</v>
      </c>
      <c r="I101" s="264">
        <v>36875</v>
      </c>
      <c r="J101" s="128">
        <v>1.8104015799868336</v>
      </c>
      <c r="K101" s="264">
        <v>36875</v>
      </c>
      <c r="L101" s="128">
        <v>1.3846651569071498</v>
      </c>
      <c r="M101" s="264">
        <v>36875</v>
      </c>
      <c r="N101" s="128">
        <v>7.0625</v>
      </c>
      <c r="O101" s="264">
        <v>36875</v>
      </c>
      <c r="P101" s="128">
        <v>5.5965089824180136</v>
      </c>
      <c r="Q101" s="264">
        <v>36875</v>
      </c>
      <c r="R101" s="128">
        <v>1.6519507510516966</v>
      </c>
      <c r="S101" s="264">
        <v>36875</v>
      </c>
      <c r="T101" s="128">
        <v>1.6519507510516969</v>
      </c>
      <c r="U101" s="264">
        <v>36875</v>
      </c>
      <c r="V101" s="128">
        <v>1.9618169848584597</v>
      </c>
      <c r="W101" s="264">
        <v>36875</v>
      </c>
      <c r="X101" s="128">
        <v>4.5</v>
      </c>
      <c r="Y101" s="264">
        <v>36875</v>
      </c>
      <c r="Z101" s="128">
        <v>8.25</v>
      </c>
      <c r="AA101" s="264">
        <v>36875</v>
      </c>
      <c r="AB101" s="128">
        <v>12.875</v>
      </c>
      <c r="AE101" s="133"/>
      <c r="AI101" s="128"/>
    </row>
    <row r="102" spans="1:35" x14ac:dyDescent="0.25">
      <c r="A102" s="264">
        <v>36878</v>
      </c>
      <c r="B102" s="128">
        <v>79.563000000000002</v>
      </c>
      <c r="C102" s="264">
        <v>36878</v>
      </c>
      <c r="D102" s="133">
        <v>1.528</v>
      </c>
      <c r="E102" s="264">
        <v>36878</v>
      </c>
      <c r="F102" s="128">
        <v>27.9375</v>
      </c>
      <c r="G102" s="264">
        <v>36878</v>
      </c>
      <c r="H102" s="128">
        <v>18.5</v>
      </c>
      <c r="I102" s="264">
        <v>36878</v>
      </c>
      <c r="J102" s="128">
        <v>1.799738219895288</v>
      </c>
      <c r="K102" s="264">
        <v>36878</v>
      </c>
      <c r="L102" s="128">
        <v>1.3846651569071498</v>
      </c>
      <c r="M102" s="264">
        <v>36878</v>
      </c>
      <c r="N102" s="128">
        <v>7.25</v>
      </c>
      <c r="O102" s="264">
        <v>36878</v>
      </c>
      <c r="P102" s="128">
        <v>6.3644420521948391</v>
      </c>
      <c r="Q102" s="264">
        <v>36878</v>
      </c>
      <c r="R102" s="128">
        <v>1.4982622859236998</v>
      </c>
      <c r="S102" s="264">
        <v>36878</v>
      </c>
      <c r="T102" s="128">
        <v>1.4982622859237</v>
      </c>
      <c r="U102" s="264">
        <v>36878</v>
      </c>
      <c r="V102" s="128">
        <v>1.9306282722513091</v>
      </c>
      <c r="W102" s="264">
        <v>36878</v>
      </c>
      <c r="X102" s="128">
        <v>4.5</v>
      </c>
      <c r="Y102" s="264">
        <v>36878</v>
      </c>
      <c r="Z102" s="128">
        <v>8.3125</v>
      </c>
      <c r="AA102" s="264">
        <v>36878</v>
      </c>
      <c r="AB102" s="128">
        <v>13.75</v>
      </c>
      <c r="AE102" s="133"/>
      <c r="AI102" s="128"/>
    </row>
    <row r="103" spans="1:35" x14ac:dyDescent="0.25">
      <c r="A103" s="264">
        <v>36879</v>
      </c>
      <c r="B103" s="128">
        <v>79.75</v>
      </c>
      <c r="C103" s="264">
        <v>36879</v>
      </c>
      <c r="D103" s="133">
        <v>1.5229999999999999</v>
      </c>
      <c r="E103" s="264">
        <v>36879</v>
      </c>
      <c r="F103" s="128">
        <v>22.8125</v>
      </c>
      <c r="G103" s="264">
        <v>36879</v>
      </c>
      <c r="H103" s="128">
        <v>17.625</v>
      </c>
      <c r="I103" s="264">
        <v>36879</v>
      </c>
      <c r="J103" s="128">
        <v>1.6414970453053186</v>
      </c>
      <c r="K103" s="264">
        <v>36879</v>
      </c>
      <c r="L103" s="128">
        <v>1.3846651569071498</v>
      </c>
      <c r="M103" s="264">
        <v>36879</v>
      </c>
      <c r="N103" s="128">
        <v>7.25</v>
      </c>
      <c r="O103" s="264">
        <v>36879</v>
      </c>
      <c r="P103" s="128">
        <v>5.9482707819414173</v>
      </c>
      <c r="Q103" s="264">
        <v>36879</v>
      </c>
      <c r="R103" s="128">
        <v>1.6206359049870502</v>
      </c>
      <c r="S103" s="264">
        <v>36879</v>
      </c>
      <c r="T103" s="128">
        <v>1.6206359049870502</v>
      </c>
      <c r="U103" s="264">
        <v>36879</v>
      </c>
      <c r="V103" s="128">
        <v>1.9041365725541695</v>
      </c>
      <c r="W103" s="264">
        <v>36879</v>
      </c>
      <c r="X103" s="128">
        <v>4.625</v>
      </c>
      <c r="Y103" s="264">
        <v>36879</v>
      </c>
      <c r="Z103" s="128">
        <v>8</v>
      </c>
      <c r="AA103" s="264">
        <v>36879</v>
      </c>
      <c r="AB103" s="128">
        <v>13.688000000000001</v>
      </c>
      <c r="AE103" s="133"/>
      <c r="AI103" s="128"/>
    </row>
    <row r="104" spans="1:35" x14ac:dyDescent="0.25">
      <c r="A104" s="264">
        <v>36880</v>
      </c>
      <c r="B104" s="128">
        <v>79.75</v>
      </c>
      <c r="C104" s="264">
        <v>36880</v>
      </c>
      <c r="D104" s="133">
        <v>1.5229999999999999</v>
      </c>
      <c r="E104" s="264">
        <v>36880</v>
      </c>
      <c r="F104" s="128">
        <v>18.875</v>
      </c>
      <c r="G104" s="264">
        <v>36880</v>
      </c>
      <c r="H104" s="128">
        <v>15.25</v>
      </c>
      <c r="I104" s="264">
        <v>36880</v>
      </c>
      <c r="J104" s="128">
        <v>1.6414970453053186</v>
      </c>
      <c r="K104" s="264">
        <v>36880</v>
      </c>
      <c r="L104" s="128">
        <v>1.3846651569071498</v>
      </c>
      <c r="M104" s="264">
        <v>36880</v>
      </c>
      <c r="N104" s="128">
        <v>7.5</v>
      </c>
      <c r="O104" s="264">
        <v>36880</v>
      </c>
      <c r="P104" s="128">
        <v>5.5794913609718657</v>
      </c>
      <c r="Q104" s="264">
        <v>36880</v>
      </c>
      <c r="R104" s="128">
        <v>1.6691441320188194</v>
      </c>
      <c r="S104" s="264">
        <v>36880</v>
      </c>
      <c r="T104" s="128">
        <v>1.6691441320188194</v>
      </c>
      <c r="U104" s="264">
        <v>36880</v>
      </c>
      <c r="V104" s="128">
        <v>1.8713066316480631</v>
      </c>
      <c r="W104" s="264">
        <v>36880</v>
      </c>
      <c r="X104" s="128">
        <v>4.4375</v>
      </c>
      <c r="Y104" s="264">
        <v>36880</v>
      </c>
      <c r="Z104" s="128">
        <v>8</v>
      </c>
      <c r="AA104" s="264">
        <v>36880</v>
      </c>
      <c r="AB104" s="128">
        <v>14.938000000000001</v>
      </c>
      <c r="AE104" s="133"/>
      <c r="AI104" s="128"/>
    </row>
    <row r="105" spans="1:35" x14ac:dyDescent="0.25">
      <c r="A105" s="264">
        <v>36881</v>
      </c>
      <c r="B105" s="128">
        <v>79.313000000000002</v>
      </c>
      <c r="C105" s="264">
        <v>36881</v>
      </c>
      <c r="D105" s="133">
        <v>1.52</v>
      </c>
      <c r="E105" s="264">
        <v>36881</v>
      </c>
      <c r="F105" s="128">
        <v>19.8125</v>
      </c>
      <c r="G105" s="264">
        <v>36881</v>
      </c>
      <c r="H105" s="128">
        <v>16.9375</v>
      </c>
      <c r="I105" s="264">
        <v>36881</v>
      </c>
      <c r="J105" s="128">
        <v>1.6447368421052631</v>
      </c>
      <c r="K105" s="264">
        <v>36881</v>
      </c>
      <c r="L105" s="128">
        <v>1.3846651569071498</v>
      </c>
      <c r="M105" s="264">
        <v>36881</v>
      </c>
      <c r="N105" s="128">
        <v>7.5</v>
      </c>
      <c r="O105" s="264">
        <v>36881</v>
      </c>
      <c r="P105" s="128">
        <v>4.9833865544885354</v>
      </c>
      <c r="Q105" s="264">
        <v>36881</v>
      </c>
      <c r="R105" s="128">
        <v>1.4762109765378695</v>
      </c>
      <c r="S105" s="264">
        <v>36881</v>
      </c>
      <c r="T105" s="128">
        <v>1.4762109765378695</v>
      </c>
      <c r="U105" s="264">
        <v>36881</v>
      </c>
      <c r="V105" s="128">
        <v>1.9407894736842106</v>
      </c>
      <c r="W105" s="264">
        <v>36881</v>
      </c>
      <c r="X105" s="128">
        <v>4.34375</v>
      </c>
      <c r="Y105" s="264">
        <v>36881</v>
      </c>
      <c r="Z105" s="128">
        <v>7.875</v>
      </c>
      <c r="AA105" s="264">
        <v>36881</v>
      </c>
      <c r="AB105" s="128">
        <v>16.5</v>
      </c>
      <c r="AE105" s="133"/>
      <c r="AI105" s="128"/>
    </row>
    <row r="106" spans="1:35" x14ac:dyDescent="0.25">
      <c r="A106" s="264">
        <v>36882</v>
      </c>
      <c r="B106" s="128">
        <v>81.188000000000002</v>
      </c>
      <c r="C106" s="264">
        <v>36882</v>
      </c>
      <c r="D106" s="133">
        <v>1.5185</v>
      </c>
      <c r="E106" s="264">
        <v>36882</v>
      </c>
      <c r="F106" s="128">
        <v>24.9375</v>
      </c>
      <c r="G106" s="264">
        <v>36882</v>
      </c>
      <c r="H106" s="128">
        <v>17.4375</v>
      </c>
      <c r="I106" s="264">
        <v>36882</v>
      </c>
      <c r="J106" s="128">
        <v>1.6463615409944024</v>
      </c>
      <c r="K106" s="264">
        <v>36882</v>
      </c>
      <c r="L106" s="128">
        <v>1.3846651569071498</v>
      </c>
      <c r="M106" s="264">
        <v>36882</v>
      </c>
      <c r="N106" s="128">
        <v>7.4375</v>
      </c>
      <c r="O106" s="264">
        <v>36882</v>
      </c>
      <c r="P106" s="128">
        <v>5.2171988717950839</v>
      </c>
      <c r="Q106" s="264">
        <v>36882</v>
      </c>
      <c r="R106" s="128">
        <v>1.6151803860861966</v>
      </c>
      <c r="S106" s="264">
        <v>36882</v>
      </c>
      <c r="T106" s="128">
        <v>1.6151803860861969</v>
      </c>
      <c r="U106" s="264">
        <v>36882</v>
      </c>
      <c r="V106" s="128">
        <v>1.975633849193283</v>
      </c>
      <c r="W106" s="264">
        <v>36882</v>
      </c>
      <c r="X106" s="128">
        <v>4.75</v>
      </c>
      <c r="Y106" s="264">
        <v>36882</v>
      </c>
      <c r="Z106" s="128">
        <v>8.25</v>
      </c>
      <c r="AA106" s="264">
        <v>36882</v>
      </c>
      <c r="AB106" s="128">
        <v>16.4375</v>
      </c>
      <c r="AE106" s="133"/>
      <c r="AI106" s="128"/>
    </row>
    <row r="107" spans="1:35" x14ac:dyDescent="0.25">
      <c r="A107" s="264">
        <v>36886</v>
      </c>
      <c r="B107" s="128">
        <v>83.5</v>
      </c>
      <c r="C107" s="264">
        <v>36886</v>
      </c>
      <c r="D107" s="133">
        <v>1.5185</v>
      </c>
      <c r="E107" s="264">
        <v>36886</v>
      </c>
      <c r="F107" s="128">
        <v>26.25</v>
      </c>
      <c r="G107" s="264">
        <v>36886</v>
      </c>
      <c r="H107" s="128">
        <v>20.375</v>
      </c>
      <c r="I107" s="264">
        <v>36886</v>
      </c>
      <c r="J107" s="128">
        <v>1.6463615409944024</v>
      </c>
      <c r="K107" s="264">
        <v>36886</v>
      </c>
      <c r="L107" s="128">
        <v>1.3846651569071498</v>
      </c>
      <c r="M107" s="264">
        <v>36886</v>
      </c>
      <c r="N107" s="128">
        <v>7.75</v>
      </c>
      <c r="O107" s="264">
        <v>36886</v>
      </c>
      <c r="P107" s="128">
        <v>6.1581972684112198</v>
      </c>
      <c r="Q107" s="264">
        <v>36886</v>
      </c>
      <c r="R107" s="128">
        <v>1.5817003697159118</v>
      </c>
      <c r="S107" s="264">
        <v>36886</v>
      </c>
      <c r="T107" s="128">
        <v>1.581700369715912</v>
      </c>
      <c r="U107" s="264">
        <v>36886</v>
      </c>
      <c r="V107" s="128">
        <v>1.975633849193283</v>
      </c>
      <c r="W107" s="264">
        <v>36886</v>
      </c>
      <c r="X107" s="128">
        <v>4.75</v>
      </c>
      <c r="Y107" s="264">
        <v>36886</v>
      </c>
      <c r="Z107" s="128">
        <v>8.375</v>
      </c>
      <c r="AA107" s="264">
        <v>36886</v>
      </c>
      <c r="AB107" s="128">
        <v>16.25</v>
      </c>
      <c r="AE107" s="133"/>
      <c r="AI107" s="128"/>
    </row>
    <row r="108" spans="1:35" x14ac:dyDescent="0.25">
      <c r="A108" s="264">
        <v>36887</v>
      </c>
      <c r="B108" s="128">
        <v>82.813000000000002</v>
      </c>
      <c r="C108" s="264">
        <v>36887</v>
      </c>
      <c r="D108" s="133">
        <v>1.5125</v>
      </c>
      <c r="E108" s="264">
        <v>36887</v>
      </c>
      <c r="F108" s="128">
        <v>25.25</v>
      </c>
      <c r="G108" s="264">
        <v>36887</v>
      </c>
      <c r="H108" s="128">
        <v>20.875</v>
      </c>
      <c r="I108" s="264">
        <v>36887</v>
      </c>
      <c r="J108" s="128">
        <v>1.6528925619834711</v>
      </c>
      <c r="K108" s="264">
        <v>36887</v>
      </c>
      <c r="L108" s="128">
        <v>1.3846651569071498</v>
      </c>
      <c r="M108" s="264">
        <v>36887</v>
      </c>
      <c r="N108" s="128">
        <v>7.75</v>
      </c>
      <c r="O108" s="264">
        <v>36887</v>
      </c>
      <c r="P108" s="128">
        <v>5.6890813099384818</v>
      </c>
      <c r="Q108" s="264">
        <v>36887</v>
      </c>
      <c r="R108" s="128">
        <v>1.7533046970361272</v>
      </c>
      <c r="S108" s="264">
        <v>36887</v>
      </c>
      <c r="T108" s="128">
        <v>1.7533046970361275</v>
      </c>
      <c r="U108" s="264">
        <v>36887</v>
      </c>
      <c r="V108" s="128">
        <v>1.9834710743801653</v>
      </c>
      <c r="W108" s="264">
        <v>36887</v>
      </c>
      <c r="X108" s="128">
        <v>4.25</v>
      </c>
      <c r="Y108" s="264">
        <v>36887</v>
      </c>
      <c r="Z108" s="128">
        <v>8.4375</v>
      </c>
      <c r="AA108" s="264">
        <v>36887</v>
      </c>
      <c r="AB108" s="128">
        <v>17.25</v>
      </c>
      <c r="AE108" s="133"/>
      <c r="AI108" s="128"/>
    </row>
    <row r="109" spans="1:35" x14ac:dyDescent="0.25">
      <c r="A109" s="264"/>
      <c r="L109" s="128"/>
      <c r="S109" s="264"/>
      <c r="V109" s="128"/>
      <c r="AA109" s="264"/>
    </row>
    <row r="258" ht="14.25" customHeight="1" x14ac:dyDescent="0.25"/>
    <row r="375" spans="1:35" x14ac:dyDescent="0.25">
      <c r="A375" s="1" t="s">
        <v>182</v>
      </c>
      <c r="C375" s="264" t="s">
        <v>182</v>
      </c>
      <c r="E375" s="264" t="s">
        <v>182</v>
      </c>
      <c r="G375" s="264" t="s">
        <v>182</v>
      </c>
      <c r="I375" s="264" t="s">
        <v>182</v>
      </c>
      <c r="K375" s="264" t="s">
        <v>182</v>
      </c>
      <c r="M375" s="264" t="s">
        <v>182</v>
      </c>
      <c r="O375" s="264" t="s">
        <v>182</v>
      </c>
      <c r="Q375" s="264" t="s">
        <v>182</v>
      </c>
      <c r="U375" s="264" t="s">
        <v>182</v>
      </c>
      <c r="W375" s="264" t="s">
        <v>182</v>
      </c>
      <c r="Y375" s="264" t="s">
        <v>182</v>
      </c>
    </row>
    <row r="377" spans="1:35" x14ac:dyDescent="0.25">
      <c r="A377" s="264">
        <f>+E377</f>
        <v>36887</v>
      </c>
      <c r="C377" s="264">
        <f>+E377</f>
        <v>36887</v>
      </c>
      <c r="E377" s="264">
        <f>+'MRP Raptor'!$U$3</f>
        <v>36887</v>
      </c>
      <c r="F377" s="128">
        <f>INDEX([0]!MPRR, MATCH("Avici EBS Raptor I",'MRP Raptor'!$E$3:$E$140,), MATCH("Per Share",'MRP Raptor'!$E$3:$CM$3,))</f>
        <v>25.25</v>
      </c>
      <c r="G377" s="264">
        <f>+'MRP Raptor'!$U$3</f>
        <v>36887</v>
      </c>
      <c r="H377" s="128">
        <f>INDEX([0]!MPRR, MATCH("Active Power Raptor I",'MRP Raptor'!$E$3:$E$140,), MATCH("Per Share",'MRP Raptor'!$E$3:$CM$3,))</f>
        <v>20.875</v>
      </c>
      <c r="I377" s="264">
        <f>+'MRP Raptor'!$U$3</f>
        <v>36887</v>
      </c>
      <c r="J377" s="128">
        <f>INDEX([0]!MPRR, MATCH("Place Resources Common Raptor I",'MRP Raptor'!$E$3:$E$140,), MATCH("Per Share",'MRP Raptor'!$E$3:$CM$3,))</f>
        <v>1.6528925619834711</v>
      </c>
      <c r="K377" s="264">
        <f>+'MRP Raptor'!$U$3</f>
        <v>36887</v>
      </c>
      <c r="L377" s="128">
        <f>INDEX([0]!MPRR, MATCH("Beau Canada Common Raptor I",'MRP Raptor'!$E$3:$E$140,), MATCH("Per Share",'MRP Raptor'!$E$3:$CM$3,))</f>
        <v>1.3846651569071498</v>
      </c>
      <c r="M377" s="264">
        <f>+'MRP Raptor'!$U$3</f>
        <v>36887</v>
      </c>
      <c r="N377" s="128">
        <f>INDEX([0]!MPRR, MATCH("DevX Energy Common Raptor I",'MRP Raptor'!$E$3:$E$140,), MATCH("Per Share",'MRP Raptor'!$E$3:$CM$3,))</f>
        <v>7.75</v>
      </c>
      <c r="O377" s="264">
        <f>+'MRP Raptor'!$U$3</f>
        <v>36887</v>
      </c>
      <c r="P377" s="128">
        <f>INDEX([0]!MPRR, MATCH("Carrizo Warrants Raptor I",'MRP Raptor'!$E$3:$E$140,), MATCH("Per Share",'MRP Raptor'!$E$3:$CM$3,))</f>
        <v>5.6890813099384818</v>
      </c>
      <c r="Q377" s="264">
        <f>+'MRP Raptor'!$U$3</f>
        <v>36887</v>
      </c>
      <c r="R377" s="128">
        <f>INDEX([0]!MPRR, MATCH("3TEC Warrants Raptor I",'MRP Raptor'!$E$3:$E$140,), MATCH("Per Share",'MRP Raptor'!$E$3:$CM$3,))</f>
        <v>1.7533046970361272</v>
      </c>
      <c r="S377" s="264">
        <f>+'MRP Raptor'!$U$3</f>
        <v>36887</v>
      </c>
      <c r="T377" s="128">
        <f>INDEX([0]!MPRR, MATCH("3TEC Warrants EGF Raptor I",'MRP Raptor'!$E$3:$E$140,), MATCH("Per Share",'MRP Raptor'!$E$3:$CM$3,))</f>
        <v>1.7533046970361275</v>
      </c>
      <c r="U377" s="264">
        <f>+'MRP Raptor'!$U$3</f>
        <v>36887</v>
      </c>
      <c r="V377" s="128">
        <f>INDEX([0]!MPRR, MATCH("Bonus Resources Common Raptor I",'MRP Raptor'!$E$3:$E$140,), MATCH("Per Share",'MRP Raptor'!$E$3:$CM$3,))</f>
        <v>1.9834710743801653</v>
      </c>
      <c r="W377" s="264">
        <f>+'MRP Raptor'!$U$3</f>
        <v>36887</v>
      </c>
      <c r="X377" s="128">
        <f>INDEX([0]!MPRR, MATCH("Paradigm Common Raptor I",'MRP Raptor'!$E$3:$E$140,), MATCH("Per Share",'MRP Raptor'!$E$3:$CM$3,))</f>
        <v>4.25</v>
      </c>
      <c r="Y377" s="264">
        <f>+'MRP Raptor'!$U$3</f>
        <v>36887</v>
      </c>
      <c r="Z377" s="128">
        <f>INDEX([0]!MPRR, MATCH("Quicksilver Common Raptor I",'MRP Raptor'!$E$3:$E$140,), MATCH("Per Share",'MRP Raptor'!$E$3:$CM$3,))</f>
        <v>8.4375</v>
      </c>
      <c r="AA377" s="264">
        <f>+'MRP Raptor'!$U$3</f>
        <v>36887</v>
      </c>
      <c r="AB377" s="128">
        <f>INDEX([0]!MPRR, MATCH("Catalytica Common Raptor I",'MRP Raptor'!$E$3:$E$140,), MATCH("Per Share",'MRP Raptor'!$E$3:$CM$3,))</f>
        <v>17.25</v>
      </c>
      <c r="AE377" s="133"/>
      <c r="AI377" s="128"/>
    </row>
    <row r="378" spans="1:35" x14ac:dyDescent="0.25">
      <c r="B378"/>
      <c r="D378"/>
      <c r="F378"/>
      <c r="H378"/>
      <c r="J378"/>
      <c r="L378"/>
      <c r="N378"/>
      <c r="P378"/>
      <c r="R378"/>
      <c r="S378" s="264"/>
      <c r="T378"/>
      <c r="V378"/>
      <c r="X378"/>
      <c r="Z378"/>
      <c r="AA378"/>
      <c r="AB378"/>
    </row>
    <row r="379" spans="1:35" x14ac:dyDescent="0.25">
      <c r="B379"/>
      <c r="D379"/>
      <c r="F379"/>
      <c r="H379"/>
      <c r="J379"/>
      <c r="L379"/>
      <c r="N379"/>
      <c r="P379"/>
      <c r="R379"/>
      <c r="S379" s="264"/>
      <c r="T379"/>
      <c r="V379"/>
      <c r="X379"/>
      <c r="Z379"/>
      <c r="AA379"/>
      <c r="AB379"/>
    </row>
    <row r="380" spans="1:35" x14ac:dyDescent="0.25">
      <c r="B380"/>
      <c r="D380"/>
      <c r="F380"/>
      <c r="H380"/>
      <c r="J380"/>
      <c r="L380"/>
      <c r="N380"/>
      <c r="P380"/>
      <c r="R380"/>
      <c r="S380" s="264"/>
      <c r="T380"/>
      <c r="V380"/>
      <c r="X380"/>
      <c r="Z380"/>
      <c r="AA380"/>
      <c r="AB380"/>
    </row>
    <row r="381" spans="1:35" x14ac:dyDescent="0.25">
      <c r="B381"/>
      <c r="D381"/>
      <c r="F381"/>
      <c r="H381"/>
      <c r="J381"/>
      <c r="L381"/>
      <c r="N381"/>
      <c r="P381"/>
      <c r="R381"/>
      <c r="S381" s="264"/>
      <c r="T381"/>
      <c r="V381"/>
      <c r="X381"/>
      <c r="Z381"/>
      <c r="AA381"/>
      <c r="AB381"/>
    </row>
    <row r="382" spans="1:35" x14ac:dyDescent="0.25">
      <c r="B382"/>
      <c r="D382"/>
      <c r="F382"/>
      <c r="H382"/>
      <c r="J382"/>
      <c r="L382"/>
      <c r="N382"/>
      <c r="P382"/>
      <c r="R382"/>
      <c r="S382" s="264"/>
      <c r="T382"/>
      <c r="V382"/>
      <c r="X382"/>
      <c r="Z382"/>
      <c r="AA382"/>
      <c r="AB382"/>
    </row>
    <row r="383" spans="1:35" x14ac:dyDescent="0.25">
      <c r="B383"/>
      <c r="D383"/>
      <c r="F383"/>
      <c r="H383"/>
      <c r="J383"/>
      <c r="L383"/>
      <c r="N383"/>
      <c r="P383"/>
      <c r="R383"/>
      <c r="S383" s="264"/>
      <c r="T383"/>
      <c r="V383"/>
      <c r="X383"/>
      <c r="Z383"/>
      <c r="AA383"/>
      <c r="AB383"/>
    </row>
    <row r="384" spans="1:35" x14ac:dyDescent="0.25">
      <c r="B384"/>
      <c r="D384"/>
      <c r="F384"/>
      <c r="H384"/>
      <c r="J384"/>
      <c r="L384"/>
      <c r="N384"/>
      <c r="P384"/>
      <c r="R384"/>
      <c r="S384" s="264"/>
      <c r="T384"/>
      <c r="V384"/>
      <c r="X384"/>
      <c r="Z384"/>
      <c r="AA384"/>
      <c r="AB384"/>
    </row>
    <row r="385" spans="2:28" x14ac:dyDescent="0.25">
      <c r="B385"/>
      <c r="D385"/>
      <c r="F385"/>
      <c r="H385"/>
      <c r="J385"/>
      <c r="L385"/>
      <c r="N385"/>
      <c r="P385"/>
      <c r="R385"/>
      <c r="S385" s="264"/>
      <c r="T385"/>
      <c r="V385"/>
      <c r="X385"/>
      <c r="Z385"/>
      <c r="AA385"/>
      <c r="AB385"/>
    </row>
    <row r="386" spans="2:28" x14ac:dyDescent="0.25">
      <c r="B386"/>
      <c r="D386"/>
      <c r="F386"/>
      <c r="H386"/>
      <c r="J386"/>
      <c r="L386"/>
      <c r="N386"/>
      <c r="P386"/>
      <c r="R386"/>
      <c r="S386" s="264"/>
      <c r="T386"/>
      <c r="V386"/>
      <c r="X386"/>
      <c r="Z386"/>
      <c r="AA386"/>
      <c r="AB386"/>
    </row>
    <row r="387" spans="2:28" x14ac:dyDescent="0.25">
      <c r="B387"/>
      <c r="D387"/>
      <c r="F387"/>
      <c r="H387"/>
      <c r="J387"/>
      <c r="L387"/>
      <c r="N387"/>
      <c r="P387"/>
      <c r="R387"/>
      <c r="S387" s="264"/>
      <c r="T387"/>
      <c r="V387"/>
      <c r="X387"/>
      <c r="Z387"/>
      <c r="AA387"/>
      <c r="AB387"/>
    </row>
    <row r="388" spans="2:28" x14ac:dyDescent="0.25">
      <c r="B388"/>
      <c r="D388"/>
      <c r="F388"/>
      <c r="H388"/>
      <c r="J388"/>
      <c r="L388"/>
      <c r="N388"/>
      <c r="P388"/>
      <c r="R388"/>
      <c r="S388" s="264"/>
      <c r="T388"/>
      <c r="V388"/>
      <c r="X388"/>
      <c r="Z388"/>
      <c r="AA388"/>
      <c r="AB388"/>
    </row>
    <row r="389" spans="2:28" x14ac:dyDescent="0.25">
      <c r="B389"/>
      <c r="D389"/>
      <c r="F389"/>
      <c r="H389"/>
      <c r="J389"/>
      <c r="L389"/>
      <c r="N389"/>
      <c r="P389"/>
      <c r="R389"/>
      <c r="S389" s="264"/>
      <c r="T389"/>
      <c r="V389"/>
      <c r="X389"/>
      <c r="Z389"/>
      <c r="AA389"/>
      <c r="AB389"/>
    </row>
    <row r="390" spans="2:28" x14ac:dyDescent="0.25">
      <c r="B390"/>
      <c r="D390"/>
      <c r="F390"/>
      <c r="H390"/>
      <c r="J390"/>
      <c r="L390"/>
      <c r="N390"/>
      <c r="P390"/>
      <c r="R390"/>
      <c r="S390" s="264"/>
      <c r="T390"/>
      <c r="V390"/>
      <c r="X390"/>
      <c r="Z390"/>
      <c r="AA390"/>
      <c r="AB390"/>
    </row>
    <row r="391" spans="2:28" x14ac:dyDescent="0.25">
      <c r="B391"/>
      <c r="D391"/>
      <c r="F391"/>
      <c r="H391"/>
      <c r="J391"/>
      <c r="L391"/>
      <c r="N391"/>
      <c r="P391"/>
      <c r="R391"/>
      <c r="S391" s="264"/>
      <c r="T391"/>
      <c r="V391"/>
      <c r="X391"/>
      <c r="Z391"/>
      <c r="AA391"/>
      <c r="AB391"/>
    </row>
    <row r="392" spans="2:28" x14ac:dyDescent="0.25">
      <c r="B392"/>
      <c r="D392"/>
      <c r="F392"/>
      <c r="H392"/>
      <c r="J392"/>
      <c r="L392"/>
      <c r="N392"/>
      <c r="P392"/>
      <c r="R392"/>
      <c r="S392" s="264"/>
      <c r="T392"/>
      <c r="V392"/>
      <c r="X392"/>
      <c r="Z392"/>
      <c r="AA392"/>
      <c r="AB392"/>
    </row>
    <row r="393" spans="2:28" x14ac:dyDescent="0.25">
      <c r="B393"/>
      <c r="D393"/>
      <c r="F393"/>
      <c r="H393"/>
      <c r="J393"/>
      <c r="L393"/>
      <c r="N393"/>
      <c r="P393"/>
      <c r="R393"/>
      <c r="S393" s="264"/>
      <c r="T393"/>
      <c r="V393"/>
      <c r="X393"/>
      <c r="Z393"/>
      <c r="AA393"/>
      <c r="AB393"/>
    </row>
    <row r="394" spans="2:28" x14ac:dyDescent="0.25">
      <c r="B394"/>
      <c r="D394"/>
      <c r="F394"/>
      <c r="H394"/>
      <c r="J394"/>
      <c r="L394"/>
      <c r="N394"/>
      <c r="P394"/>
      <c r="R394"/>
      <c r="S394" s="264"/>
      <c r="T394"/>
      <c r="V394"/>
      <c r="X394"/>
      <c r="Z394"/>
      <c r="AA394"/>
      <c r="AB394"/>
    </row>
    <row r="395" spans="2:28" x14ac:dyDescent="0.25">
      <c r="B395"/>
      <c r="D395"/>
      <c r="F395"/>
      <c r="H395"/>
      <c r="J395"/>
      <c r="L395"/>
      <c r="N395"/>
      <c r="P395"/>
      <c r="R395"/>
      <c r="S395" s="264"/>
      <c r="T395"/>
      <c r="V395"/>
      <c r="X395"/>
      <c r="Z395"/>
      <c r="AA395"/>
      <c r="AB395"/>
    </row>
    <row r="396" spans="2:28" x14ac:dyDescent="0.25">
      <c r="B396"/>
      <c r="D396"/>
      <c r="F396"/>
      <c r="H396"/>
      <c r="J396"/>
      <c r="L396"/>
      <c r="N396"/>
      <c r="P396"/>
      <c r="R396"/>
      <c r="S396" s="264"/>
      <c r="T396"/>
      <c r="V396"/>
      <c r="X396"/>
      <c r="Z396"/>
      <c r="AA396"/>
      <c r="AB396"/>
    </row>
    <row r="397" spans="2:28" x14ac:dyDescent="0.25">
      <c r="B397"/>
      <c r="D397"/>
      <c r="F397"/>
      <c r="H397"/>
      <c r="J397"/>
      <c r="L397"/>
      <c r="N397"/>
      <c r="P397"/>
      <c r="R397"/>
      <c r="S397" s="264"/>
      <c r="T397"/>
      <c r="V397"/>
      <c r="X397"/>
      <c r="Z397"/>
      <c r="AA397"/>
      <c r="AB397"/>
    </row>
    <row r="398" spans="2:28" x14ac:dyDescent="0.25">
      <c r="B398"/>
      <c r="D398"/>
      <c r="F398"/>
      <c r="H398"/>
      <c r="J398"/>
      <c r="L398"/>
      <c r="N398"/>
      <c r="P398"/>
      <c r="R398"/>
      <c r="S398" s="264"/>
      <c r="T398"/>
      <c r="V398"/>
      <c r="X398"/>
      <c r="Z398"/>
      <c r="AA398"/>
      <c r="AB398"/>
    </row>
    <row r="399" spans="2:28" x14ac:dyDescent="0.25">
      <c r="B399"/>
      <c r="D399"/>
      <c r="F399"/>
      <c r="H399"/>
      <c r="J399"/>
      <c r="L399"/>
      <c r="N399"/>
      <c r="P399"/>
      <c r="R399"/>
      <c r="S399" s="264"/>
      <c r="T399"/>
      <c r="V399"/>
      <c r="X399"/>
      <c r="Z399"/>
      <c r="AA399"/>
      <c r="AB399"/>
    </row>
    <row r="400" spans="2:28" x14ac:dyDescent="0.25">
      <c r="B400"/>
      <c r="D400"/>
      <c r="F400"/>
      <c r="H400"/>
      <c r="J400"/>
      <c r="L400"/>
      <c r="N400"/>
      <c r="P400"/>
      <c r="R400"/>
      <c r="S400" s="264"/>
      <c r="T400"/>
      <c r="V400"/>
      <c r="X400"/>
      <c r="Z400"/>
      <c r="AA400"/>
      <c r="AB400"/>
    </row>
    <row r="401" spans="2:28" x14ac:dyDescent="0.25">
      <c r="B401"/>
      <c r="D401"/>
      <c r="F401"/>
      <c r="H401"/>
      <c r="J401"/>
      <c r="L401"/>
      <c r="N401"/>
      <c r="P401"/>
      <c r="R401"/>
      <c r="S401" s="264"/>
      <c r="T401"/>
      <c r="V401"/>
      <c r="X401"/>
      <c r="Z401"/>
      <c r="AA401"/>
      <c r="AB401"/>
    </row>
    <row r="402" spans="2:28" x14ac:dyDescent="0.25">
      <c r="B402"/>
      <c r="D402"/>
      <c r="F402"/>
      <c r="H402"/>
      <c r="J402"/>
      <c r="L402"/>
      <c r="N402"/>
      <c r="P402"/>
      <c r="R402"/>
      <c r="S402" s="264"/>
      <c r="T402"/>
      <c r="V402"/>
      <c r="X402"/>
      <c r="Z402"/>
      <c r="AA402"/>
      <c r="AB402"/>
    </row>
    <row r="403" spans="2:28" x14ac:dyDescent="0.25">
      <c r="B403"/>
      <c r="D403"/>
      <c r="F403"/>
      <c r="H403"/>
      <c r="J403"/>
      <c r="L403"/>
      <c r="N403"/>
      <c r="P403"/>
      <c r="R403"/>
      <c r="S403" s="264"/>
      <c r="T403"/>
      <c r="V403"/>
      <c r="X403"/>
      <c r="Z403"/>
      <c r="AA403"/>
      <c r="AB403"/>
    </row>
    <row r="404" spans="2:28" x14ac:dyDescent="0.25">
      <c r="B404"/>
      <c r="D404"/>
      <c r="F404"/>
      <c r="H404"/>
      <c r="J404"/>
      <c r="L404"/>
      <c r="N404"/>
      <c r="P404"/>
      <c r="R404"/>
      <c r="S404" s="264"/>
      <c r="T404"/>
      <c r="V404"/>
      <c r="X404"/>
      <c r="Z404"/>
      <c r="AA404"/>
      <c r="AB404"/>
    </row>
    <row r="405" spans="2:28" x14ac:dyDescent="0.25">
      <c r="B405"/>
      <c r="D405"/>
      <c r="F405"/>
      <c r="H405"/>
      <c r="J405"/>
      <c r="L405"/>
      <c r="N405"/>
      <c r="P405"/>
      <c r="R405"/>
      <c r="S405" s="264"/>
      <c r="T405"/>
      <c r="V405"/>
      <c r="X405"/>
      <c r="Z405"/>
      <c r="AA405"/>
      <c r="AB405"/>
    </row>
    <row r="406" spans="2:28" x14ac:dyDescent="0.25">
      <c r="B406"/>
      <c r="D406"/>
      <c r="F406"/>
      <c r="H406"/>
      <c r="J406"/>
      <c r="L406"/>
      <c r="N406"/>
      <c r="P406"/>
      <c r="R406"/>
      <c r="S406" s="264"/>
      <c r="T406"/>
      <c r="V406"/>
      <c r="X406"/>
      <c r="Z406"/>
      <c r="AA406"/>
      <c r="AB406"/>
    </row>
    <row r="407" spans="2:28" x14ac:dyDescent="0.25">
      <c r="B407"/>
      <c r="D407"/>
      <c r="F407"/>
      <c r="H407"/>
      <c r="J407"/>
      <c r="L407"/>
      <c r="N407"/>
      <c r="P407"/>
      <c r="R407"/>
      <c r="S407" s="264"/>
      <c r="T407"/>
      <c r="V407"/>
      <c r="X407"/>
      <c r="Z407"/>
      <c r="AA407"/>
      <c r="AB407"/>
    </row>
    <row r="408" spans="2:28" x14ac:dyDescent="0.25">
      <c r="B408"/>
      <c r="D408"/>
      <c r="F408"/>
      <c r="H408"/>
      <c r="J408"/>
      <c r="L408"/>
      <c r="N408"/>
      <c r="P408"/>
      <c r="R408"/>
      <c r="S408" s="264"/>
      <c r="T408"/>
      <c r="V408"/>
      <c r="X408"/>
      <c r="Z408"/>
      <c r="AA408"/>
      <c r="AB408"/>
    </row>
    <row r="409" spans="2:28" x14ac:dyDescent="0.25">
      <c r="B409"/>
      <c r="D409"/>
      <c r="F409"/>
      <c r="H409"/>
      <c r="J409"/>
      <c r="L409"/>
      <c r="N409"/>
      <c r="P409"/>
      <c r="R409"/>
      <c r="S409" s="264"/>
      <c r="T409"/>
      <c r="V409"/>
      <c r="X409"/>
      <c r="Z409"/>
      <c r="AA409"/>
      <c r="AB409"/>
    </row>
    <row r="410" spans="2:28" x14ac:dyDescent="0.25">
      <c r="B410"/>
      <c r="D410"/>
      <c r="F410"/>
      <c r="H410"/>
      <c r="J410"/>
      <c r="L410"/>
      <c r="N410"/>
      <c r="P410"/>
      <c r="R410"/>
      <c r="S410" s="264"/>
      <c r="T410"/>
      <c r="V410"/>
      <c r="X410"/>
      <c r="Z410"/>
      <c r="AA410"/>
      <c r="AB410"/>
    </row>
    <row r="411" spans="2:28" x14ac:dyDescent="0.25">
      <c r="B411"/>
      <c r="D411"/>
      <c r="F411"/>
      <c r="H411"/>
      <c r="J411"/>
      <c r="L411"/>
      <c r="N411"/>
      <c r="P411"/>
      <c r="R411"/>
      <c r="S411" s="264"/>
      <c r="T411"/>
      <c r="V411"/>
      <c r="X411"/>
      <c r="Z411"/>
      <c r="AA411"/>
      <c r="AB411"/>
    </row>
    <row r="412" spans="2:28" x14ac:dyDescent="0.25">
      <c r="B412"/>
      <c r="D412"/>
      <c r="F412"/>
      <c r="H412"/>
      <c r="J412"/>
      <c r="L412"/>
      <c r="N412"/>
      <c r="P412"/>
      <c r="R412"/>
      <c r="S412" s="264"/>
      <c r="T412"/>
      <c r="V412"/>
      <c r="X412"/>
      <c r="Z412"/>
      <c r="AA412"/>
      <c r="AB412"/>
    </row>
    <row r="413" spans="2:28" x14ac:dyDescent="0.25">
      <c r="B413"/>
      <c r="D413"/>
      <c r="F413"/>
      <c r="H413"/>
      <c r="J413"/>
      <c r="L413"/>
      <c r="N413"/>
      <c r="P413"/>
      <c r="R413"/>
      <c r="S413" s="264"/>
      <c r="T413"/>
      <c r="V413"/>
      <c r="X413"/>
      <c r="Z413"/>
      <c r="AA413"/>
      <c r="AB413"/>
    </row>
    <row r="414" spans="2:28" x14ac:dyDescent="0.25">
      <c r="B414"/>
      <c r="D414"/>
      <c r="F414"/>
      <c r="H414"/>
      <c r="J414"/>
      <c r="L414"/>
      <c r="N414"/>
      <c r="P414"/>
      <c r="R414"/>
      <c r="S414" s="264"/>
      <c r="T414"/>
      <c r="V414"/>
      <c r="X414"/>
      <c r="Z414"/>
      <c r="AA414"/>
      <c r="AB414"/>
    </row>
    <row r="415" spans="2:28" x14ac:dyDescent="0.25">
      <c r="B415"/>
      <c r="D415"/>
      <c r="F415"/>
      <c r="H415"/>
      <c r="J415"/>
      <c r="L415"/>
      <c r="N415"/>
      <c r="P415"/>
      <c r="R415"/>
      <c r="S415" s="264"/>
      <c r="T415"/>
      <c r="V415"/>
      <c r="X415"/>
      <c r="Z415"/>
      <c r="AA415"/>
      <c r="AB415"/>
    </row>
    <row r="416" spans="2:28" x14ac:dyDescent="0.25">
      <c r="B416"/>
      <c r="D416"/>
      <c r="F416"/>
      <c r="H416"/>
      <c r="J416"/>
      <c r="L416"/>
      <c r="N416"/>
      <c r="P416"/>
      <c r="R416"/>
      <c r="S416" s="264"/>
      <c r="T416"/>
      <c r="V416"/>
      <c r="X416"/>
      <c r="Z416"/>
      <c r="AA416"/>
      <c r="AB416"/>
    </row>
    <row r="417" spans="2:28" x14ac:dyDescent="0.25">
      <c r="B417"/>
      <c r="D417"/>
      <c r="F417"/>
      <c r="H417"/>
      <c r="J417"/>
      <c r="L417"/>
      <c r="N417"/>
      <c r="P417"/>
      <c r="R417"/>
      <c r="S417" s="264"/>
      <c r="T417"/>
      <c r="V417"/>
      <c r="X417"/>
      <c r="Z417"/>
      <c r="AA417"/>
      <c r="AB417"/>
    </row>
    <row r="418" spans="2:28" x14ac:dyDescent="0.25">
      <c r="B418"/>
      <c r="D418"/>
      <c r="F418"/>
      <c r="H418"/>
      <c r="J418"/>
      <c r="L418"/>
      <c r="N418"/>
      <c r="P418"/>
      <c r="R418"/>
      <c r="S418" s="264"/>
      <c r="T418"/>
      <c r="V418"/>
      <c r="X418"/>
      <c r="Z418"/>
      <c r="AA418"/>
      <c r="AB418"/>
    </row>
  </sheetData>
  <mergeCells count="17">
    <mergeCell ref="AH3:AI3"/>
    <mergeCell ref="A3:B3"/>
    <mergeCell ref="E3:F3"/>
    <mergeCell ref="G3:H3"/>
    <mergeCell ref="I3:J3"/>
    <mergeCell ref="K3:L3"/>
    <mergeCell ref="M3:N3"/>
    <mergeCell ref="O3:P3"/>
    <mergeCell ref="AF3:AG3"/>
    <mergeCell ref="W3:X3"/>
    <mergeCell ref="AD3:AE3"/>
    <mergeCell ref="S3:T3"/>
    <mergeCell ref="Y3:Z3"/>
    <mergeCell ref="C3:D3"/>
    <mergeCell ref="Q3:R3"/>
    <mergeCell ref="U3:V3"/>
    <mergeCell ref="AA3:A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106" workbookViewId="0">
      <selection activeCell="A107" sqref="A107:IV107"/>
    </sheetView>
  </sheetViews>
  <sheetFormatPr defaultRowHeight="15.75" x14ac:dyDescent="0.25"/>
  <cols>
    <col min="1" max="1" width="8.75" style="264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1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61" t="s">
        <v>161</v>
      </c>
      <c r="B1" s="124"/>
      <c r="C1" s="2"/>
      <c r="D1" s="127"/>
    </row>
    <row r="2" spans="1:35" s="103" customFormat="1" x14ac:dyDescent="0.25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4" customFormat="1" ht="47.25" x14ac:dyDescent="0.25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  <c r="AH3" s="233" t="s">
        <v>255</v>
      </c>
    </row>
    <row r="4" spans="1:35" x14ac:dyDescent="0.25">
      <c r="A4" s="264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Position'!$H$10+'Stock Prices'!N5*'Daily Position'!$H$11+'Stock Prices'!Z5*'Daily Position'!$H$13)/0.6*0.3612</f>
        <v>7305134.8357232939</v>
      </c>
      <c r="AI4" s="145"/>
    </row>
    <row r="5" spans="1:35" x14ac:dyDescent="0.25">
      <c r="A5" s="264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Position'!$H$10+'Stock Prices'!N6*'Daily Position'!$H$11+'Stock Prices'!Z6*'Daily Position'!$H$13)/0.6*0.3612</f>
        <v>7404719.3011017488</v>
      </c>
      <c r="AI5" s="145"/>
    </row>
    <row r="6" spans="1:35" x14ac:dyDescent="0.25">
      <c r="A6" s="264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Position'!$H$10+'Stock Prices'!N7*'Daily Position'!$H$11+'Stock Prices'!Z7*'Daily Position'!$H$13)/0.6*0.3612</f>
        <v>7523398.6784797823</v>
      </c>
      <c r="AI6" s="145"/>
    </row>
    <row r="7" spans="1:35" x14ac:dyDescent="0.25">
      <c r="A7" s="264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Position'!$H$10+'Stock Prices'!N8*'Daily Position'!$H$11+'Stock Prices'!Z8*'Daily Position'!$H$13)/0.6*0.3612</f>
        <v>7458213.0824981257</v>
      </c>
      <c r="AI7" s="145"/>
    </row>
    <row r="8" spans="1:35" x14ac:dyDescent="0.25">
      <c r="A8" s="264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Position'!$H$10+'Stock Prices'!N9*'Daily Position'!$H$11+'Stock Prices'!Z9*'Daily Position'!$H$13)/0.6*0.3612</f>
        <v>7578794.9510216443</v>
      </c>
      <c r="AI8" s="145"/>
    </row>
    <row r="9" spans="1:35" x14ac:dyDescent="0.25">
      <c r="A9" s="264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Position'!$H$10+'Stock Prices'!N10*'Daily Position'!$H$11+'Stock Prices'!Z10*'Daily Position'!$H$13)/0.6*0.3612</f>
        <v>7549277.3709103456</v>
      </c>
      <c r="AI9" s="145"/>
    </row>
    <row r="10" spans="1:35" x14ac:dyDescent="0.25">
      <c r="A10" s="264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Position'!$H$10+'Stock Prices'!N11*'Daily Position'!$H$11+'Stock Prices'!Z11*'Daily Position'!$H$13)/0.6*0.3612</f>
        <v>7558431.5867028479</v>
      </c>
      <c r="AI10" s="145"/>
    </row>
    <row r="11" spans="1:35" x14ac:dyDescent="0.25">
      <c r="A11" s="264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Position'!$H$10+'Stock Prices'!N12*'Daily Position'!$H$11+'Stock Prices'!Z12*'Daily Position'!$H$13)/0.6*0.3612</f>
        <v>7589274.5056273108</v>
      </c>
      <c r="AI11" s="145"/>
    </row>
    <row r="12" spans="1:35" x14ac:dyDescent="0.25">
      <c r="A12" s="264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Position'!$H$10+'Stock Prices'!N13*'Daily Position'!$H$11+'Stock Prices'!Z13*'Daily Position'!$H$13)/0.6*0.3612</f>
        <v>7624613.174546469</v>
      </c>
      <c r="AI12" s="145"/>
    </row>
    <row r="13" spans="1:35" x14ac:dyDescent="0.25">
      <c r="A13" s="264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Position'!$H$10+'Stock Prices'!N14*'Daily Position'!$H$11+'Stock Prices'!Z14*'Daily Position'!$H$13)/0.6*0.3612</f>
        <v>7765227.0797651503</v>
      </c>
      <c r="AI13" s="145"/>
    </row>
    <row r="14" spans="1:35" x14ac:dyDescent="0.25">
      <c r="A14" s="264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Position'!$H$10+'Stock Prices'!N15*'Daily Position'!$H$11+'Stock Prices'!Z15*'Daily Position'!$H$13)/0.6*0.3612</f>
        <v>7672091.1006598137</v>
      </c>
      <c r="AI14" s="145"/>
    </row>
    <row r="15" spans="1:35" x14ac:dyDescent="0.25">
      <c r="A15" s="264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Position'!$H$10+'Stock Prices'!N16*'Daily Position'!$H$11+'Stock Prices'!Z16*'Daily Position'!$H$13)/0.6*0.3612</f>
        <v>7589777.6129987463</v>
      </c>
      <c r="AI15" s="145"/>
    </row>
    <row r="16" spans="1:35" x14ac:dyDescent="0.25">
      <c r="A16" s="264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Position'!$H$10+'Stock Prices'!N17*'Daily Position'!$H$11+'Stock Prices'!Z17*'Daily Position'!$H$13)/0.6*0.3612</f>
        <v>7678466.0108692711</v>
      </c>
      <c r="AI16" s="145"/>
    </row>
    <row r="17" spans="1:35" x14ac:dyDescent="0.25">
      <c r="A17" s="264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Position'!$H$10+'Stock Prices'!N18*'Daily Position'!$H$11+'Stock Prices'!Z18*'Daily Position'!$H$13)/0.6*0.3612</f>
        <v>7679632.9722745679</v>
      </c>
      <c r="AI17" s="145"/>
    </row>
    <row r="18" spans="1:35" x14ac:dyDescent="0.25">
      <c r="A18" s="264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Position'!$H$10+'Stock Prices'!N19*'Daily Position'!$H$11+'Stock Prices'!Z19*'Daily Position'!$H$13)/0.6*0.3612</f>
        <v>7884064.5074093426</v>
      </c>
      <c r="AI18" s="145"/>
    </row>
    <row r="19" spans="1:35" x14ac:dyDescent="0.25">
      <c r="A19" s="264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Position'!$H$10+'Stock Prices'!N20*'Daily Position'!$H$11+'Stock Prices'!Z20*'Daily Position'!$H$13)/0.6*0.3612</f>
        <v>7978494.0437594904</v>
      </c>
    </row>
    <row r="20" spans="1:35" x14ac:dyDescent="0.25">
      <c r="A20" s="264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Position'!$H$10+'Stock Prices'!N21*'Daily Position'!$H$11+'Stock Prices'!Z21*'Daily Position'!$H$13)/0.6*0.3612</f>
        <v>7963994.1778202429</v>
      </c>
    </row>
    <row r="21" spans="1:35" x14ac:dyDescent="0.25">
      <c r="A21" s="264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Position'!$H$10+'Stock Prices'!N22*'Daily Position'!$H$11+'Stock Prices'!Z22*'Daily Position'!$H$13)/0.6*0.3612</f>
        <v>7939636.0084839938</v>
      </c>
    </row>
    <row r="22" spans="1:35" x14ac:dyDescent="0.25">
      <c r="A22" s="264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Position'!$H$10+'Stock Prices'!N23*'Daily Position'!$H$11+'Stock Prices'!Z23*'Daily Position'!$H$13)/0.6*0.3612</f>
        <v>7914166.4943286357</v>
      </c>
    </row>
    <row r="23" spans="1:35" x14ac:dyDescent="0.25">
      <c r="A23" s="264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Position'!$H$10+'Stock Prices'!N24*'Daily Position'!$H$11+'Stock Prices'!Z24*'Daily Position'!$H$13)/0.6*0.3612</f>
        <v>8012561.3421022631</v>
      </c>
    </row>
    <row r="24" spans="1:35" x14ac:dyDescent="0.25">
      <c r="A24" s="264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Position'!$H$10+'Stock Prices'!N25*'Daily Position'!$H$11+'Stock Prices'!Z25*'Daily Position'!$H$13)/0.6*0.3612</f>
        <v>8039327.0979289468</v>
      </c>
    </row>
    <row r="25" spans="1:35" x14ac:dyDescent="0.25">
      <c r="A25" s="264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Position'!$H$10+'Stock Prices'!N26*'Daily Position'!$H$11+'Stock Prices'!Z26*'Daily Position'!$H$13)/0.6*0.3612</f>
        <v>7955869.867276758</v>
      </c>
    </row>
    <row r="26" spans="1:35" x14ac:dyDescent="0.25">
      <c r="A26" s="264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Position'!$H$10+'Stock Prices'!N27*'Daily Position'!$H$11+'Stock Prices'!Z27*'Daily Position'!$H$13)/0.6*0.3612</f>
        <v>7918418.8541880371</v>
      </c>
    </row>
    <row r="27" spans="1:35" x14ac:dyDescent="0.25">
      <c r="A27" s="264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Position'!$H$10+'Stock Prices'!N28*'Daily Position'!$H$11+'Stock Prices'!Z28*'Daily Position'!$H$13)/0.6*0.3612</f>
        <v>8068205.5580421966</v>
      </c>
    </row>
    <row r="28" spans="1:35" x14ac:dyDescent="0.25">
      <c r="A28" s="264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Position'!$H$10+'Stock Prices'!N29*'Daily Position'!$H$11+'Stock Prices'!Z29*'Daily Position'!$H$13)/0.6*0.3612</f>
        <v>8041950.6123933112</v>
      </c>
    </row>
    <row r="29" spans="1:35" x14ac:dyDescent="0.25">
      <c r="A29" s="264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Position'!$H$10+'Stock Prices'!N30*'Daily Position'!$H$11+'Stock Prices'!Z30*'Daily Position'!$H$13)/0.6*0.3612</f>
        <v>7999857.4943882991</v>
      </c>
    </row>
    <row r="30" spans="1:35" x14ac:dyDescent="0.25">
      <c r="A30" s="264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Position'!$H$10+'Stock Prices'!N31*'Daily Position'!$H$11+'Stock Prices'!Z31*'Daily Position'!$H$13)/0.6*0.3612</f>
        <v>7889106.9468475962</v>
      </c>
    </row>
    <row r="31" spans="1:35" x14ac:dyDescent="0.25">
      <c r="A31" s="264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Position'!$H$10+'Stock Prices'!N32*'Daily Position'!$H$11+'Stock Prices'!Z32*'Daily Position'!$H$13)/0.6*0.3612</f>
        <v>7848589.0523968963</v>
      </c>
    </row>
    <row r="32" spans="1:35" x14ac:dyDescent="0.25">
      <c r="A32" s="264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Position'!$H$10+'Stock Prices'!N33*'Daily Position'!$H$11+'Stock Prices'!Z33*'Daily Position'!$H$13)/0.6*0.3612</f>
        <v>7928863.5775729269</v>
      </c>
    </row>
    <row r="33" spans="1:34" x14ac:dyDescent="0.25">
      <c r="A33" s="264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Position'!$H$10+'Stock Prices'!N34*'Daily Position'!$H$11+'Stock Prices'!Z34*'Daily Position'!$H$13)/0.6*0.3612</f>
        <v>7935286.0461356817</v>
      </c>
    </row>
    <row r="34" spans="1:34" x14ac:dyDescent="0.25">
      <c r="A34" s="264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Position'!$H$10+'Stock Prices'!N35*'Daily Position'!$H$11+'Stock Prices'!Z35*'Daily Position'!$H$13)/0.6*0.3612</f>
        <v>7831755.4341768678</v>
      </c>
    </row>
    <row r="35" spans="1:34" x14ac:dyDescent="0.25">
      <c r="A35" s="264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4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4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4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4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4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4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4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4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4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4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4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4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4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4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4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4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4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4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4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4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4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4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4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4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4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4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4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4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4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4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4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4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4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4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4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4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4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4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4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4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4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4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4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4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4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4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4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4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4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4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4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4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4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4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4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4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4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4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4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4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4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4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4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4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4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4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4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4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4">
        <v>36881</v>
      </c>
      <c r="B104" s="4">
        <v>1250000</v>
      </c>
      <c r="C104" s="4">
        <v>4563600</v>
      </c>
      <c r="D104" s="4">
        <v>1423174.37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64">
        <v>36882</v>
      </c>
      <c r="B105" s="4">
        <v>1250000</v>
      </c>
      <c r="C105" s="4">
        <v>4563600</v>
      </c>
      <c r="D105" s="4">
        <v>1423174.37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64">
        <v>36886</v>
      </c>
      <c r="B106" s="4">
        <v>1250000</v>
      </c>
      <c r="C106" s="4">
        <v>4563600</v>
      </c>
      <c r="D106" s="4">
        <v>1423174.37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64">
        <v>36887</v>
      </c>
      <c r="B107" s="4">
        <v>1250000</v>
      </c>
      <c r="C107" s="4">
        <v>4563600</v>
      </c>
      <c r="D107" s="4">
        <v>1423174.37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257" ht="14.25" customHeight="1" x14ac:dyDescent="0.25"/>
    <row r="374" spans="1:34" x14ac:dyDescent="0.25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  <c r="AH374" t="s">
        <v>182</v>
      </c>
    </row>
    <row r="376" spans="1:34" x14ac:dyDescent="0.25">
      <c r="A376" s="264">
        <f>+'MRP Raptor'!$U$3</f>
        <v>36887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1423174.3699999999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Position'!O20&gt;'Daily Position'!X20,0,INDEX([0]!MPRR, MATCH("Brigham Secured SubDebt Raptor I",'MRP Raptor'!$E$3:$E$140,), MATCH("Per Share",'MRP Raptor'!$E$3:$CM$3,))-'Private Cash'!F375)</f>
        <v>0</v>
      </c>
      <c r="G376" s="4">
        <f>INDEX([0]!MPRR, MATCH("Catalytica Common Raptor I",'MRP Raptor'!$E$3:$E$140,), MATCH("Per Share",'MRP Raptor'!$E$3:$CM$3,))*'Daily Position'!$H$21-'Private Cash'!G375</f>
        <v>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Position'!$H$25-'Private Cash'!K375</f>
        <v>23507915.000000205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26054801.25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20984932.989999998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4923475.66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7463158.7400000002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Position'!$H$45-'Private Cash'!AE375</f>
        <v>80687584.609999999</v>
      </c>
      <c r="AF376" s="4">
        <f>INDEX([0]!MPRR, MATCH("WB Oil &amp; Gas Raptor I",'MRP Raptor'!$E$3:$E$140,), MATCH("Per Share",'MRP Raptor'!$E$3:$CM$3,))*'Daily Position'!$H$46-'Private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7976721.0916798562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106" workbookViewId="0">
      <selection activeCell="A107" sqref="A107:IV107"/>
    </sheetView>
  </sheetViews>
  <sheetFormatPr defaultRowHeight="15.75" x14ac:dyDescent="0.25"/>
  <cols>
    <col min="1" max="1" width="8.75" style="264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2.125" style="128" customWidth="1"/>
    <col min="7" max="7" width="14.5" customWidth="1"/>
    <col min="8" max="8" width="11.125" style="128" customWidth="1"/>
    <col min="9" max="9" width="13.375" customWidth="1"/>
    <col min="10" max="10" width="11.125" style="131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1.12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1.125" style="128" customWidth="1"/>
    <col min="23" max="23" width="11.125" customWidth="1"/>
    <col min="24" max="24" width="11.125" style="128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61" t="s">
        <v>161</v>
      </c>
      <c r="B1" s="124"/>
      <c r="C1" s="2"/>
      <c r="D1" s="127"/>
    </row>
    <row r="2" spans="1:34" s="103" customFormat="1" x14ac:dyDescent="0.25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4" customFormat="1" ht="47.25" x14ac:dyDescent="0.25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</row>
    <row r="4" spans="1:34" x14ac:dyDescent="0.25">
      <c r="A4" s="264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5"/>
    </row>
    <row r="5" spans="1:34" x14ac:dyDescent="0.25">
      <c r="A5" s="264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5"/>
    </row>
    <row r="6" spans="1:34" x14ac:dyDescent="0.25">
      <c r="A6" s="264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5"/>
    </row>
    <row r="7" spans="1:34" x14ac:dyDescent="0.25">
      <c r="A7" s="264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5"/>
    </row>
    <row r="8" spans="1:34" x14ac:dyDescent="0.25">
      <c r="A8" s="264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5"/>
    </row>
    <row r="9" spans="1:34" x14ac:dyDescent="0.25">
      <c r="A9" s="264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5"/>
    </row>
    <row r="10" spans="1:34" x14ac:dyDescent="0.25">
      <c r="A10" s="264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5"/>
    </row>
    <row r="11" spans="1:34" x14ac:dyDescent="0.25">
      <c r="A11" s="264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5"/>
    </row>
    <row r="12" spans="1:34" x14ac:dyDescent="0.25">
      <c r="A12" s="264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5"/>
    </row>
    <row r="13" spans="1:34" x14ac:dyDescent="0.25">
      <c r="A13" s="264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5"/>
    </row>
    <row r="14" spans="1:34" x14ac:dyDescent="0.25">
      <c r="A14" s="264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5"/>
    </row>
    <row r="15" spans="1:34" x14ac:dyDescent="0.25">
      <c r="A15" s="264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5"/>
    </row>
    <row r="16" spans="1:34" x14ac:dyDescent="0.25">
      <c r="A16" s="264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5"/>
    </row>
    <row r="17" spans="1:34" x14ac:dyDescent="0.25">
      <c r="A17" s="264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5"/>
    </row>
    <row r="18" spans="1:34" x14ac:dyDescent="0.25">
      <c r="A18" s="264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5"/>
    </row>
    <row r="19" spans="1:34" x14ac:dyDescent="0.25">
      <c r="A19" s="264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4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4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4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4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4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4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4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4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4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4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4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4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4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4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4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4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4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4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4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4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4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4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4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4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4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4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4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4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4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4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4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4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4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4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4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4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4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4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4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4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4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4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4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4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4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4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4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4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4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4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4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4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4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4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4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4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4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4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4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4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4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4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4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4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4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4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4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4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4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4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4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4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4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4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4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4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4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4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4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4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4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4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4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4">
        <v>36880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4">
        <v>36881</v>
      </c>
      <c r="B104" s="4">
        <v>0</v>
      </c>
      <c r="C104" s="4">
        <v>0</v>
      </c>
      <c r="D104" s="4">
        <v>-1507587.53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64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64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64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257" ht="14.25" customHeight="1" x14ac:dyDescent="0.25"/>
    <row r="374" spans="1:33" x14ac:dyDescent="0.25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</row>
    <row r="375" spans="1:33" x14ac:dyDescent="0.25">
      <c r="A375" s="264" t="s">
        <v>7</v>
      </c>
      <c r="B375" s="5">
        <f>SUM(B6:B374)</f>
        <v>0</v>
      </c>
      <c r="C375" s="5">
        <f t="shared" ref="C375:AG375" si="0">SUM(C6:C374)</f>
        <v>288005.30999999959</v>
      </c>
      <c r="D375" s="5">
        <f t="shared" si="0"/>
        <v>-1423174.3699999999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0</v>
      </c>
      <c r="K375" s="5">
        <f t="shared" si="0"/>
        <v>-2.0861625671386719E-7</v>
      </c>
      <c r="L375" s="5">
        <f t="shared" si="0"/>
        <v>0</v>
      </c>
      <c r="M375" s="5">
        <f t="shared" si="0"/>
        <v>-69762.710000000006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-237004.11999999976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-15435458.610000001</v>
      </c>
      <c r="AD375" s="5">
        <f t="shared" si="0"/>
        <v>-649438.64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4">
        <f>+A379</f>
        <v>36887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4" t="s">
        <v>549</v>
      </c>
      <c r="C378" s="275">
        <f>SUM(B377:AG377)</f>
        <v>-3.7252902984619141E-9</v>
      </c>
    </row>
    <row r="379" spans="1:33" x14ac:dyDescent="0.25">
      <c r="A379" s="264">
        <f>+'MRP Raptor'!$U$3</f>
        <v>36887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4851605.3099999996</v>
      </c>
      <c r="D379" s="4">
        <f>INDEX([0]!MPRR, MATCH("Basic Energy Preferred Raptor I",'MRP Raptor'!$E$3:$E$140,), MATCH("Per Share",'MRP Raptor'!$E$3:$CM$3,))</f>
        <v>0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Position'!$H$21</f>
        <v>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Position'!$H$25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1233217.29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26054801.25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5407002.8799999999</v>
      </c>
      <c r="T379" s="4">
        <f>INDEX([0]!MPRR, MATCH("Juniper Raptor I",'MRP Raptor'!$E$3:$E$140,), MATCH("Per Share",'MRP Raptor'!$E$3:$CM$3,))</f>
        <v>21590463.129999999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4600376.78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8143045.4000000004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880788.38999999873</v>
      </c>
      <c r="AD379" s="4">
        <f>INDEX([0]!MPRR, MATCH("Vastar Exposure Raptor I",'MRP Raptor'!$E$3:$E$140,), MATCH("Per Share",'MRP Raptor'!$E$3:$CM$3,))</f>
        <v>400561.36</v>
      </c>
      <c r="AE379" s="4">
        <f>INDEX([0]!MPRR, MATCH("Venoco Convertible Raptor I",'MRP Raptor'!$E$3:$E$140,), MATCH("Per Share",'MRP Raptor'!$E$3:$CM$3,))*'Daily Position'!$H$45</f>
        <v>81695723.129999995</v>
      </c>
      <c r="AF379" s="4">
        <f>INDEX([0]!MPRR, MATCH("WB Oil &amp; Gas Raptor I",'MRP Raptor'!$E$3:$E$140,), MATCH("Per Share",'MRP Raptor'!$E$3:$CM$3,))*'Daily Position'!$H$46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25">
      <c r="A380" s="264">
        <f>+A379-1</f>
        <v>36886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4851605.3099999996</v>
      </c>
      <c r="D380" s="4">
        <f>INDEX([0]!MPRR, MATCH("Basic Energy Preferred Raptor I",'MRP Raptor'!$E$3:$E$140,), MATCH("Value",'MRP Raptor'!$E$3:$CM$3,))</f>
        <v>0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1233217.29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26054801.25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5407002.8799999999</v>
      </c>
      <c r="T380" s="4">
        <f>INDEX([0]!MPRR, MATCH("Juniper Raptor I",'MRP Raptor'!$E$3:$E$140,), MATCH("Value",'MRP Raptor'!$E$3:$CM$3,))</f>
        <v>21590463.129999999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4600376.78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8143045.4000000004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880788.38999999873</v>
      </c>
      <c r="AD380" s="4">
        <f>INDEX([0]!MPRR, MATCH("Vastar Exposure Raptor I",'MRP Raptor'!$E$3:$E$140,), MATCH("Value",'MRP Raptor'!$E$3:$CM$3,))</f>
        <v>400561.36</v>
      </c>
      <c r="AE380" s="4">
        <f>INDEX([0]!MPRR, MATCH("Venoco Convertible Raptor I",'MRP Raptor'!$E$3:$E$140,), MATCH("Value",'MRP Raptor'!$E$3:$CM$3,))</f>
        <v>81695723.129999995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25">
      <c r="A381" s="264">
        <f>+A379</f>
        <v>36887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" workbookViewId="0">
      <selection activeCell="M8" sqref="M8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96">
        <f>+Summary!C5</f>
        <v>36887</v>
      </c>
      <c r="I2" s="296"/>
      <c r="J2" s="97"/>
      <c r="L2" s="296">
        <f>H2</f>
        <v>36887</v>
      </c>
      <c r="M2" s="296"/>
      <c r="N2" s="296"/>
      <c r="O2" s="296"/>
      <c r="P2" s="296"/>
    </row>
    <row r="3" spans="1:18" ht="16.5" thickBot="1" x14ac:dyDescent="0.3">
      <c r="H3" s="297" t="s">
        <v>101</v>
      </c>
      <c r="I3" s="297"/>
      <c r="J3" s="98"/>
      <c r="L3" s="297" t="s">
        <v>101</v>
      </c>
      <c r="M3" s="297"/>
      <c r="N3" s="297"/>
      <c r="O3" s="297"/>
      <c r="P3" s="297"/>
    </row>
    <row r="4" spans="1:18" x14ac:dyDescent="0.25">
      <c r="A4" s="298" t="s">
        <v>32</v>
      </c>
      <c r="B4" s="298"/>
      <c r="C4" s="298"/>
      <c r="D4" s="298"/>
      <c r="E4" s="298"/>
      <c r="F4" s="298"/>
      <c r="H4" s="118" t="s">
        <v>102</v>
      </c>
      <c r="I4" s="119"/>
      <c r="J4" s="13"/>
    </row>
    <row r="5" spans="1:18" ht="16.5" thickBot="1" x14ac:dyDescent="0.3">
      <c r="A5" s="302" t="s">
        <v>33</v>
      </c>
      <c r="B5" s="302"/>
      <c r="D5" s="302" t="s">
        <v>34</v>
      </c>
      <c r="E5" s="302"/>
      <c r="H5" s="120" t="s">
        <v>103</v>
      </c>
      <c r="I5" s="135">
        <f>+VLOOKUP(+Summary!C5,ene,2)</f>
        <v>82.813000000000002</v>
      </c>
      <c r="J5" s="13"/>
      <c r="L5" s="298" t="s">
        <v>123</v>
      </c>
      <c r="M5" s="298"/>
      <c r="N5" s="298"/>
      <c r="O5" s="298"/>
      <c r="P5" s="298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'Cash-Int-Trans'!F47</f>
        <v>7.2450000000000014E-2</v>
      </c>
      <c r="J6" s="13"/>
      <c r="L6" s="94" t="s">
        <v>147</v>
      </c>
      <c r="M6" s="99">
        <f>H2</f>
        <v>36887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9" t="s">
        <v>162</v>
      </c>
      <c r="I7" s="300"/>
      <c r="J7" s="13"/>
      <c r="L7" s="302" t="s">
        <v>33</v>
      </c>
      <c r="M7" s="302"/>
      <c r="O7" s="302" t="s">
        <v>34</v>
      </c>
      <c r="P7" s="302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+'Cash-Int-Trans'!B38</f>
        <v>40448199.03960292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25">
      <c r="D10" s="7" t="s">
        <v>4</v>
      </c>
      <c r="E10" s="7">
        <v>1000</v>
      </c>
      <c r="H10" s="295" t="s">
        <v>105</v>
      </c>
      <c r="I10" s="295"/>
      <c r="J10" s="13"/>
      <c r="L10" s="7" t="s">
        <v>41</v>
      </c>
      <c r="M10" s="7">
        <f>B8+I15</f>
        <v>393188616.84474885</v>
      </c>
      <c r="N10" s="18"/>
      <c r="O10" s="7" t="s">
        <v>121</v>
      </c>
      <c r="P10" s="7">
        <f>IF(I20&gt;0,0,-I20)</f>
        <v>299392194.70353788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36887</v>
      </c>
      <c r="J11" s="13"/>
      <c r="L11" s="7" t="s">
        <v>45</v>
      </c>
      <c r="M11" s="7">
        <f>+Amort!B28</f>
        <v>845833.33333333326</v>
      </c>
      <c r="O11" s="7" t="s">
        <v>559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+'Cash-Int-Trans'!B6</f>
        <v>37034148</v>
      </c>
      <c r="J12" s="29" t="s">
        <v>91</v>
      </c>
      <c r="O12" s="7" t="s">
        <v>39</v>
      </c>
      <c r="P12" s="7">
        <f>E7-I16+'Cash-Int-Trans'!B9+'Cash-Int-Trans'!B12</f>
        <v>386878202.4986074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2833310.1507139816</v>
      </c>
      <c r="J13" s="29"/>
      <c r="L13" s="7" t="s">
        <v>560</v>
      </c>
      <c r="M13" s="7">
        <f>IF(I19&gt;0,I19,0)</f>
        <v>0</v>
      </c>
      <c r="O13" s="7" t="s">
        <v>43</v>
      </c>
      <c r="P13" s="7">
        <f>IF(+I23+I35+'Cash-Int-Trans'!D85-'Cash-Int-Trans'!D84&gt;'Cash-Int-Trans'!D85,'Cash-Int-Trans'!D85,IF(+I23+I35+'Cash-Int-Trans'!D85&lt;0,0,+I23+I35+'Cash-Int-Trans'!D85-'Cash-Int-Trans'!D84))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545</v>
      </c>
      <c r="I14" s="16">
        <f>+Amort!B29</f>
        <v>2459722.222222222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-237854061.98446023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544</v>
      </c>
      <c r="I15" s="16">
        <f>-B17*A35/(3*365)</f>
        <v>43188616.844748862</v>
      </c>
      <c r="J15" s="33" t="s">
        <v>59</v>
      </c>
      <c r="L15" s="92" t="s">
        <v>7</v>
      </c>
      <c r="M15" s="12">
        <f>SUM(M8:M14)</f>
        <v>484482649.2176851</v>
      </c>
      <c r="N15" s="20"/>
      <c r="O15" s="92" t="s">
        <v>7</v>
      </c>
      <c r="P15" s="12">
        <f>SUM(P8:P14)</f>
        <v>484482649.2176851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H16" s="13" t="s">
        <v>509</v>
      </c>
      <c r="I16" s="40">
        <f>-'Cash-Int-Trans'!B62</f>
        <v>-18978664.498607367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66537132.719077706</v>
      </c>
      <c r="L17" s="238" t="s">
        <v>50</v>
      </c>
      <c r="M17" s="237"/>
      <c r="N17" s="237"/>
      <c r="O17" s="237"/>
      <c r="P17" s="237"/>
      <c r="Q17" s="16"/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9" t="s">
        <v>52</v>
      </c>
      <c r="M18" s="239"/>
      <c r="P18" s="7">
        <f>M15</f>
        <v>484482649.2176851</v>
      </c>
      <c r="Q18" s="107" t="s">
        <v>155</v>
      </c>
    </row>
    <row r="19" spans="1:20" ht="16.5" thickTop="1" x14ac:dyDescent="0.25">
      <c r="H19" s="7" t="s">
        <v>558</v>
      </c>
      <c r="I19" s="7">
        <f>IF(I5&lt;81,(81-I5)*(D14+D15),IF(I5&gt;116,(116-I5)*(+D14+D15),0))</f>
        <v>0</v>
      </c>
      <c r="J19" s="13"/>
      <c r="L19" s="7" t="s">
        <v>537</v>
      </c>
      <c r="M19" s="93">
        <f>+'Daily Position'!I47</f>
        <v>93746590</v>
      </c>
      <c r="N19" s="93"/>
      <c r="O19" s="93">
        <f>-P9</f>
        <v>-36066314</v>
      </c>
      <c r="P19" s="7">
        <f>+M19+O19</f>
        <v>57680276</v>
      </c>
      <c r="T19" s="240"/>
    </row>
    <row r="20" spans="1:20" ht="16.5" thickBot="1" x14ac:dyDescent="0.3">
      <c r="A20" s="303" t="s">
        <v>62</v>
      </c>
      <c r="B20" s="303"/>
      <c r="C20" s="303"/>
      <c r="D20" s="303"/>
      <c r="E20" s="303"/>
      <c r="H20" s="7" t="s">
        <v>119</v>
      </c>
      <c r="I20" s="7">
        <f>+'Daily Position'!P59</f>
        <v>-299392194.70353788</v>
      </c>
      <c r="L20" s="7" t="s">
        <v>154</v>
      </c>
      <c r="M20" s="93">
        <f>+'Daily Position'!I59-M19</f>
        <v>640320139.07000005</v>
      </c>
      <c r="N20" s="93"/>
      <c r="O20" s="93">
        <f>-P10</f>
        <v>-299392194.70353788</v>
      </c>
      <c r="P20" s="27">
        <f>+M20+O20</f>
        <v>340927944.36646217</v>
      </c>
    </row>
    <row r="21" spans="1:20" x14ac:dyDescent="0.25">
      <c r="A21" s="301" t="s">
        <v>52</v>
      </c>
      <c r="B21" s="301"/>
      <c r="E21" s="7">
        <f>B11</f>
        <v>471001000</v>
      </c>
      <c r="F21" s="34" t="s">
        <v>46</v>
      </c>
      <c r="H21" s="7" t="s">
        <v>120</v>
      </c>
      <c r="I21" s="27">
        <f>+'Daily Position'!Q59</f>
        <v>-267573.34567883867</v>
      </c>
      <c r="J21" s="13"/>
      <c r="K21" s="7"/>
      <c r="L21" s="7" t="s">
        <v>153</v>
      </c>
      <c r="P21" s="7">
        <f>+P18+P19+P20</f>
        <v>883090869.58414721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-299659768.04921675</v>
      </c>
      <c r="J22" s="13"/>
      <c r="K22" s="7"/>
      <c r="L22" s="7" t="s">
        <v>54</v>
      </c>
      <c r="P22" s="30">
        <f>E27</f>
        <v>3.0200000000000001E-2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-233122635.33013904</v>
      </c>
      <c r="J23" s="39" t="s">
        <v>66</v>
      </c>
      <c r="L23" s="7" t="s">
        <v>57</v>
      </c>
      <c r="P23" s="7">
        <f>P21*P22</f>
        <v>26669344.261441246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L24" s="7" t="s">
        <v>60</v>
      </c>
      <c r="P24" s="7">
        <f>P13</f>
        <v>0</v>
      </c>
      <c r="Q24" s="108" t="s">
        <v>156</v>
      </c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5" t="s">
        <v>106</v>
      </c>
      <c r="I25" s="295"/>
      <c r="J25" s="13"/>
      <c r="L25" s="35" t="s">
        <v>61</v>
      </c>
      <c r="M25" s="36"/>
      <c r="N25" s="36"/>
      <c r="O25" s="36"/>
      <c r="P25" s="109" t="str">
        <f>IF(P24&gt;=P23,"Test Passed","Test Failed")</f>
        <v>Test Failed</v>
      </c>
      <c r="Q25" s="108"/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 t="s">
        <v>63</v>
      </c>
      <c r="M26" s="13"/>
      <c r="N26" s="13"/>
      <c r="O26" s="13"/>
      <c r="P26" s="13">
        <f>P24-P23</f>
        <v>-26669344.261441246</v>
      </c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  <c r="L27" s="37" t="s">
        <v>116</v>
      </c>
      <c r="M27" s="37"/>
      <c r="N27" s="37"/>
      <c r="O27" s="37"/>
      <c r="P27" s="37">
        <f>IF(P26&lt;0,0,P26/P22)</f>
        <v>0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562</v>
      </c>
      <c r="I31" s="16">
        <f>I23</f>
        <v>-233122635.33013904</v>
      </c>
      <c r="J31" s="39" t="s">
        <v>66</v>
      </c>
      <c r="L31" s="7" t="s">
        <v>73</v>
      </c>
      <c r="M31" s="7">
        <f>E9+'Cash-Int-Trans'!B16</f>
        <v>36000000</v>
      </c>
    </row>
    <row r="32" spans="1:20" ht="16.5" thickBot="1" x14ac:dyDescent="0.3">
      <c r="A32" s="44" t="s">
        <v>149</v>
      </c>
      <c r="B32" s="45"/>
      <c r="H32" s="13" t="s">
        <v>561</v>
      </c>
      <c r="I32" s="16">
        <f>(D14+D15)*(I5-E14)</f>
        <v>93774946.090000018</v>
      </c>
      <c r="J32" s="39"/>
      <c r="L32" s="7" t="s">
        <v>75</v>
      </c>
      <c r="M32" s="27">
        <f>E10</f>
        <v>1000</v>
      </c>
    </row>
    <row r="33" spans="1:14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+'Cash-Int-Trans'!B16</f>
        <v>6000000</v>
      </c>
      <c r="M33" s="7">
        <f>SUM(M31:M32)</f>
        <v>36001000</v>
      </c>
    </row>
    <row r="34" spans="1:14" x14ac:dyDescent="0.25">
      <c r="A34" s="49">
        <f>+Summary!C5</f>
        <v>36887</v>
      </c>
      <c r="B34" s="13" t="s">
        <v>84</v>
      </c>
      <c r="C34"/>
      <c r="D34"/>
      <c r="E34"/>
      <c r="H34" s="13" t="s">
        <v>150</v>
      </c>
      <c r="I34" s="16">
        <f>-I15</f>
        <v>-43188616.844748862</v>
      </c>
      <c r="J34" s="33" t="s">
        <v>59</v>
      </c>
      <c r="L34" s="7" t="s">
        <v>78</v>
      </c>
      <c r="M34" s="7">
        <f>I23</f>
        <v>-233122635.33013904</v>
      </c>
    </row>
    <row r="35" spans="1:14" ht="16.5" thickBot="1" x14ac:dyDescent="0.3">
      <c r="A35" s="50">
        <f>A34-A33</f>
        <v>253</v>
      </c>
      <c r="B35" s="13" t="s">
        <v>85</v>
      </c>
      <c r="C35"/>
      <c r="D35"/>
      <c r="E35"/>
      <c r="H35" s="13" t="s">
        <v>151</v>
      </c>
      <c r="I35" s="16">
        <f>+'Cash-Int-Trans'!B15</f>
        <v>-41000000</v>
      </c>
      <c r="J35" s="42"/>
      <c r="L35" s="7" t="s">
        <v>79</v>
      </c>
      <c r="M35" s="27">
        <f>I35</f>
        <v>-41000000</v>
      </c>
    </row>
    <row r="36" spans="1:14" ht="16.5" thickBot="1" x14ac:dyDescent="0.3">
      <c r="A36"/>
      <c r="B36"/>
      <c r="C36"/>
      <c r="D36"/>
      <c r="E36"/>
      <c r="H36" s="37" t="s">
        <v>107</v>
      </c>
      <c r="I36" s="38">
        <f>SUM(I29:I35)</f>
        <v>-613241.08488788456</v>
      </c>
      <c r="J36" s="13"/>
      <c r="L36" s="7" t="s">
        <v>80</v>
      </c>
      <c r="M36" s="7">
        <f>SUM(M33:M35)</f>
        <v>-238121635.33013904</v>
      </c>
    </row>
    <row r="37" spans="1:14" ht="16.5" customHeight="1" thickTop="1" x14ac:dyDescent="0.25">
      <c r="A37"/>
      <c r="B37"/>
      <c r="C37"/>
      <c r="D37"/>
      <c r="E37"/>
      <c r="H37" s="7" t="s">
        <v>557</v>
      </c>
      <c r="K37" s="7"/>
      <c r="L37" s="7" t="s">
        <v>157</v>
      </c>
      <c r="M37" s="7">
        <f>P13</f>
        <v>0</v>
      </c>
    </row>
    <row r="38" spans="1:14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-237854061.98446023</v>
      </c>
    </row>
    <row r="39" spans="1:14" ht="15.75" customHeight="1" x14ac:dyDescent="0.25">
      <c r="A39"/>
      <c r="B39"/>
      <c r="C39"/>
      <c r="D39"/>
      <c r="E39"/>
      <c r="K39" s="7"/>
      <c r="M39" s="7">
        <f>M36-M37-M38</f>
        <v>-267573.3456788063</v>
      </c>
      <c r="N39" s="43" t="str">
        <f>IF(ROUND(M39,0)=0,"OK","Not OK")</f>
        <v>Not OK</v>
      </c>
    </row>
    <row r="40" spans="1:14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-267573</v>
      </c>
      <c r="N40" s="106" t="str">
        <f>IF(M40=0,"OK","Not OK")</f>
        <v>Not OK</v>
      </c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workbookViewId="0">
      <selection activeCell="B17" sqref="B17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4" ht="16.5" thickBot="1" x14ac:dyDescent="0.3">
      <c r="A1" s="304" t="s">
        <v>113</v>
      </c>
      <c r="B1" s="304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7"/>
      <c r="B5" s="14"/>
      <c r="C5" s="7"/>
    </row>
    <row r="6" spans="1:4" ht="16.5" thickBot="1" x14ac:dyDescent="0.3">
      <c r="A6" s="7" t="s">
        <v>90</v>
      </c>
      <c r="B6" s="274">
        <f>SUM(B3:B5)</f>
        <v>37034148</v>
      </c>
      <c r="C6" s="29" t="s">
        <v>91</v>
      </c>
    </row>
    <row r="7" spans="1:4" ht="16.5" thickTop="1" x14ac:dyDescent="0.25">
      <c r="A7" s="7"/>
      <c r="B7" s="14"/>
      <c r="C7" s="7"/>
    </row>
    <row r="8" spans="1:4" x14ac:dyDescent="0.25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25">
      <c r="A9" s="7" t="s">
        <v>546</v>
      </c>
      <c r="B9" s="14">
        <f>-B8</f>
        <v>3965852</v>
      </c>
      <c r="C9" s="7"/>
      <c r="D9" s="1">
        <f>+D8</f>
        <v>36741</v>
      </c>
    </row>
    <row r="10" spans="1:4" x14ac:dyDescent="0.25">
      <c r="A10" s="7"/>
      <c r="B10" s="7"/>
      <c r="C10" s="7"/>
    </row>
    <row r="11" spans="1:4" x14ac:dyDescent="0.25">
      <c r="A11" s="7" t="s">
        <v>539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25">
      <c r="A12" s="7" t="s">
        <v>541</v>
      </c>
      <c r="B12" s="14">
        <f>-B11</f>
        <v>-36066314</v>
      </c>
      <c r="C12" s="7"/>
      <c r="D12" s="1">
        <f>+D11</f>
        <v>36741</v>
      </c>
    </row>
    <row r="13" spans="1:4" x14ac:dyDescent="0.25">
      <c r="A13" s="7"/>
      <c r="B13" s="7"/>
      <c r="C13" s="7"/>
    </row>
    <row r="14" spans="1:4" x14ac:dyDescent="0.25">
      <c r="A14" s="7" t="s">
        <v>100</v>
      </c>
      <c r="B14" s="14"/>
      <c r="C14" s="7"/>
    </row>
    <row r="15" spans="1:4" x14ac:dyDescent="0.25">
      <c r="A15" s="7" t="s">
        <v>547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25">
      <c r="A16" s="7" t="s">
        <v>548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552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25">
      <c r="A19" s="7" t="s">
        <v>551</v>
      </c>
      <c r="B19" s="14">
        <f>-B18</f>
        <v>1613888.888888889</v>
      </c>
      <c r="C19" s="7"/>
      <c r="D19" s="1">
        <f>+D18</f>
        <v>36800</v>
      </c>
    </row>
    <row r="20" spans="1:4" x14ac:dyDescent="0.25">
      <c r="A20" s="7"/>
      <c r="B20" s="14"/>
      <c r="C20" s="7"/>
    </row>
    <row r="21" spans="1:4" ht="16.5" thickBot="1" x14ac:dyDescent="0.3">
      <c r="A21" s="304" t="s">
        <v>108</v>
      </c>
      <c r="B21" s="304"/>
    </row>
    <row r="23" spans="1:4" x14ac:dyDescent="0.25">
      <c r="A23" t="s">
        <v>27</v>
      </c>
      <c r="B23" s="7">
        <f>+Financials!B6</f>
        <v>71001000</v>
      </c>
      <c r="D23" s="1">
        <v>36634</v>
      </c>
    </row>
    <row r="25" spans="1:4" x14ac:dyDescent="0.25">
      <c r="A25" t="s">
        <v>109</v>
      </c>
      <c r="B25" s="7">
        <f>+Financials!I23</f>
        <v>-233122635.33013904</v>
      </c>
    </row>
    <row r="26" spans="1:4" x14ac:dyDescent="0.25">
      <c r="A26" t="s">
        <v>110</v>
      </c>
      <c r="B26" s="7">
        <f>-Financials!I15</f>
        <v>-43188616.844748862</v>
      </c>
    </row>
    <row r="27" spans="1:4" x14ac:dyDescent="0.25">
      <c r="A27" s="7" t="str">
        <f>+Financials!H20</f>
        <v>Unrealized Gains / (Losses)</v>
      </c>
      <c r="B27" s="7">
        <f>-Financials!I20-Financials!I19-Financials!I21</f>
        <v>299659768.04921675</v>
      </c>
    </row>
    <row r="29" spans="1:4" x14ac:dyDescent="0.25">
      <c r="A29" t="s">
        <v>112</v>
      </c>
    </row>
    <row r="30" spans="1:4" x14ac:dyDescent="0.25">
      <c r="A30" t="s">
        <v>114</v>
      </c>
      <c r="B30" s="7">
        <f>+Financials!B7-Financials!M9</f>
        <v>0</v>
      </c>
    </row>
    <row r="31" spans="1:4" x14ac:dyDescent="0.25">
      <c r="A31" t="s">
        <v>45</v>
      </c>
      <c r="B31" s="7">
        <f>0-Financials!M11</f>
        <v>-845833.33333333326</v>
      </c>
    </row>
    <row r="32" spans="1:4" x14ac:dyDescent="0.25">
      <c r="A32" t="s">
        <v>115</v>
      </c>
      <c r="B32" s="7">
        <f>-Financials!E7+Financials!P12</f>
        <v>-13121797.501392603</v>
      </c>
    </row>
    <row r="33" spans="1:6" x14ac:dyDescent="0.25">
      <c r="A33" t="s">
        <v>550</v>
      </c>
      <c r="B33" s="7">
        <f>-Financials!E6+Financials!P8+Financials!P9</f>
        <v>-4933686</v>
      </c>
      <c r="E33" s="7"/>
    </row>
    <row r="35" spans="1:6" x14ac:dyDescent="0.25">
      <c r="A35" t="s">
        <v>100</v>
      </c>
      <c r="B35" s="7">
        <f>+B15</f>
        <v>-41000000</v>
      </c>
    </row>
    <row r="36" spans="1:6" x14ac:dyDescent="0.25">
      <c r="A36" t="s">
        <v>124</v>
      </c>
      <c r="B36" s="7">
        <f>+B16</f>
        <v>6000000</v>
      </c>
    </row>
    <row r="38" spans="1:6" ht="16.5" thickBot="1" x14ac:dyDescent="0.3">
      <c r="A38" t="s">
        <v>29</v>
      </c>
      <c r="B38" s="12">
        <f>SUM(B23:B37)</f>
        <v>40448199.03960292</v>
      </c>
      <c r="D38" s="7">
        <f>+B23+B15+B16+B41+B19</f>
        <v>40448199.039602868</v>
      </c>
      <c r="E38" s="7"/>
    </row>
    <row r="39" spans="1:6" ht="16.5" thickTop="1" x14ac:dyDescent="0.25"/>
    <row r="40" spans="1:6" ht="16.5" thickBot="1" x14ac:dyDescent="0.3">
      <c r="A40" s="304" t="s">
        <v>159</v>
      </c>
      <c r="B40" s="304"/>
      <c r="C40" s="304"/>
      <c r="D40" s="304"/>
      <c r="E40" s="304"/>
      <c r="F40" s="304"/>
    </row>
    <row r="41" spans="1:6" x14ac:dyDescent="0.25">
      <c r="A41" s="110" t="s">
        <v>118</v>
      </c>
      <c r="B41" s="111">
        <f>+B47+B53+B59</f>
        <v>2833310.1507139816</v>
      </c>
    </row>
    <row r="42" spans="1:6" x14ac:dyDescent="0.25">
      <c r="A42" s="53"/>
      <c r="E42" s="220" t="s">
        <v>82</v>
      </c>
      <c r="F42" s="221"/>
    </row>
    <row r="43" spans="1:6" x14ac:dyDescent="0.25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25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25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25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25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25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25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25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25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25">
      <c r="A53" t="s">
        <v>28</v>
      </c>
      <c r="B53" s="54">
        <f>+B50*(F52+0.0045)/360*B52</f>
        <v>475216.1948014815</v>
      </c>
    </row>
    <row r="55" spans="1:6" x14ac:dyDescent="0.25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25">
      <c r="A56" t="s">
        <v>27</v>
      </c>
      <c r="B56" s="7">
        <v>39713987</v>
      </c>
      <c r="E56" s="1">
        <v>36814</v>
      </c>
      <c r="F56" s="48"/>
    </row>
    <row r="57" spans="1:6" x14ac:dyDescent="0.25">
      <c r="A57" t="s">
        <v>1</v>
      </c>
      <c r="B57" s="1">
        <f>IF(Summary!$C$5&lt;'Cash-Int-Trans'!B55,+'Cash-Int-Trans'!B55,Summary!$C$5)</f>
        <v>36887</v>
      </c>
      <c r="E57" s="1">
        <v>36845</v>
      </c>
      <c r="F57" s="48"/>
    </row>
    <row r="58" spans="1:6" x14ac:dyDescent="0.25">
      <c r="A58" t="s">
        <v>81</v>
      </c>
      <c r="B58" s="3">
        <f>+B57-B55</f>
        <v>87</v>
      </c>
      <c r="E58" s="51" t="s">
        <v>86</v>
      </c>
      <c r="F58" s="52">
        <f>AVERAGE(F55:F57)</f>
        <v>7.1999999999999995E-2</v>
      </c>
    </row>
    <row r="59" spans="1:6" x14ac:dyDescent="0.25">
      <c r="A59" t="s">
        <v>28</v>
      </c>
      <c r="B59" s="54">
        <f>+B56*(F58+0.0045)/360*B58</f>
        <v>734212.33466249995</v>
      </c>
    </row>
    <row r="61" spans="1:6" ht="16.5" thickBot="1" x14ac:dyDescent="0.3">
      <c r="A61" s="304" t="s">
        <v>197</v>
      </c>
      <c r="B61" s="304"/>
      <c r="C61" s="304"/>
      <c r="D61" s="304"/>
      <c r="E61" s="304"/>
      <c r="F61" s="304"/>
    </row>
    <row r="62" spans="1:6" x14ac:dyDescent="0.25">
      <c r="A62" s="110" t="s">
        <v>194</v>
      </c>
      <c r="B62" s="111">
        <f>+B64+B71+B77</f>
        <v>18978664.498607367</v>
      </c>
    </row>
    <row r="63" spans="1:6" x14ac:dyDescent="0.25">
      <c r="A63" s="53"/>
    </row>
    <row r="64" spans="1:6" x14ac:dyDescent="0.25">
      <c r="A64" t="s">
        <v>198</v>
      </c>
      <c r="B64" s="3">
        <f>+Amort!B61</f>
        <v>19346928.13210737</v>
      </c>
      <c r="E64" s="305"/>
      <c r="F64" s="306"/>
    </row>
    <row r="65" spans="1:6" x14ac:dyDescent="0.25">
      <c r="B65" s="3"/>
      <c r="E65" s="220"/>
      <c r="F65" s="221"/>
    </row>
    <row r="66" spans="1:6" x14ac:dyDescent="0.25">
      <c r="A66" t="s">
        <v>506</v>
      </c>
      <c r="B66" s="7"/>
      <c r="E66" s="47"/>
      <c r="F66" s="48"/>
    </row>
    <row r="67" spans="1:6" x14ac:dyDescent="0.25">
      <c r="A67" t="s">
        <v>199</v>
      </c>
      <c r="B67" s="1">
        <v>36741</v>
      </c>
      <c r="E67" s="47"/>
      <c r="F67" s="48"/>
    </row>
    <row r="68" spans="1:6" x14ac:dyDescent="0.25">
      <c r="A68" t="s">
        <v>200</v>
      </c>
      <c r="B68" s="3">
        <f>+B9</f>
        <v>3965852</v>
      </c>
      <c r="E68" s="47"/>
      <c r="F68" s="48"/>
    </row>
    <row r="69" spans="1:6" x14ac:dyDescent="0.25">
      <c r="A69" t="s">
        <v>1</v>
      </c>
      <c r="B69" s="1">
        <f>IF(Summary!C5&gt;Amort!A43,Amort!A43,Summary!C5)</f>
        <v>36800</v>
      </c>
    </row>
    <row r="70" spans="1:6" x14ac:dyDescent="0.25">
      <c r="A70" t="s">
        <v>81</v>
      </c>
      <c r="B70" s="3">
        <f>+B69-B67</f>
        <v>59</v>
      </c>
    </row>
    <row r="71" spans="1:6" x14ac:dyDescent="0.25">
      <c r="A71" t="s">
        <v>505</v>
      </c>
      <c r="B71" s="54">
        <f>+B68*0.07/360*B70</f>
        <v>45497.135444444444</v>
      </c>
    </row>
    <row r="73" spans="1:6" x14ac:dyDescent="0.25">
      <c r="A73" t="s">
        <v>199</v>
      </c>
      <c r="B73" s="1">
        <f>+D12</f>
        <v>36741</v>
      </c>
    </row>
    <row r="74" spans="1:6" x14ac:dyDescent="0.25">
      <c r="A74" t="s">
        <v>200</v>
      </c>
      <c r="B74" s="3">
        <f>+B12</f>
        <v>-36066314</v>
      </c>
    </row>
    <row r="75" spans="1:6" x14ac:dyDescent="0.25">
      <c r="A75" t="s">
        <v>1</v>
      </c>
      <c r="B75" s="1">
        <f>IF(Summary!C5&gt;Amort!A43,Amort!A43,Summary!C5)</f>
        <v>36800</v>
      </c>
    </row>
    <row r="76" spans="1:6" x14ac:dyDescent="0.25">
      <c r="A76" t="s">
        <v>81</v>
      </c>
      <c r="B76" s="3">
        <f>+B75-B73</f>
        <v>59</v>
      </c>
    </row>
    <row r="77" spans="1:6" x14ac:dyDescent="0.25">
      <c r="A77" t="s">
        <v>505</v>
      </c>
      <c r="B77" s="54">
        <f>+B74*0.07/360*B76</f>
        <v>-413760.76894444448</v>
      </c>
    </row>
    <row r="79" spans="1:6" ht="16.5" thickBot="1" x14ac:dyDescent="0.3">
      <c r="A79" s="304" t="s">
        <v>510</v>
      </c>
      <c r="B79" s="304"/>
      <c r="C79" s="304"/>
      <c r="D79" s="304"/>
      <c r="E79" s="304"/>
      <c r="F79" s="304"/>
    </row>
    <row r="81" spans="1:4" x14ac:dyDescent="0.25">
      <c r="A81" t="s">
        <v>129</v>
      </c>
      <c r="B81" s="1">
        <f>+Summary!C5</f>
        <v>36887</v>
      </c>
    </row>
    <row r="82" spans="1:4" x14ac:dyDescent="0.25">
      <c r="A82" t="s">
        <v>511</v>
      </c>
      <c r="B82" s="1">
        <v>36634</v>
      </c>
      <c r="D82" s="4">
        <f>IF(B81&gt;(B82-1),30000000,0)</f>
        <v>30000000</v>
      </c>
    </row>
    <row r="83" spans="1:4" x14ac:dyDescent="0.25">
      <c r="A83" t="s">
        <v>512</v>
      </c>
      <c r="B83" s="1">
        <v>36741</v>
      </c>
      <c r="D83" s="4">
        <f>IF(B81&gt;(B83-1),6000000,0)</f>
        <v>6000000</v>
      </c>
    </row>
    <row r="84" spans="1:4" ht="18" x14ac:dyDescent="0.4">
      <c r="A84" t="s">
        <v>513</v>
      </c>
      <c r="B84" s="1">
        <f>+Summary!C5</f>
        <v>36887</v>
      </c>
      <c r="D84" s="223">
        <f>IF(B84&gt;B83,+(+B84-B83)/365*0.12*D83,0)</f>
        <v>288000</v>
      </c>
    </row>
    <row r="85" spans="1:4" x14ac:dyDescent="0.25">
      <c r="A85" t="s">
        <v>514</v>
      </c>
      <c r="D85" s="5">
        <f>SUM(D82:D84)</f>
        <v>36288000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191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195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7">
        <f>+Summary!C5</f>
        <v>36887</v>
      </c>
      <c r="B23" s="307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40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87</v>
      </c>
      <c r="E27" s="117"/>
    </row>
    <row r="28" spans="1:9" s="104" customFormat="1" x14ac:dyDescent="0.25">
      <c r="A28" s="117" t="s">
        <v>30</v>
      </c>
      <c r="B28" s="104">
        <f>F25*B27/(F26-F24)</f>
        <v>845833.33333333326</v>
      </c>
    </row>
    <row r="29" spans="1:9" s="104" customFormat="1" x14ac:dyDescent="0.25">
      <c r="A29" s="117" t="s">
        <v>31</v>
      </c>
      <c r="B29" s="104">
        <f>+B25+B28</f>
        <v>2459722.222222222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192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502</v>
      </c>
      <c r="E41" s="10" t="s">
        <v>22</v>
      </c>
      <c r="F41" s="10" t="s">
        <v>28</v>
      </c>
      <c r="G41" s="10" t="s">
        <v>29</v>
      </c>
      <c r="H41" s="10" t="s">
        <v>195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7">
        <f>+Summary!C5</f>
        <v>36887</v>
      </c>
      <c r="B55" s="307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196</v>
      </c>
      <c r="B57" s="140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87</v>
      </c>
      <c r="C59" s="104"/>
      <c r="D59" s="104"/>
      <c r="E59" s="117"/>
      <c r="F59" s="104"/>
      <c r="G59" s="104"/>
    </row>
    <row r="60" spans="1:9" x14ac:dyDescent="0.25">
      <c r="A60" s="117" t="s">
        <v>193</v>
      </c>
      <c r="B60" s="104">
        <f>F57*B59/(F58-F56)</f>
        <v>6435817.0209962558</v>
      </c>
      <c r="C60" s="104"/>
      <c r="D60" s="104"/>
      <c r="E60" s="104"/>
      <c r="F60" s="104"/>
      <c r="G60" s="104"/>
    </row>
    <row r="61" spans="1:9" x14ac:dyDescent="0.25">
      <c r="A61" s="117" t="s">
        <v>194</v>
      </c>
      <c r="B61" s="104">
        <f>+B57+B60</f>
        <v>19346928.13210737</v>
      </c>
      <c r="C61" s="104"/>
      <c r="D61" s="104"/>
      <c r="E61" s="104"/>
      <c r="F61" s="104"/>
      <c r="G61" s="104"/>
    </row>
    <row r="63" spans="1:9" x14ac:dyDescent="0.25">
      <c r="A63" s="7" t="s">
        <v>507</v>
      </c>
    </row>
    <row r="64" spans="1:9" x14ac:dyDescent="0.25">
      <c r="A64" s="1">
        <f>+'Cash-Int-Trans'!B67</f>
        <v>36741</v>
      </c>
      <c r="B64" s="7" t="s">
        <v>503</v>
      </c>
      <c r="E64" s="7">
        <f>+'Cash-Int-Trans'!B68</f>
        <v>3965852</v>
      </c>
    </row>
    <row r="65" spans="1:5" x14ac:dyDescent="0.25">
      <c r="A65" s="1">
        <f>+A64</f>
        <v>36741</v>
      </c>
      <c r="B65" s="7" t="s">
        <v>508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25">
      <c r="A66" s="1">
        <f>+'Cash-Int-Trans'!B73</f>
        <v>36741</v>
      </c>
      <c r="B66" s="7" t="s">
        <v>540</v>
      </c>
      <c r="E66" s="104">
        <f>+'Cash-Int-Trans'!B74</f>
        <v>-36066314</v>
      </c>
    </row>
    <row r="67" spans="1:5" x14ac:dyDescent="0.25">
      <c r="A67" s="1">
        <f>+A66</f>
        <v>36741</v>
      </c>
      <c r="B67" s="7" t="s">
        <v>508</v>
      </c>
      <c r="C67" s="1"/>
      <c r="D67" s="1">
        <f>+'Cash-Int-Trans'!B69</f>
        <v>36800</v>
      </c>
      <c r="E67" s="222">
        <f>+'Cash-Int-Trans'!B77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+A42</f>
        <v>36634</v>
      </c>
      <c r="B70" s="7" t="s">
        <v>504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3"/>
  <sheetViews>
    <sheetView topLeftCell="E47" workbookViewId="0">
      <pane xSplit="5" topLeftCell="AC1" activePane="topRight" state="frozen"/>
      <selection activeCell="E1" sqref="E1"/>
      <selection pane="topRight" activeCell="E47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" hidden="1" customWidth="1"/>
    <col min="45" max="45" width="16.625" hidden="1" customWidth="1"/>
    <col min="46" max="46" width="14.375" hidden="1" customWidth="1"/>
    <col min="47" max="47" width="10.625" hidden="1" customWidth="1"/>
    <col min="48" max="48" width="13.87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4.375" hidden="1" customWidth="1"/>
    <col min="61" max="61" width="10.625" hidden="1" customWidth="1"/>
    <col min="62" max="62" width="13.875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.8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3.5" hidden="1" customWidth="1"/>
    <col min="79" max="79" width="14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.8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6"/>
      <c r="B1" s="146"/>
      <c r="C1" s="146"/>
      <c r="D1" s="146"/>
      <c r="E1" s="146"/>
      <c r="F1" s="146"/>
      <c r="G1" s="146"/>
      <c r="H1" s="146"/>
      <c r="I1" s="147"/>
      <c r="J1" s="148" t="s">
        <v>261</v>
      </c>
      <c r="K1" s="148" t="s">
        <v>262</v>
      </c>
      <c r="L1" s="149"/>
      <c r="M1" s="148"/>
      <c r="N1" s="150"/>
      <c r="O1" s="149" t="s">
        <v>263</v>
      </c>
      <c r="P1" s="149" t="s">
        <v>264</v>
      </c>
      <c r="Q1" s="149" t="s">
        <v>265</v>
      </c>
      <c r="R1" s="309" t="s">
        <v>266</v>
      </c>
      <c r="S1" s="309"/>
      <c r="T1" s="309"/>
      <c r="U1" s="244" t="s">
        <v>263</v>
      </c>
      <c r="V1" s="149" t="s">
        <v>4</v>
      </c>
      <c r="W1" s="149"/>
      <c r="X1" s="151"/>
      <c r="Y1" s="149"/>
      <c r="Z1" s="151"/>
      <c r="AA1" s="151"/>
      <c r="AB1" s="151"/>
      <c r="AC1" s="244" t="s">
        <v>267</v>
      </c>
      <c r="AD1" s="308" t="s">
        <v>268</v>
      </c>
      <c r="AE1" s="308"/>
      <c r="AF1" s="308"/>
      <c r="AG1" s="308"/>
      <c r="AH1" s="308"/>
      <c r="AI1" s="308"/>
      <c r="AJ1" s="308"/>
      <c r="AK1" s="308"/>
      <c r="AL1" s="152"/>
      <c r="AM1" s="151"/>
      <c r="AN1" s="152"/>
      <c r="AO1" s="151"/>
      <c r="AP1" s="151"/>
      <c r="AQ1" s="151" t="s">
        <v>269</v>
      </c>
      <c r="AR1" s="150"/>
      <c r="AS1" s="149" t="s">
        <v>263</v>
      </c>
      <c r="AT1" s="308" t="s">
        <v>270</v>
      </c>
      <c r="AU1" s="308"/>
      <c r="AV1" s="308"/>
      <c r="AW1" s="308"/>
      <c r="AX1" s="308"/>
      <c r="AY1" s="308"/>
      <c r="AZ1" s="308"/>
      <c r="BA1" s="308"/>
      <c r="BB1" s="151" t="s">
        <v>261</v>
      </c>
      <c r="BC1" s="151" t="s">
        <v>262</v>
      </c>
      <c r="BD1" s="308" t="s">
        <v>271</v>
      </c>
      <c r="BE1" s="308"/>
      <c r="BF1" s="308"/>
      <c r="BG1" s="308"/>
      <c r="BH1" s="308"/>
      <c r="BI1" s="308"/>
      <c r="BJ1" s="308"/>
      <c r="BK1" s="308"/>
      <c r="BL1" s="151" t="s">
        <v>262</v>
      </c>
      <c r="BM1" s="151" t="s">
        <v>272</v>
      </c>
      <c r="BN1" s="151" t="s">
        <v>273</v>
      </c>
      <c r="BO1" s="151" t="s">
        <v>274</v>
      </c>
      <c r="BP1" s="151"/>
      <c r="BQ1" s="149"/>
      <c r="BR1" s="148"/>
      <c r="BS1" s="151"/>
      <c r="BT1" s="151" t="s">
        <v>275</v>
      </c>
      <c r="BU1" s="225" t="s">
        <v>276</v>
      </c>
      <c r="BV1" s="151"/>
      <c r="BW1" s="151" t="s">
        <v>275</v>
      </c>
      <c r="BX1" s="151" t="s">
        <v>277</v>
      </c>
      <c r="BY1" s="149"/>
      <c r="BZ1" s="149"/>
      <c r="CA1" s="149"/>
      <c r="CB1" s="149"/>
      <c r="CC1" s="149"/>
      <c r="CD1" s="149"/>
      <c r="CE1" s="149"/>
      <c r="CF1" s="149"/>
      <c r="CG1" s="310" t="s">
        <v>278</v>
      </c>
      <c r="CH1" s="310"/>
      <c r="CI1" s="310"/>
      <c r="CJ1" s="310"/>
      <c r="CK1" s="148" t="s">
        <v>279</v>
      </c>
      <c r="CL1" s="148" t="s">
        <v>280</v>
      </c>
    </row>
    <row r="2" spans="1:90" x14ac:dyDescent="0.25">
      <c r="A2" s="153"/>
      <c r="B2" s="153"/>
      <c r="C2" s="153" t="s">
        <v>281</v>
      </c>
      <c r="D2" s="153"/>
      <c r="E2" s="153"/>
      <c r="F2" s="153"/>
      <c r="G2" s="153"/>
      <c r="H2" s="153" t="s">
        <v>282</v>
      </c>
      <c r="I2" s="154"/>
      <c r="J2" s="155" t="s">
        <v>283</v>
      </c>
      <c r="K2" s="155" t="s">
        <v>283</v>
      </c>
      <c r="L2" s="156"/>
      <c r="M2" s="155" t="s">
        <v>284</v>
      </c>
      <c r="N2" s="142"/>
      <c r="O2" s="156" t="s">
        <v>140</v>
      </c>
      <c r="P2" s="156" t="s">
        <v>285</v>
      </c>
      <c r="Q2" s="156" t="s">
        <v>285</v>
      </c>
      <c r="R2" s="156"/>
      <c r="S2" s="156"/>
      <c r="T2" s="156"/>
      <c r="U2" s="245" t="s">
        <v>140</v>
      </c>
      <c r="V2" s="156" t="s">
        <v>286</v>
      </c>
      <c r="W2" s="156" t="s">
        <v>287</v>
      </c>
      <c r="X2" s="156" t="s">
        <v>288</v>
      </c>
      <c r="Y2" s="156" t="s">
        <v>58</v>
      </c>
      <c r="Z2" s="156" t="s">
        <v>287</v>
      </c>
      <c r="AA2" s="156" t="s">
        <v>288</v>
      </c>
      <c r="AB2" s="156" t="s">
        <v>58</v>
      </c>
      <c r="AC2" s="245" t="s">
        <v>263</v>
      </c>
      <c r="AD2" s="311" t="s">
        <v>289</v>
      </c>
      <c r="AE2" s="311"/>
      <c r="AF2" s="311"/>
      <c r="AG2" s="311"/>
      <c r="AH2" s="312" t="s">
        <v>290</v>
      </c>
      <c r="AI2" s="308"/>
      <c r="AJ2" s="308"/>
      <c r="AK2" s="313"/>
      <c r="AL2" s="157">
        <v>36525</v>
      </c>
      <c r="AM2" s="158" t="s">
        <v>538</v>
      </c>
      <c r="AN2" s="156" t="s">
        <v>291</v>
      </c>
      <c r="AO2" s="156" t="s">
        <v>292</v>
      </c>
      <c r="AP2" s="156" t="s">
        <v>293</v>
      </c>
      <c r="AQ2" s="156" t="s">
        <v>294</v>
      </c>
      <c r="AR2" s="142" t="s">
        <v>295</v>
      </c>
      <c r="AS2" s="156" t="s">
        <v>140</v>
      </c>
      <c r="AT2" s="311" t="s">
        <v>296</v>
      </c>
      <c r="AU2" s="311"/>
      <c r="AV2" s="311"/>
      <c r="AW2" s="311"/>
      <c r="AX2" s="311" t="s">
        <v>291</v>
      </c>
      <c r="AY2" s="311"/>
      <c r="AZ2" s="311"/>
      <c r="BA2" s="311"/>
      <c r="BB2" s="156" t="s">
        <v>294</v>
      </c>
      <c r="BC2" s="156" t="s">
        <v>294</v>
      </c>
      <c r="BD2" s="311" t="s">
        <v>296</v>
      </c>
      <c r="BE2" s="311"/>
      <c r="BF2" s="311"/>
      <c r="BG2" s="311"/>
      <c r="BH2" s="311" t="s">
        <v>291</v>
      </c>
      <c r="BI2" s="311"/>
      <c r="BJ2" s="311"/>
      <c r="BK2" s="311"/>
      <c r="BL2" s="156" t="s">
        <v>293</v>
      </c>
      <c r="BM2" s="156" t="s">
        <v>297</v>
      </c>
      <c r="BN2" s="156" t="s">
        <v>298</v>
      </c>
      <c r="BO2" s="156" t="s">
        <v>299</v>
      </c>
      <c r="BP2" s="159" t="s">
        <v>262</v>
      </c>
      <c r="BQ2" s="156" t="s">
        <v>300</v>
      </c>
      <c r="BR2" s="155" t="s">
        <v>21</v>
      </c>
      <c r="BS2" s="156" t="s">
        <v>301</v>
      </c>
      <c r="BT2" s="156" t="s">
        <v>280</v>
      </c>
      <c r="BU2" s="226" t="s">
        <v>302</v>
      </c>
      <c r="BV2" s="159" t="s">
        <v>303</v>
      </c>
      <c r="BW2" s="156" t="s">
        <v>294</v>
      </c>
      <c r="BX2" s="156" t="s">
        <v>294</v>
      </c>
      <c r="BY2" s="156" t="s">
        <v>289</v>
      </c>
      <c r="BZ2" s="156" t="s">
        <v>296</v>
      </c>
      <c r="CA2" s="156" t="s">
        <v>290</v>
      </c>
      <c r="CB2" s="156" t="s">
        <v>291</v>
      </c>
      <c r="CC2" s="156" t="s">
        <v>289</v>
      </c>
      <c r="CD2" s="156" t="s">
        <v>296</v>
      </c>
      <c r="CE2" s="156" t="s">
        <v>290</v>
      </c>
      <c r="CF2" s="156" t="s">
        <v>291</v>
      </c>
      <c r="CG2" s="311" t="s">
        <v>304</v>
      </c>
      <c r="CH2" s="311"/>
      <c r="CI2" s="311"/>
      <c r="CJ2" s="311"/>
      <c r="CK2" s="155" t="s">
        <v>305</v>
      </c>
      <c r="CL2" s="155" t="s">
        <v>279</v>
      </c>
    </row>
    <row r="3" spans="1:90" x14ac:dyDescent="0.25">
      <c r="A3" s="160" t="s">
        <v>306</v>
      </c>
      <c r="B3" s="160" t="s">
        <v>307</v>
      </c>
      <c r="C3" s="160" t="s">
        <v>308</v>
      </c>
      <c r="D3" s="160" t="s">
        <v>309</v>
      </c>
      <c r="E3" s="160" t="s">
        <v>287</v>
      </c>
      <c r="F3" s="160" t="s">
        <v>145</v>
      </c>
      <c r="G3" s="160" t="s">
        <v>284</v>
      </c>
      <c r="H3" s="160" t="s">
        <v>310</v>
      </c>
      <c r="I3" s="161" t="s">
        <v>301</v>
      </c>
      <c r="J3" s="162" t="s">
        <v>311</v>
      </c>
      <c r="K3" s="162" t="s">
        <v>311</v>
      </c>
      <c r="L3" s="163" t="s">
        <v>292</v>
      </c>
      <c r="M3" s="162" t="s">
        <v>312</v>
      </c>
      <c r="N3" s="162" t="s">
        <v>295</v>
      </c>
      <c r="O3" s="163" t="s">
        <v>313</v>
      </c>
      <c r="P3" s="163" t="s">
        <v>313</v>
      </c>
      <c r="Q3" s="163" t="s">
        <v>313</v>
      </c>
      <c r="R3" s="164" t="s">
        <v>314</v>
      </c>
      <c r="S3" s="164" t="s">
        <v>314</v>
      </c>
      <c r="T3" s="164" t="s">
        <v>314</v>
      </c>
      <c r="U3" s="246">
        <v>36887</v>
      </c>
      <c r="V3" s="164" t="s">
        <v>315</v>
      </c>
      <c r="W3" s="164" t="s">
        <v>7</v>
      </c>
      <c r="X3" s="164" t="s">
        <v>7</v>
      </c>
      <c r="Y3" s="164" t="s">
        <v>7</v>
      </c>
      <c r="Z3" s="164" t="s">
        <v>316</v>
      </c>
      <c r="AA3" s="164" t="s">
        <v>316</v>
      </c>
      <c r="AB3" s="164" t="s">
        <v>316</v>
      </c>
      <c r="AC3" s="246" t="s">
        <v>140</v>
      </c>
      <c r="AD3" s="165" t="s">
        <v>317</v>
      </c>
      <c r="AE3" s="165" t="s">
        <v>318</v>
      </c>
      <c r="AF3" s="165" t="s">
        <v>319</v>
      </c>
      <c r="AG3" s="165" t="s">
        <v>320</v>
      </c>
      <c r="AH3" s="247" t="s">
        <v>317</v>
      </c>
      <c r="AI3" s="165" t="s">
        <v>318</v>
      </c>
      <c r="AJ3" s="165" t="s">
        <v>319</v>
      </c>
      <c r="AK3" s="248" t="s">
        <v>320</v>
      </c>
      <c r="AL3" s="165" t="s">
        <v>321</v>
      </c>
      <c r="AM3" s="164" t="s">
        <v>322</v>
      </c>
      <c r="AN3" s="164" t="s">
        <v>323</v>
      </c>
      <c r="AO3" s="164" t="s">
        <v>324</v>
      </c>
      <c r="AP3" s="164" t="s">
        <v>322</v>
      </c>
      <c r="AQ3" s="164" t="s">
        <v>325</v>
      </c>
      <c r="AR3" s="166" t="s">
        <v>324</v>
      </c>
      <c r="AS3" s="163" t="s">
        <v>326</v>
      </c>
      <c r="AT3" s="165" t="s">
        <v>317</v>
      </c>
      <c r="AU3" s="165" t="s">
        <v>318</v>
      </c>
      <c r="AV3" s="165" t="s">
        <v>319</v>
      </c>
      <c r="AW3" s="165" t="s">
        <v>320</v>
      </c>
      <c r="AX3" s="165" t="s">
        <v>317</v>
      </c>
      <c r="AY3" s="165" t="s">
        <v>318</v>
      </c>
      <c r="AZ3" s="165" t="s">
        <v>319</v>
      </c>
      <c r="BA3" s="165" t="s">
        <v>320</v>
      </c>
      <c r="BB3" s="163" t="s">
        <v>313</v>
      </c>
      <c r="BC3" s="163" t="s">
        <v>313</v>
      </c>
      <c r="BD3" s="165" t="s">
        <v>317</v>
      </c>
      <c r="BE3" s="165" t="s">
        <v>318</v>
      </c>
      <c r="BF3" s="165" t="s">
        <v>319</v>
      </c>
      <c r="BG3" s="165" t="s">
        <v>320</v>
      </c>
      <c r="BH3" s="165" t="s">
        <v>317</v>
      </c>
      <c r="BI3" s="165" t="s">
        <v>318</v>
      </c>
      <c r="BJ3" s="165" t="s">
        <v>319</v>
      </c>
      <c r="BK3" s="165" t="s">
        <v>320</v>
      </c>
      <c r="BL3" s="164" t="s">
        <v>322</v>
      </c>
      <c r="BM3" s="164" t="s">
        <v>327</v>
      </c>
      <c r="BN3" s="164" t="s">
        <v>328</v>
      </c>
      <c r="BO3" s="164" t="s">
        <v>329</v>
      </c>
      <c r="BP3" s="165" t="s">
        <v>319</v>
      </c>
      <c r="BQ3" s="163" t="s">
        <v>313</v>
      </c>
      <c r="BR3" s="162" t="s">
        <v>330</v>
      </c>
      <c r="BS3" s="163" t="s">
        <v>310</v>
      </c>
      <c r="BT3" s="163" t="s">
        <v>323</v>
      </c>
      <c r="BU3" s="227" t="s">
        <v>331</v>
      </c>
      <c r="BV3" s="165" t="s">
        <v>332</v>
      </c>
      <c r="BW3" s="163" t="s">
        <v>333</v>
      </c>
      <c r="BX3" s="163" t="s">
        <v>333</v>
      </c>
      <c r="BY3" s="163" t="s">
        <v>334</v>
      </c>
      <c r="BZ3" s="163" t="s">
        <v>334</v>
      </c>
      <c r="CA3" s="163" t="s">
        <v>334</v>
      </c>
      <c r="CB3" s="163" t="s">
        <v>334</v>
      </c>
      <c r="CC3" s="163" t="s">
        <v>335</v>
      </c>
      <c r="CD3" s="163" t="s">
        <v>335</v>
      </c>
      <c r="CE3" s="163" t="s">
        <v>335</v>
      </c>
      <c r="CF3" s="163" t="s">
        <v>335</v>
      </c>
      <c r="CG3" s="165" t="s">
        <v>317</v>
      </c>
      <c r="CH3" s="165" t="s">
        <v>318</v>
      </c>
      <c r="CI3" s="165" t="s">
        <v>319</v>
      </c>
      <c r="CJ3" s="165" t="s">
        <v>320</v>
      </c>
      <c r="CK3" s="162" t="s">
        <v>312</v>
      </c>
      <c r="CL3" s="162" t="s">
        <v>312</v>
      </c>
    </row>
    <row r="4" spans="1:90" outlineLevel="3" x14ac:dyDescent="0.25">
      <c r="A4" s="141" t="s">
        <v>336</v>
      </c>
      <c r="B4" s="141" t="s">
        <v>337</v>
      </c>
      <c r="C4" s="141" t="s">
        <v>338</v>
      </c>
      <c r="D4" s="141" t="s">
        <v>339</v>
      </c>
      <c r="E4" s="141" t="s">
        <v>201</v>
      </c>
      <c r="F4" s="141" t="s">
        <v>202</v>
      </c>
      <c r="G4" s="141" t="s">
        <v>340</v>
      </c>
      <c r="H4" s="141" t="s">
        <v>341</v>
      </c>
      <c r="I4" s="167" t="s">
        <v>342</v>
      </c>
      <c r="J4" s="168">
        <v>1</v>
      </c>
      <c r="K4" s="169">
        <v>1</v>
      </c>
      <c r="L4" s="170">
        <v>0</v>
      </c>
      <c r="M4" s="171">
        <v>0</v>
      </c>
      <c r="N4" s="171">
        <v>1</v>
      </c>
      <c r="O4" s="170">
        <v>5407002.8799999999</v>
      </c>
      <c r="P4" s="172">
        <v>5407002.8799999999</v>
      </c>
      <c r="Q4" s="173">
        <v>0</v>
      </c>
      <c r="R4" s="173" t="s">
        <v>343</v>
      </c>
      <c r="S4" s="173">
        <v>0</v>
      </c>
      <c r="T4" s="173">
        <v>0</v>
      </c>
      <c r="U4" s="249">
        <v>5407002.8799999999</v>
      </c>
      <c r="V4" s="170" t="s">
        <v>344</v>
      </c>
      <c r="W4" s="170">
        <v>0</v>
      </c>
      <c r="X4" s="170">
        <v>0</v>
      </c>
      <c r="Y4" s="170">
        <v>0</v>
      </c>
      <c r="Z4" s="170">
        <v>0</v>
      </c>
      <c r="AA4" s="170">
        <v>0</v>
      </c>
      <c r="AB4" s="170">
        <v>0</v>
      </c>
      <c r="AC4" s="249">
        <v>5407002.8799999999</v>
      </c>
      <c r="AD4" s="170">
        <v>0</v>
      </c>
      <c r="AE4" s="170">
        <v>0</v>
      </c>
      <c r="AF4" s="170">
        <v>0</v>
      </c>
      <c r="AG4" s="170">
        <v>0</v>
      </c>
      <c r="AH4" s="250">
        <v>0</v>
      </c>
      <c r="AI4" s="170">
        <v>0</v>
      </c>
      <c r="AJ4" s="170">
        <v>0</v>
      </c>
      <c r="AK4" s="251">
        <v>0</v>
      </c>
      <c r="AL4" s="174">
        <v>0</v>
      </c>
      <c r="AM4" s="170">
        <v>5644007</v>
      </c>
      <c r="AN4" s="171">
        <v>0</v>
      </c>
      <c r="AO4" s="174">
        <v>0</v>
      </c>
      <c r="AP4" s="170">
        <v>5644007</v>
      </c>
      <c r="AQ4" s="175">
        <v>1</v>
      </c>
      <c r="AR4" s="170">
        <v>5407002.8799999999</v>
      </c>
      <c r="AS4" s="170">
        <v>5407002.8799999999</v>
      </c>
      <c r="AT4" s="170">
        <v>0</v>
      </c>
      <c r="AU4" s="170">
        <v>0</v>
      </c>
      <c r="AV4" s="170">
        <v>0</v>
      </c>
      <c r="AW4" s="170">
        <v>0</v>
      </c>
      <c r="AX4" s="170">
        <v>0</v>
      </c>
      <c r="AY4" s="170">
        <v>0</v>
      </c>
      <c r="AZ4" s="170">
        <v>0</v>
      </c>
      <c r="BA4" s="170">
        <v>0</v>
      </c>
      <c r="BB4" s="170" t="s">
        <v>202</v>
      </c>
      <c r="BC4" s="170" t="s">
        <v>202</v>
      </c>
      <c r="BD4" s="170">
        <v>0</v>
      </c>
      <c r="BE4" s="170">
        <v>0</v>
      </c>
      <c r="BF4" s="170">
        <v>0</v>
      </c>
      <c r="BG4" s="170">
        <v>0</v>
      </c>
      <c r="BH4" s="170">
        <v>0</v>
      </c>
      <c r="BI4" s="170">
        <v>0</v>
      </c>
      <c r="BJ4" s="170">
        <v>0</v>
      </c>
      <c r="BK4" s="170">
        <v>0</v>
      </c>
      <c r="BL4" s="170">
        <v>5644007</v>
      </c>
      <c r="BM4" s="170" t="s">
        <v>345</v>
      </c>
      <c r="BN4" s="170">
        <v>0</v>
      </c>
      <c r="BO4" s="170" t="b">
        <v>0</v>
      </c>
      <c r="BP4" s="170">
        <v>0</v>
      </c>
      <c r="BQ4" s="176">
        <v>0</v>
      </c>
      <c r="BR4" s="171">
        <v>0</v>
      </c>
      <c r="BS4" s="177">
        <v>75</v>
      </c>
      <c r="BT4" s="171">
        <v>0</v>
      </c>
      <c r="BU4" s="235">
        <v>0</v>
      </c>
      <c r="BV4" s="171">
        <v>163</v>
      </c>
      <c r="BW4" s="178">
        <v>0</v>
      </c>
      <c r="BX4" s="178">
        <v>0</v>
      </c>
      <c r="BY4" s="170">
        <v>0</v>
      </c>
      <c r="BZ4" s="170">
        <v>-44835.12</v>
      </c>
      <c r="CA4" s="170">
        <v>-237004.12</v>
      </c>
      <c r="CB4" s="170">
        <v>5407002.8799999999</v>
      </c>
      <c r="CC4" s="170">
        <v>0</v>
      </c>
      <c r="CD4" s="170">
        <v>0</v>
      </c>
      <c r="CE4" s="170">
        <v>0</v>
      </c>
      <c r="CF4" s="170">
        <v>0</v>
      </c>
      <c r="CG4" s="170">
        <v>0</v>
      </c>
      <c r="CH4" s="170">
        <v>0</v>
      </c>
      <c r="CI4" s="170">
        <v>0</v>
      </c>
      <c r="CJ4" s="170">
        <v>0</v>
      </c>
      <c r="CK4" s="171">
        <v>0</v>
      </c>
      <c r="CL4" s="171">
        <v>0</v>
      </c>
    </row>
    <row r="5" spans="1:90" s="193" customFormat="1" ht="20.100000000000001" customHeight="1" outlineLevel="2" x14ac:dyDescent="0.25">
      <c r="A5" s="179" t="s">
        <v>346</v>
      </c>
      <c r="B5" s="180"/>
      <c r="C5" s="180"/>
      <c r="D5" s="180"/>
      <c r="E5" s="180"/>
      <c r="F5" s="180"/>
      <c r="G5" s="180"/>
      <c r="H5" s="180"/>
      <c r="I5" s="181"/>
      <c r="J5" s="182"/>
      <c r="K5" s="183"/>
      <c r="L5" s="184"/>
      <c r="M5" s="185"/>
      <c r="N5" s="185"/>
      <c r="O5" s="184"/>
      <c r="P5" s="186"/>
      <c r="Q5" s="187"/>
      <c r="R5" s="187">
        <v>0</v>
      </c>
      <c r="S5" s="187">
        <v>0</v>
      </c>
      <c r="T5" s="187">
        <v>0</v>
      </c>
      <c r="U5" s="252">
        <v>5407002.8799999999</v>
      </c>
      <c r="V5" s="184"/>
      <c r="W5" s="184">
        <v>0</v>
      </c>
      <c r="X5" s="184">
        <v>0</v>
      </c>
      <c r="Y5" s="184">
        <v>0</v>
      </c>
      <c r="Z5" s="184">
        <v>0</v>
      </c>
      <c r="AA5" s="184">
        <v>0</v>
      </c>
      <c r="AB5" s="184">
        <v>0</v>
      </c>
      <c r="AC5" s="252">
        <v>5407002.8799999999</v>
      </c>
      <c r="AD5" s="184">
        <v>0</v>
      </c>
      <c r="AE5" s="184">
        <v>0</v>
      </c>
      <c r="AF5" s="184">
        <v>0</v>
      </c>
      <c r="AG5" s="184">
        <v>0</v>
      </c>
      <c r="AH5" s="253">
        <v>0</v>
      </c>
      <c r="AI5" s="184">
        <v>0</v>
      </c>
      <c r="AJ5" s="184">
        <v>0</v>
      </c>
      <c r="AK5" s="254">
        <v>0</v>
      </c>
      <c r="AL5" s="188"/>
      <c r="AM5" s="184">
        <v>5644007</v>
      </c>
      <c r="AN5" s="185"/>
      <c r="AO5" s="188"/>
      <c r="AP5" s="184">
        <v>5644007</v>
      </c>
      <c r="AQ5" s="189"/>
      <c r="AR5" s="184"/>
      <c r="AS5" s="184"/>
      <c r="AT5" s="184">
        <v>0</v>
      </c>
      <c r="AU5" s="184">
        <v>0</v>
      </c>
      <c r="AV5" s="184">
        <v>0</v>
      </c>
      <c r="AW5" s="184">
        <v>0</v>
      </c>
      <c r="AX5" s="184">
        <v>0</v>
      </c>
      <c r="AY5" s="184">
        <v>0</v>
      </c>
      <c r="AZ5" s="184">
        <v>0</v>
      </c>
      <c r="BA5" s="184">
        <v>0</v>
      </c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90"/>
      <c r="BR5" s="185"/>
      <c r="BS5" s="191"/>
      <c r="BT5" s="185"/>
      <c r="BU5" s="228"/>
      <c r="BV5" s="185"/>
      <c r="BW5" s="192"/>
      <c r="BX5" s="192"/>
      <c r="BY5" s="184"/>
      <c r="BZ5" s="184"/>
      <c r="CA5" s="184">
        <v>-237004.12</v>
      </c>
      <c r="CB5" s="184"/>
      <c r="CC5" s="184"/>
      <c r="CD5" s="184"/>
      <c r="CE5" s="184"/>
      <c r="CF5" s="184"/>
      <c r="CG5" s="184"/>
      <c r="CH5" s="184"/>
      <c r="CI5" s="184"/>
      <c r="CJ5" s="184"/>
      <c r="CK5" s="185"/>
      <c r="CL5" s="185"/>
    </row>
    <row r="6" spans="1:90" outlineLevel="3" x14ac:dyDescent="0.25">
      <c r="A6" s="141" t="s">
        <v>347</v>
      </c>
      <c r="B6" s="141" t="s">
        <v>337</v>
      </c>
      <c r="C6" s="141" t="s">
        <v>338</v>
      </c>
      <c r="D6" s="141" t="s">
        <v>339</v>
      </c>
      <c r="E6" s="141" t="s">
        <v>237</v>
      </c>
      <c r="F6" s="141" t="s">
        <v>348</v>
      </c>
      <c r="G6" s="141" t="s">
        <v>349</v>
      </c>
      <c r="H6" s="141" t="s">
        <v>350</v>
      </c>
      <c r="I6" s="167" t="s">
        <v>342</v>
      </c>
      <c r="J6" s="169">
        <v>0</v>
      </c>
      <c r="K6" s="169">
        <v>0</v>
      </c>
      <c r="L6" s="170">
        <v>0</v>
      </c>
      <c r="M6" s="171">
        <v>0</v>
      </c>
      <c r="N6" s="171">
        <v>1</v>
      </c>
      <c r="O6" s="170">
        <v>1.3846651569071498</v>
      </c>
      <c r="P6" s="172">
        <v>1.3846651569071498</v>
      </c>
      <c r="Q6" s="172">
        <v>0</v>
      </c>
      <c r="R6" s="173" t="s">
        <v>351</v>
      </c>
      <c r="S6" s="173">
        <v>0</v>
      </c>
      <c r="T6" s="173">
        <v>0</v>
      </c>
      <c r="U6" s="249">
        <v>0</v>
      </c>
      <c r="V6" s="170" t="s">
        <v>344</v>
      </c>
      <c r="W6" s="170">
        <v>0</v>
      </c>
      <c r="X6" s="170">
        <v>0</v>
      </c>
      <c r="Y6" s="170">
        <v>0</v>
      </c>
      <c r="Z6" s="170">
        <v>0</v>
      </c>
      <c r="AA6" s="170">
        <v>0</v>
      </c>
      <c r="AB6" s="170">
        <v>0</v>
      </c>
      <c r="AC6" s="249">
        <v>0</v>
      </c>
      <c r="AD6" s="170">
        <v>0</v>
      </c>
      <c r="AE6" s="170">
        <v>0</v>
      </c>
      <c r="AF6" s="170">
        <v>0</v>
      </c>
      <c r="AG6" s="170">
        <v>0</v>
      </c>
      <c r="AH6" s="250">
        <v>0</v>
      </c>
      <c r="AI6" s="170">
        <v>0</v>
      </c>
      <c r="AJ6" s="170">
        <v>0</v>
      </c>
      <c r="AK6" s="251">
        <v>0</v>
      </c>
      <c r="AL6" s="174">
        <v>0</v>
      </c>
      <c r="AM6" s="170">
        <v>0</v>
      </c>
      <c r="AN6" s="171">
        <v>0</v>
      </c>
      <c r="AO6" s="174">
        <v>0</v>
      </c>
      <c r="AP6" s="170">
        <v>0</v>
      </c>
      <c r="AQ6" s="175">
        <v>1</v>
      </c>
      <c r="AR6" s="170">
        <v>0</v>
      </c>
      <c r="AS6" s="170">
        <v>1.3846651569071498</v>
      </c>
      <c r="AT6" s="170">
        <v>0</v>
      </c>
      <c r="AU6" s="170">
        <v>0</v>
      </c>
      <c r="AV6" s="170">
        <v>0</v>
      </c>
      <c r="AW6" s="170">
        <v>0</v>
      </c>
      <c r="AX6" s="170">
        <v>0</v>
      </c>
      <c r="AY6" s="170">
        <v>0</v>
      </c>
      <c r="AZ6" s="170">
        <v>0</v>
      </c>
      <c r="BA6" s="170">
        <v>0</v>
      </c>
      <c r="BB6" s="170">
        <v>1.3846651569071498</v>
      </c>
      <c r="BC6" s="170">
        <v>1.3846651569071498</v>
      </c>
      <c r="BD6" s="170">
        <v>0</v>
      </c>
      <c r="BE6" s="170">
        <v>0</v>
      </c>
      <c r="BF6" s="170">
        <v>0</v>
      </c>
      <c r="BG6" s="170">
        <v>0</v>
      </c>
      <c r="BH6" s="170">
        <v>0</v>
      </c>
      <c r="BI6" s="170">
        <v>0</v>
      </c>
      <c r="BJ6" s="170">
        <v>0</v>
      </c>
      <c r="BK6" s="170">
        <v>0</v>
      </c>
      <c r="BL6" s="170">
        <v>0</v>
      </c>
      <c r="BM6" s="170" t="s">
        <v>352</v>
      </c>
      <c r="BN6" s="170">
        <v>0</v>
      </c>
      <c r="BO6" s="170" t="b">
        <v>0</v>
      </c>
      <c r="BP6" s="170">
        <v>0</v>
      </c>
      <c r="BQ6" s="176">
        <v>1.19</v>
      </c>
      <c r="BR6" s="171">
        <v>0</v>
      </c>
      <c r="BS6" s="177">
        <v>76</v>
      </c>
      <c r="BT6" s="171">
        <v>0</v>
      </c>
      <c r="BU6" s="235">
        <v>0</v>
      </c>
      <c r="BV6" s="171">
        <v>153</v>
      </c>
      <c r="BW6" s="178">
        <v>0</v>
      </c>
      <c r="BX6" s="178">
        <v>0</v>
      </c>
      <c r="BY6" s="170">
        <v>0</v>
      </c>
      <c r="BZ6" s="170">
        <v>0</v>
      </c>
      <c r="CA6" s="170">
        <v>0</v>
      </c>
      <c r="CB6" s="170">
        <v>0</v>
      </c>
      <c r="CC6" s="170">
        <v>0</v>
      </c>
      <c r="CD6" s="170">
        <v>0</v>
      </c>
      <c r="CE6" s="170">
        <v>0</v>
      </c>
      <c r="CF6" s="170">
        <v>0</v>
      </c>
      <c r="CG6" s="170">
        <v>0</v>
      </c>
      <c r="CH6" s="170">
        <v>0</v>
      </c>
      <c r="CI6" s="170">
        <v>0</v>
      </c>
      <c r="CJ6" s="170">
        <v>0</v>
      </c>
      <c r="CK6" s="171">
        <v>0</v>
      </c>
      <c r="CL6" s="171">
        <v>0</v>
      </c>
    </row>
    <row r="7" spans="1:90" outlineLevel="3" x14ac:dyDescent="0.25">
      <c r="A7" s="141" t="s">
        <v>347</v>
      </c>
      <c r="B7" s="141" t="s">
        <v>337</v>
      </c>
      <c r="C7" s="141" t="s">
        <v>338</v>
      </c>
      <c r="D7" s="141" t="s">
        <v>339</v>
      </c>
      <c r="E7" s="141" t="s">
        <v>488</v>
      </c>
      <c r="F7" s="141" t="s">
        <v>489</v>
      </c>
      <c r="G7" s="141" t="s">
        <v>349</v>
      </c>
      <c r="H7" s="141" t="s">
        <v>350</v>
      </c>
      <c r="I7" s="167" t="s">
        <v>342</v>
      </c>
      <c r="J7" s="169">
        <v>0</v>
      </c>
      <c r="K7" s="169">
        <v>0</v>
      </c>
      <c r="L7" s="170">
        <v>0</v>
      </c>
      <c r="M7" s="171">
        <v>0</v>
      </c>
      <c r="N7" s="171">
        <v>1</v>
      </c>
      <c r="O7" s="170">
        <v>1.6528925619834711</v>
      </c>
      <c r="P7" s="172">
        <v>1.6463615409944024</v>
      </c>
      <c r="Q7" s="172">
        <v>6.5310209890687698E-3</v>
      </c>
      <c r="R7" s="173" t="s">
        <v>490</v>
      </c>
      <c r="S7" s="173">
        <v>0</v>
      </c>
      <c r="T7" s="173">
        <v>0</v>
      </c>
      <c r="U7" s="249">
        <v>0</v>
      </c>
      <c r="V7" s="170" t="s">
        <v>344</v>
      </c>
      <c r="W7" s="170">
        <v>0</v>
      </c>
      <c r="X7" s="170">
        <v>0</v>
      </c>
      <c r="Y7" s="170">
        <v>0</v>
      </c>
      <c r="Z7" s="170">
        <v>0</v>
      </c>
      <c r="AA7" s="170">
        <v>0</v>
      </c>
      <c r="AB7" s="170">
        <v>0</v>
      </c>
      <c r="AC7" s="249">
        <v>0</v>
      </c>
      <c r="AD7" s="170">
        <v>0</v>
      </c>
      <c r="AE7" s="170">
        <v>0</v>
      </c>
      <c r="AF7" s="170">
        <v>0</v>
      </c>
      <c r="AG7" s="170">
        <v>0</v>
      </c>
      <c r="AH7" s="250">
        <v>311681.42257607193</v>
      </c>
      <c r="AI7" s="170">
        <v>0</v>
      </c>
      <c r="AJ7" s="170">
        <v>-185338.80739603125</v>
      </c>
      <c r="AK7" s="251">
        <v>126342.61518004068</v>
      </c>
      <c r="AL7" s="174">
        <v>0</v>
      </c>
      <c r="AM7" s="170">
        <v>1112737.1820750909</v>
      </c>
      <c r="AN7" s="171">
        <v>0</v>
      </c>
      <c r="AO7" s="174">
        <v>0</v>
      </c>
      <c r="AP7" s="170">
        <v>1112737.1820750909</v>
      </c>
      <c r="AQ7" s="175">
        <v>1</v>
      </c>
      <c r="AR7" s="170">
        <v>0</v>
      </c>
      <c r="AS7" s="170">
        <v>1.6528925619834711</v>
      </c>
      <c r="AT7" s="170">
        <v>0</v>
      </c>
      <c r="AU7" s="170">
        <v>0</v>
      </c>
      <c r="AV7" s="170">
        <v>0</v>
      </c>
      <c r="AW7" s="170">
        <v>0</v>
      </c>
      <c r="AX7" s="170">
        <v>186711.47815244272</v>
      </c>
      <c r="AY7" s="170">
        <v>-1372.6707564118635</v>
      </c>
      <c r="AZ7" s="170">
        <v>-185338.80739603125</v>
      </c>
      <c r="BA7" s="170">
        <v>-3.7834979593753815E-10</v>
      </c>
      <c r="BB7" s="170">
        <v>1.6528925619834711</v>
      </c>
      <c r="BC7" s="170">
        <v>1.6463615409944024</v>
      </c>
      <c r="BD7" s="170">
        <v>0</v>
      </c>
      <c r="BE7" s="170">
        <v>0</v>
      </c>
      <c r="BF7" s="170">
        <v>0</v>
      </c>
      <c r="BG7" s="170">
        <v>0</v>
      </c>
      <c r="BH7" s="170">
        <v>186711.47815244272</v>
      </c>
      <c r="BI7" s="170">
        <v>-1372.6707564118635</v>
      </c>
      <c r="BJ7" s="170">
        <v>-185338.80739603125</v>
      </c>
      <c r="BK7" s="170">
        <v>-3.7834979593753815E-10</v>
      </c>
      <c r="BL7" s="170">
        <v>1112737.1820750909</v>
      </c>
      <c r="BM7" s="170" t="s">
        <v>352</v>
      </c>
      <c r="BN7" s="170">
        <v>0</v>
      </c>
      <c r="BO7" s="170" t="b">
        <v>0</v>
      </c>
      <c r="BP7" s="170">
        <v>-185338.80739603125</v>
      </c>
      <c r="BQ7" s="176">
        <v>1.34</v>
      </c>
      <c r="BR7" s="171">
        <v>0</v>
      </c>
      <c r="BS7" s="177">
        <v>76</v>
      </c>
      <c r="BT7" s="171">
        <v>0</v>
      </c>
      <c r="BU7" s="235">
        <v>0</v>
      </c>
      <c r="BV7" s="171">
        <v>155</v>
      </c>
      <c r="BW7" s="178">
        <v>1.6528925619834711</v>
      </c>
      <c r="BX7" s="178">
        <v>0</v>
      </c>
      <c r="BY7" s="170">
        <v>0</v>
      </c>
      <c r="BZ7" s="170">
        <v>0</v>
      </c>
      <c r="CA7" s="170">
        <v>-1424418.6046511629</v>
      </c>
      <c r="CB7" s="170">
        <v>-186711.47815244272</v>
      </c>
      <c r="CC7" s="170">
        <v>0</v>
      </c>
      <c r="CD7" s="170">
        <v>0</v>
      </c>
      <c r="CE7" s="170">
        <v>0</v>
      </c>
      <c r="CF7" s="170">
        <v>0</v>
      </c>
      <c r="CG7" s="170">
        <v>311681.42257607193</v>
      </c>
      <c r="CH7" s="170">
        <v>0</v>
      </c>
      <c r="CI7" s="170">
        <v>-185338.80739603125</v>
      </c>
      <c r="CJ7" s="170">
        <v>126342.61518004068</v>
      </c>
      <c r="CK7" s="171">
        <v>0</v>
      </c>
      <c r="CL7" s="171">
        <v>0</v>
      </c>
    </row>
    <row r="8" spans="1:90" s="193" customFormat="1" ht="20.100000000000001" customHeight="1" outlineLevel="2" x14ac:dyDescent="0.25">
      <c r="A8" s="180" t="s">
        <v>353</v>
      </c>
      <c r="B8" s="180"/>
      <c r="C8" s="180"/>
      <c r="D8" s="180"/>
      <c r="E8" s="180"/>
      <c r="F8" s="180"/>
      <c r="G8" s="180"/>
      <c r="H8" s="180"/>
      <c r="I8" s="181"/>
      <c r="J8" s="183"/>
      <c r="K8" s="183"/>
      <c r="L8" s="184"/>
      <c r="M8" s="185"/>
      <c r="N8" s="185"/>
      <c r="O8" s="184"/>
      <c r="P8" s="186"/>
      <c r="Q8" s="186"/>
      <c r="R8" s="187">
        <v>0</v>
      </c>
      <c r="S8" s="187">
        <v>0</v>
      </c>
      <c r="T8" s="187">
        <v>0</v>
      </c>
      <c r="U8" s="252">
        <v>0</v>
      </c>
      <c r="V8" s="184"/>
      <c r="W8" s="184">
        <v>0</v>
      </c>
      <c r="X8" s="184">
        <v>0</v>
      </c>
      <c r="Y8" s="184">
        <v>0</v>
      </c>
      <c r="Z8" s="184">
        <v>0</v>
      </c>
      <c r="AA8" s="184">
        <v>0</v>
      </c>
      <c r="AB8" s="184">
        <v>0</v>
      </c>
      <c r="AC8" s="252">
        <v>0</v>
      </c>
      <c r="AD8" s="184">
        <v>0</v>
      </c>
      <c r="AE8" s="184">
        <v>0</v>
      </c>
      <c r="AF8" s="184">
        <v>0</v>
      </c>
      <c r="AG8" s="184">
        <v>0</v>
      </c>
      <c r="AH8" s="253">
        <v>311681.42257607193</v>
      </c>
      <c r="AI8" s="184">
        <v>0</v>
      </c>
      <c r="AJ8" s="184">
        <v>-185338.80739603125</v>
      </c>
      <c r="AK8" s="254">
        <v>126342.61518004068</v>
      </c>
      <c r="AL8" s="188"/>
      <c r="AM8" s="184">
        <v>1112737.1820750909</v>
      </c>
      <c r="AN8" s="185"/>
      <c r="AO8" s="188"/>
      <c r="AP8" s="184">
        <v>1112737.1820750909</v>
      </c>
      <c r="AQ8" s="189"/>
      <c r="AR8" s="184"/>
      <c r="AS8" s="184"/>
      <c r="AT8" s="184">
        <v>0</v>
      </c>
      <c r="AU8" s="184">
        <v>0</v>
      </c>
      <c r="AV8" s="184">
        <v>0</v>
      </c>
      <c r="AW8" s="184">
        <v>0</v>
      </c>
      <c r="AX8" s="184">
        <v>186711.47815244272</v>
      </c>
      <c r="AY8" s="184">
        <v>-1372.6707564118635</v>
      </c>
      <c r="AZ8" s="184">
        <v>-185338.80739603125</v>
      </c>
      <c r="BA8" s="184">
        <v>-3.7834979593753815E-10</v>
      </c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90"/>
      <c r="BR8" s="185"/>
      <c r="BS8" s="191"/>
      <c r="BT8" s="185"/>
      <c r="BU8" s="228"/>
      <c r="BV8" s="185"/>
      <c r="BW8" s="192"/>
      <c r="BX8" s="192"/>
      <c r="BY8" s="184"/>
      <c r="BZ8" s="184"/>
      <c r="CA8" s="184">
        <v>-1424418.6046511629</v>
      </c>
      <c r="CB8" s="184"/>
      <c r="CC8" s="184"/>
      <c r="CD8" s="184"/>
      <c r="CE8" s="184"/>
      <c r="CF8" s="184"/>
      <c r="CG8" s="184"/>
      <c r="CH8" s="184"/>
      <c r="CI8" s="184"/>
      <c r="CJ8" s="184"/>
      <c r="CK8" s="185"/>
      <c r="CL8" s="185"/>
    </row>
    <row r="9" spans="1:90" s="204" customFormat="1" ht="30" customHeight="1" outlineLevel="1" x14ac:dyDescent="0.25">
      <c r="A9" s="180"/>
      <c r="B9" s="179" t="s">
        <v>354</v>
      </c>
      <c r="C9" s="180"/>
      <c r="D9" s="180"/>
      <c r="E9" s="180"/>
      <c r="F9" s="180"/>
      <c r="G9" s="180"/>
      <c r="H9" s="180"/>
      <c r="I9" s="181"/>
      <c r="J9" s="194"/>
      <c r="K9" s="194"/>
      <c r="L9" s="195"/>
      <c r="M9" s="196"/>
      <c r="N9" s="196"/>
      <c r="O9" s="195"/>
      <c r="P9" s="197"/>
      <c r="Q9" s="197"/>
      <c r="R9" s="198">
        <v>0</v>
      </c>
      <c r="S9" s="198">
        <v>0</v>
      </c>
      <c r="T9" s="198">
        <v>0</v>
      </c>
      <c r="U9" s="255">
        <v>5407002.8799999999</v>
      </c>
      <c r="V9" s="195"/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255">
        <v>5407002.8799999999</v>
      </c>
      <c r="AD9" s="195">
        <v>0</v>
      </c>
      <c r="AE9" s="195">
        <v>0</v>
      </c>
      <c r="AF9" s="195">
        <v>0</v>
      </c>
      <c r="AG9" s="195">
        <v>0</v>
      </c>
      <c r="AH9" s="256">
        <v>311681.42257607193</v>
      </c>
      <c r="AI9" s="195">
        <v>0</v>
      </c>
      <c r="AJ9" s="195">
        <v>-185338.80739603125</v>
      </c>
      <c r="AK9" s="257">
        <v>126342.61518004068</v>
      </c>
      <c r="AL9" s="199"/>
      <c r="AM9" s="195">
        <v>6756744.1820750907</v>
      </c>
      <c r="AN9" s="196"/>
      <c r="AO9" s="199"/>
      <c r="AP9" s="195">
        <v>6756744.1820750907</v>
      </c>
      <c r="AQ9" s="200"/>
      <c r="AR9" s="195"/>
      <c r="AS9" s="195"/>
      <c r="AT9" s="195">
        <v>0</v>
      </c>
      <c r="AU9" s="195">
        <v>0</v>
      </c>
      <c r="AV9" s="195">
        <v>0</v>
      </c>
      <c r="AW9" s="195">
        <v>0</v>
      </c>
      <c r="AX9" s="195">
        <v>186711.47815244272</v>
      </c>
      <c r="AY9" s="195">
        <v>-1372.6707564118635</v>
      </c>
      <c r="AZ9" s="195">
        <v>-185338.80739603125</v>
      </c>
      <c r="BA9" s="195">
        <v>-3.7834979593753815E-10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201"/>
      <c r="BR9" s="196"/>
      <c r="BS9" s="202"/>
      <c r="BT9" s="196"/>
      <c r="BU9" s="229"/>
      <c r="BV9" s="196"/>
      <c r="BW9" s="203"/>
      <c r="BX9" s="203"/>
      <c r="BY9" s="195"/>
      <c r="BZ9" s="195"/>
      <c r="CA9" s="195">
        <v>-1661422.724651163</v>
      </c>
      <c r="CB9" s="195"/>
      <c r="CC9" s="195"/>
      <c r="CD9" s="195"/>
      <c r="CE9" s="195"/>
      <c r="CF9" s="195"/>
      <c r="CG9" s="195"/>
      <c r="CH9" s="195"/>
      <c r="CI9" s="195"/>
      <c r="CJ9" s="195"/>
      <c r="CK9" s="196"/>
      <c r="CL9" s="196"/>
    </row>
    <row r="10" spans="1:90" outlineLevel="3" x14ac:dyDescent="0.25">
      <c r="A10" s="141" t="s">
        <v>491</v>
      </c>
      <c r="B10" s="141" t="s">
        <v>492</v>
      </c>
      <c r="C10" s="141" t="s">
        <v>493</v>
      </c>
      <c r="D10" s="141" t="s">
        <v>494</v>
      </c>
      <c r="E10" s="141" t="s">
        <v>495</v>
      </c>
      <c r="F10" s="141" t="s">
        <v>496</v>
      </c>
      <c r="G10" s="141" t="s">
        <v>497</v>
      </c>
      <c r="H10" s="141" t="s">
        <v>350</v>
      </c>
      <c r="I10" s="167" t="s">
        <v>342</v>
      </c>
      <c r="J10" s="169">
        <v>1093426</v>
      </c>
      <c r="K10" s="169">
        <v>1093426</v>
      </c>
      <c r="L10" s="171">
        <v>0</v>
      </c>
      <c r="M10" s="171">
        <v>0</v>
      </c>
      <c r="N10" s="171">
        <v>1</v>
      </c>
      <c r="O10" s="170">
        <v>25.25</v>
      </c>
      <c r="P10" s="172">
        <v>26.25</v>
      </c>
      <c r="Q10" s="172">
        <v>-1</v>
      </c>
      <c r="R10" s="173">
        <v>0</v>
      </c>
      <c r="S10" s="173">
        <v>0</v>
      </c>
      <c r="T10" s="173">
        <v>0</v>
      </c>
      <c r="U10" s="249">
        <v>27609006.5</v>
      </c>
      <c r="V10" s="170" t="s">
        <v>344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249">
        <v>28702432.5</v>
      </c>
      <c r="AD10" s="170">
        <v>-1093426</v>
      </c>
      <c r="AE10" s="170">
        <v>0</v>
      </c>
      <c r="AF10" s="170">
        <v>1093426</v>
      </c>
      <c r="AG10" s="170">
        <v>0</v>
      </c>
      <c r="AH10" s="250">
        <v>-76403141.75</v>
      </c>
      <c r="AI10" s="170">
        <v>0</v>
      </c>
      <c r="AJ10" s="170">
        <v>150072718.5</v>
      </c>
      <c r="AK10" s="251">
        <v>73669576.75</v>
      </c>
      <c r="AL10" s="174">
        <v>0</v>
      </c>
      <c r="AM10" s="170">
        <v>104012148.25</v>
      </c>
      <c r="AN10" s="171">
        <v>0</v>
      </c>
      <c r="AO10" s="174">
        <v>0</v>
      </c>
      <c r="AP10" s="170">
        <v>104012148.25</v>
      </c>
      <c r="AQ10" s="175">
        <v>1</v>
      </c>
      <c r="AR10" s="170">
        <v>27609006.5</v>
      </c>
      <c r="AS10" s="170">
        <v>25.25</v>
      </c>
      <c r="AT10" s="170">
        <v>4510382.25</v>
      </c>
      <c r="AU10" s="170">
        <v>0</v>
      </c>
      <c r="AV10" s="170">
        <v>-4510382.25</v>
      </c>
      <c r="AW10" s="170">
        <v>0</v>
      </c>
      <c r="AX10" s="170">
        <v>-150072718.5</v>
      </c>
      <c r="AY10" s="170">
        <v>0</v>
      </c>
      <c r="AZ10" s="170">
        <v>150072718.5</v>
      </c>
      <c r="BA10" s="170">
        <v>0</v>
      </c>
      <c r="BB10" s="170">
        <v>25.25</v>
      </c>
      <c r="BC10" s="170">
        <v>26.25</v>
      </c>
      <c r="BD10" s="170">
        <v>5603808.25</v>
      </c>
      <c r="BE10" s="170">
        <v>0</v>
      </c>
      <c r="BF10" s="170">
        <v>-5603808.25</v>
      </c>
      <c r="BG10" s="170">
        <v>0</v>
      </c>
      <c r="BH10" s="170">
        <v>-148979292.5</v>
      </c>
      <c r="BI10" s="170">
        <v>0</v>
      </c>
      <c r="BJ10" s="170">
        <v>148979292.5</v>
      </c>
      <c r="BK10" s="170">
        <v>0</v>
      </c>
      <c r="BL10" s="170">
        <v>104012148.25</v>
      </c>
      <c r="BM10" s="170" t="s">
        <v>352</v>
      </c>
      <c r="BN10" s="170">
        <v>0</v>
      </c>
      <c r="BO10" s="170" t="b">
        <v>0</v>
      </c>
      <c r="BP10" s="170">
        <v>148979292.5</v>
      </c>
      <c r="BQ10" s="172">
        <v>3</v>
      </c>
      <c r="BR10" s="171">
        <v>3280278</v>
      </c>
      <c r="BS10" s="177">
        <v>58</v>
      </c>
      <c r="BT10" s="171">
        <v>-1093426</v>
      </c>
      <c r="BU10" s="235">
        <v>0</v>
      </c>
      <c r="BV10" s="171">
        <v>74</v>
      </c>
      <c r="BW10" s="178">
        <v>25.25</v>
      </c>
      <c r="BX10" s="178">
        <v>0</v>
      </c>
      <c r="BY10" s="170">
        <v>0</v>
      </c>
      <c r="BZ10" s="170">
        <v>0</v>
      </c>
      <c r="CA10" s="170">
        <v>0</v>
      </c>
      <c r="CB10" s="170">
        <v>177681725</v>
      </c>
      <c r="CC10" s="170">
        <v>0</v>
      </c>
      <c r="CD10" s="170">
        <v>0</v>
      </c>
      <c r="CE10" s="170">
        <v>0</v>
      </c>
      <c r="CF10" s="170">
        <v>0</v>
      </c>
      <c r="CG10" s="170">
        <v>-75309715.75</v>
      </c>
      <c r="CH10" s="170">
        <v>0</v>
      </c>
      <c r="CI10" s="170">
        <v>148979292.5</v>
      </c>
      <c r="CJ10" s="170">
        <v>73669576.75</v>
      </c>
      <c r="CK10" s="171">
        <v>0</v>
      </c>
      <c r="CL10" s="171">
        <v>0</v>
      </c>
    </row>
    <row r="11" spans="1:90" s="193" customFormat="1" ht="20.100000000000001" customHeight="1" outlineLevel="2" x14ac:dyDescent="0.25">
      <c r="A11" s="180" t="s">
        <v>498</v>
      </c>
      <c r="B11" s="180"/>
      <c r="C11" s="180"/>
      <c r="D11" s="180"/>
      <c r="E11" s="180"/>
      <c r="F11" s="180"/>
      <c r="G11" s="180"/>
      <c r="H11" s="180"/>
      <c r="I11" s="181"/>
      <c r="J11" s="183"/>
      <c r="K11" s="183"/>
      <c r="L11" s="185"/>
      <c r="M11" s="185"/>
      <c r="N11" s="185"/>
      <c r="O11" s="184"/>
      <c r="P11" s="186"/>
      <c r="Q11" s="186"/>
      <c r="R11" s="187">
        <v>0</v>
      </c>
      <c r="S11" s="187">
        <v>0</v>
      </c>
      <c r="T11" s="187">
        <v>0</v>
      </c>
      <c r="U11" s="252">
        <v>27609006.5</v>
      </c>
      <c r="V11" s="184"/>
      <c r="W11" s="184">
        <v>0</v>
      </c>
      <c r="X11" s="184">
        <v>0</v>
      </c>
      <c r="Y11" s="184">
        <v>0</v>
      </c>
      <c r="Z11" s="184">
        <v>0</v>
      </c>
      <c r="AA11" s="184">
        <v>0</v>
      </c>
      <c r="AB11" s="184">
        <v>0</v>
      </c>
      <c r="AC11" s="252">
        <v>28702432.5</v>
      </c>
      <c r="AD11" s="184">
        <v>-1093426</v>
      </c>
      <c r="AE11" s="184">
        <v>0</v>
      </c>
      <c r="AF11" s="184">
        <v>1093426</v>
      </c>
      <c r="AG11" s="184">
        <v>0</v>
      </c>
      <c r="AH11" s="253">
        <v>-76403141.75</v>
      </c>
      <c r="AI11" s="184">
        <v>0</v>
      </c>
      <c r="AJ11" s="184">
        <v>150072718.5</v>
      </c>
      <c r="AK11" s="254">
        <v>73669576.75</v>
      </c>
      <c r="AL11" s="188"/>
      <c r="AM11" s="184">
        <v>104012148.25</v>
      </c>
      <c r="AN11" s="185"/>
      <c r="AO11" s="188"/>
      <c r="AP11" s="184">
        <v>104012148.25</v>
      </c>
      <c r="AQ11" s="189"/>
      <c r="AR11" s="184"/>
      <c r="AS11" s="184"/>
      <c r="AT11" s="184">
        <v>4510382.25</v>
      </c>
      <c r="AU11" s="184">
        <v>0</v>
      </c>
      <c r="AV11" s="184">
        <v>-4510382.25</v>
      </c>
      <c r="AW11" s="184">
        <v>0</v>
      </c>
      <c r="AX11" s="184">
        <v>-150072718.5</v>
      </c>
      <c r="AY11" s="184">
        <v>0</v>
      </c>
      <c r="AZ11" s="184">
        <v>150072718.5</v>
      </c>
      <c r="BA11" s="184">
        <v>0</v>
      </c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6"/>
      <c r="BR11" s="185"/>
      <c r="BS11" s="191"/>
      <c r="BT11" s="185"/>
      <c r="BU11" s="228"/>
      <c r="BV11" s="185"/>
      <c r="BW11" s="192"/>
      <c r="BX11" s="192"/>
      <c r="BY11" s="184"/>
      <c r="BZ11" s="184"/>
      <c r="CA11" s="184">
        <v>0</v>
      </c>
      <c r="CB11" s="184"/>
      <c r="CC11" s="184"/>
      <c r="CD11" s="184"/>
      <c r="CE11" s="184"/>
      <c r="CF11" s="184"/>
      <c r="CG11" s="184"/>
      <c r="CH11" s="184"/>
      <c r="CI11" s="184"/>
      <c r="CJ11" s="184"/>
      <c r="CK11" s="185"/>
      <c r="CL11" s="185"/>
    </row>
    <row r="12" spans="1:90" s="204" customFormat="1" ht="30" customHeight="1" outlineLevel="1" x14ac:dyDescent="0.25">
      <c r="A12" s="180"/>
      <c r="B12" s="180" t="s">
        <v>499</v>
      </c>
      <c r="C12" s="180"/>
      <c r="D12" s="180"/>
      <c r="E12" s="180"/>
      <c r="F12" s="180"/>
      <c r="G12" s="180"/>
      <c r="H12" s="180"/>
      <c r="I12" s="181"/>
      <c r="J12" s="194"/>
      <c r="K12" s="194"/>
      <c r="L12" s="196"/>
      <c r="M12" s="196"/>
      <c r="N12" s="196"/>
      <c r="O12" s="195"/>
      <c r="P12" s="197"/>
      <c r="Q12" s="197"/>
      <c r="R12" s="198">
        <v>0</v>
      </c>
      <c r="S12" s="198">
        <v>0</v>
      </c>
      <c r="T12" s="198">
        <v>0</v>
      </c>
      <c r="U12" s="255">
        <v>27609006.5</v>
      </c>
      <c r="V12" s="195"/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255">
        <v>28702432.5</v>
      </c>
      <c r="AD12" s="195">
        <v>-1093426</v>
      </c>
      <c r="AE12" s="195">
        <v>0</v>
      </c>
      <c r="AF12" s="195">
        <v>1093426</v>
      </c>
      <c r="AG12" s="195">
        <v>0</v>
      </c>
      <c r="AH12" s="256">
        <v>-76403141.75</v>
      </c>
      <c r="AI12" s="195">
        <v>0</v>
      </c>
      <c r="AJ12" s="195">
        <v>150072718.5</v>
      </c>
      <c r="AK12" s="257">
        <v>73669576.75</v>
      </c>
      <c r="AL12" s="199"/>
      <c r="AM12" s="195">
        <v>104012148.25</v>
      </c>
      <c r="AN12" s="196"/>
      <c r="AO12" s="199"/>
      <c r="AP12" s="195">
        <v>104012148.25</v>
      </c>
      <c r="AQ12" s="200"/>
      <c r="AR12" s="195"/>
      <c r="AS12" s="195"/>
      <c r="AT12" s="195">
        <v>4510382.25</v>
      </c>
      <c r="AU12" s="195">
        <v>0</v>
      </c>
      <c r="AV12" s="195">
        <v>-4510382.25</v>
      </c>
      <c r="AW12" s="195">
        <v>0</v>
      </c>
      <c r="AX12" s="195">
        <v>-150072718.5</v>
      </c>
      <c r="AY12" s="195">
        <v>0</v>
      </c>
      <c r="AZ12" s="195">
        <v>150072718.5</v>
      </c>
      <c r="BA12" s="195">
        <v>0</v>
      </c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7"/>
      <c r="BR12" s="196"/>
      <c r="BS12" s="202"/>
      <c r="BT12" s="196"/>
      <c r="BU12" s="229"/>
      <c r="BV12" s="196"/>
      <c r="BW12" s="203"/>
      <c r="BX12" s="203"/>
      <c r="BY12" s="195"/>
      <c r="BZ12" s="195"/>
      <c r="CA12" s="195">
        <v>0</v>
      </c>
      <c r="CB12" s="195"/>
      <c r="CC12" s="195"/>
      <c r="CD12" s="195"/>
      <c r="CE12" s="195"/>
      <c r="CF12" s="195"/>
      <c r="CG12" s="195"/>
      <c r="CH12" s="195"/>
      <c r="CI12" s="195"/>
      <c r="CJ12" s="195"/>
      <c r="CK12" s="196"/>
      <c r="CL12" s="196"/>
    </row>
    <row r="13" spans="1:90" outlineLevel="3" x14ac:dyDescent="0.25">
      <c r="A13" s="141" t="s">
        <v>355</v>
      </c>
      <c r="B13" s="141" t="s">
        <v>356</v>
      </c>
      <c r="C13" s="141" t="s">
        <v>362</v>
      </c>
      <c r="D13" s="141" t="s">
        <v>363</v>
      </c>
      <c r="E13" s="141" t="s">
        <v>203</v>
      </c>
      <c r="F13" s="141" t="s">
        <v>202</v>
      </c>
      <c r="G13" s="141" t="s">
        <v>359</v>
      </c>
      <c r="H13" s="141" t="s">
        <v>341</v>
      </c>
      <c r="I13" s="167" t="s">
        <v>361</v>
      </c>
      <c r="J13" s="169">
        <v>1</v>
      </c>
      <c r="K13" s="169">
        <v>1</v>
      </c>
      <c r="L13" s="171">
        <v>0</v>
      </c>
      <c r="M13" s="171">
        <v>0</v>
      </c>
      <c r="N13" s="171">
        <v>0</v>
      </c>
      <c r="O13" s="170">
        <v>4851605.3099999996</v>
      </c>
      <c r="P13" s="171">
        <v>4851605.3099999996</v>
      </c>
      <c r="Q13" s="171">
        <v>0</v>
      </c>
      <c r="R13" s="173" t="s">
        <v>364</v>
      </c>
      <c r="S13" s="173">
        <v>0</v>
      </c>
      <c r="T13" s="173">
        <v>0</v>
      </c>
      <c r="U13" s="249">
        <v>4851605.3099999996</v>
      </c>
      <c r="V13" s="170" t="s">
        <v>344</v>
      </c>
      <c r="W13" s="170">
        <v>0</v>
      </c>
      <c r="X13" s="170">
        <v>0</v>
      </c>
      <c r="Y13" s="170">
        <v>0</v>
      </c>
      <c r="Z13" s="170">
        <v>0</v>
      </c>
      <c r="AA13" s="170">
        <v>0</v>
      </c>
      <c r="AB13" s="170">
        <v>0</v>
      </c>
      <c r="AC13" s="249">
        <v>4851605.3099999996</v>
      </c>
      <c r="AD13" s="170">
        <v>0</v>
      </c>
      <c r="AE13" s="170">
        <v>0</v>
      </c>
      <c r="AF13" s="170">
        <v>0</v>
      </c>
      <c r="AG13" s="170">
        <v>0</v>
      </c>
      <c r="AH13" s="250">
        <v>0</v>
      </c>
      <c r="AI13" s="170">
        <v>0</v>
      </c>
      <c r="AJ13" s="170">
        <v>0</v>
      </c>
      <c r="AK13" s="251">
        <v>0</v>
      </c>
      <c r="AL13" s="174">
        <v>0</v>
      </c>
      <c r="AM13" s="170">
        <v>4572700.07</v>
      </c>
      <c r="AN13" s="171">
        <v>0</v>
      </c>
      <c r="AO13" s="174">
        <v>0</v>
      </c>
      <c r="AP13" s="170">
        <v>4572700.07</v>
      </c>
      <c r="AQ13" s="175">
        <v>1</v>
      </c>
      <c r="AR13" s="170">
        <v>0</v>
      </c>
      <c r="AS13" s="170">
        <v>4851605.3099999996</v>
      </c>
      <c r="AT13" s="170">
        <v>0</v>
      </c>
      <c r="AU13" s="170">
        <v>0</v>
      </c>
      <c r="AV13" s="170">
        <v>0</v>
      </c>
      <c r="AW13" s="170">
        <v>0</v>
      </c>
      <c r="AX13" s="170">
        <v>0</v>
      </c>
      <c r="AY13" s="170">
        <v>0</v>
      </c>
      <c r="AZ13" s="170">
        <v>0</v>
      </c>
      <c r="BA13" s="170">
        <v>0</v>
      </c>
      <c r="BB13" s="170" t="s">
        <v>202</v>
      </c>
      <c r="BC13" s="170" t="s">
        <v>202</v>
      </c>
      <c r="BD13" s="170">
        <v>0</v>
      </c>
      <c r="BE13" s="170">
        <v>0</v>
      </c>
      <c r="BF13" s="170">
        <v>0</v>
      </c>
      <c r="BG13" s="170">
        <v>0</v>
      </c>
      <c r="BH13" s="170">
        <v>0</v>
      </c>
      <c r="BI13" s="170">
        <v>0</v>
      </c>
      <c r="BJ13" s="170">
        <v>0</v>
      </c>
      <c r="BK13" s="170">
        <v>0</v>
      </c>
      <c r="BL13" s="170">
        <v>4572700.07</v>
      </c>
      <c r="BM13" s="170" t="s">
        <v>345</v>
      </c>
      <c r="BN13" s="170">
        <v>0</v>
      </c>
      <c r="BO13" s="170" t="b">
        <v>0</v>
      </c>
      <c r="BP13" s="170">
        <v>0</v>
      </c>
      <c r="BQ13" s="172">
        <v>0</v>
      </c>
      <c r="BR13" s="171">
        <v>0</v>
      </c>
      <c r="BS13" s="177">
        <v>77</v>
      </c>
      <c r="BT13" s="171">
        <v>0</v>
      </c>
      <c r="BU13" s="235">
        <v>0</v>
      </c>
      <c r="BV13" s="171">
        <v>196</v>
      </c>
      <c r="BW13" s="178">
        <v>0</v>
      </c>
      <c r="BX13" s="178">
        <v>0</v>
      </c>
      <c r="BY13" s="170">
        <v>0</v>
      </c>
      <c r="BZ13" s="170">
        <v>190195.25</v>
      </c>
      <c r="CA13" s="170">
        <v>278905.24</v>
      </c>
      <c r="CB13" s="170">
        <v>4851605.3099999996</v>
      </c>
      <c r="CC13" s="170">
        <v>0</v>
      </c>
      <c r="CD13" s="170">
        <v>0</v>
      </c>
      <c r="CE13" s="170">
        <v>0</v>
      </c>
      <c r="CF13" s="170">
        <v>0</v>
      </c>
      <c r="CG13" s="170">
        <v>0</v>
      </c>
      <c r="CH13" s="170">
        <v>0</v>
      </c>
      <c r="CI13" s="170">
        <v>0</v>
      </c>
      <c r="CJ13" s="170">
        <v>0</v>
      </c>
      <c r="CK13" s="171">
        <v>0</v>
      </c>
      <c r="CL13" s="171">
        <v>0</v>
      </c>
    </row>
    <row r="14" spans="1:90" outlineLevel="3" x14ac:dyDescent="0.25">
      <c r="A14" s="141" t="s">
        <v>355</v>
      </c>
      <c r="B14" s="141" t="s">
        <v>356</v>
      </c>
      <c r="C14" s="141" t="s">
        <v>362</v>
      </c>
      <c r="D14" s="141" t="s">
        <v>363</v>
      </c>
      <c r="E14" s="141" t="s">
        <v>204</v>
      </c>
      <c r="F14" s="141" t="s">
        <v>202</v>
      </c>
      <c r="G14" s="141" t="s">
        <v>563</v>
      </c>
      <c r="H14" s="141" t="s">
        <v>341</v>
      </c>
      <c r="I14" s="167" t="s">
        <v>361</v>
      </c>
      <c r="J14" s="169">
        <v>1</v>
      </c>
      <c r="K14" s="169">
        <v>1</v>
      </c>
      <c r="L14" s="171">
        <v>0</v>
      </c>
      <c r="M14" s="171">
        <v>0</v>
      </c>
      <c r="N14" s="171">
        <v>0</v>
      </c>
      <c r="O14" s="170">
        <v>21590463.129999999</v>
      </c>
      <c r="P14" s="171">
        <v>21590463.129999999</v>
      </c>
      <c r="Q14" s="171">
        <v>0</v>
      </c>
      <c r="R14" s="173" t="s">
        <v>365</v>
      </c>
      <c r="S14" s="173">
        <v>0</v>
      </c>
      <c r="T14" s="173">
        <v>0</v>
      </c>
      <c r="U14" s="249">
        <v>21590463.129999999</v>
      </c>
      <c r="V14" s="170" t="s">
        <v>344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249">
        <v>21590463.129999999</v>
      </c>
      <c r="AD14" s="170">
        <v>0</v>
      </c>
      <c r="AE14" s="170">
        <v>0</v>
      </c>
      <c r="AF14" s="170">
        <v>0</v>
      </c>
      <c r="AG14" s="170">
        <v>0</v>
      </c>
      <c r="AH14" s="250">
        <v>68057.989999998361</v>
      </c>
      <c r="AI14" s="170">
        <v>0</v>
      </c>
      <c r="AJ14" s="170">
        <v>-68057.989999998361</v>
      </c>
      <c r="AK14" s="251">
        <v>0</v>
      </c>
      <c r="AL14" s="174">
        <v>0</v>
      </c>
      <c r="AM14" s="170">
        <v>20916875</v>
      </c>
      <c r="AN14" s="171">
        <v>0</v>
      </c>
      <c r="AO14" s="174">
        <v>0</v>
      </c>
      <c r="AP14" s="170">
        <v>21590463.129999999</v>
      </c>
      <c r="AQ14" s="175">
        <v>1</v>
      </c>
      <c r="AR14" s="170">
        <v>0</v>
      </c>
      <c r="AS14" s="170">
        <v>21590463.129999999</v>
      </c>
      <c r="AT14" s="170">
        <v>68057.989999998361</v>
      </c>
      <c r="AU14" s="170">
        <v>0</v>
      </c>
      <c r="AV14" s="170">
        <v>-68057.989999998361</v>
      </c>
      <c r="AW14" s="170">
        <v>0</v>
      </c>
      <c r="AX14" s="170">
        <v>68057.989999998361</v>
      </c>
      <c r="AY14" s="170">
        <v>0</v>
      </c>
      <c r="AZ14" s="170">
        <v>-68057.989999998361</v>
      </c>
      <c r="BA14" s="170">
        <v>0</v>
      </c>
      <c r="BB14" s="170" t="s">
        <v>202</v>
      </c>
      <c r="BC14" s="170" t="s">
        <v>202</v>
      </c>
      <c r="BD14" s="170">
        <v>68057.989999998361</v>
      </c>
      <c r="BE14" s="170">
        <v>0</v>
      </c>
      <c r="BF14" s="170">
        <v>-68057.989999998361</v>
      </c>
      <c r="BG14" s="170">
        <v>0</v>
      </c>
      <c r="BH14" s="170">
        <v>68057.989999998361</v>
      </c>
      <c r="BI14" s="170">
        <v>0</v>
      </c>
      <c r="BJ14" s="170">
        <v>-68057.989999998361</v>
      </c>
      <c r="BK14" s="170">
        <v>0</v>
      </c>
      <c r="BL14" s="170">
        <v>21590463.129999999</v>
      </c>
      <c r="BM14" s="170" t="s">
        <v>345</v>
      </c>
      <c r="BN14" s="170">
        <v>0</v>
      </c>
      <c r="BO14" s="170" t="b">
        <v>0</v>
      </c>
      <c r="BP14" s="170">
        <v>-68057.989999998361</v>
      </c>
      <c r="BQ14" s="172">
        <v>0</v>
      </c>
      <c r="BR14" s="171">
        <v>0</v>
      </c>
      <c r="BS14" s="177">
        <v>77</v>
      </c>
      <c r="BT14" s="171">
        <v>0</v>
      </c>
      <c r="BU14" s="235">
        <v>0</v>
      </c>
      <c r="BV14" s="171">
        <v>229</v>
      </c>
      <c r="BW14" s="178">
        <v>0</v>
      </c>
      <c r="BX14" s="178">
        <v>0</v>
      </c>
      <c r="BY14" s="170">
        <v>0</v>
      </c>
      <c r="BZ14" s="170">
        <v>0</v>
      </c>
      <c r="CA14" s="170">
        <v>605530.14</v>
      </c>
      <c r="CB14" s="170">
        <v>21522405.140000001</v>
      </c>
      <c r="CC14" s="170">
        <v>0</v>
      </c>
      <c r="CD14" s="170">
        <v>0</v>
      </c>
      <c r="CE14" s="170">
        <v>0</v>
      </c>
      <c r="CF14" s="170">
        <v>0</v>
      </c>
      <c r="CG14" s="170">
        <v>68057.989999998361</v>
      </c>
      <c r="CH14" s="170">
        <v>0</v>
      </c>
      <c r="CI14" s="170">
        <v>-68057.989999998361</v>
      </c>
      <c r="CJ14" s="170">
        <v>0</v>
      </c>
      <c r="CK14" s="171">
        <v>0</v>
      </c>
      <c r="CL14" s="171">
        <v>0</v>
      </c>
    </row>
    <row r="15" spans="1:90" outlineLevel="3" x14ac:dyDescent="0.25">
      <c r="A15" s="141" t="s">
        <v>355</v>
      </c>
      <c r="B15" s="141" t="s">
        <v>356</v>
      </c>
      <c r="C15" s="141" t="s">
        <v>362</v>
      </c>
      <c r="D15" s="141" t="s">
        <v>363</v>
      </c>
      <c r="E15" s="141" t="s">
        <v>532</v>
      </c>
      <c r="F15" s="141" t="s">
        <v>202</v>
      </c>
      <c r="G15" s="141" t="s">
        <v>563</v>
      </c>
      <c r="H15" s="141" t="s">
        <v>341</v>
      </c>
      <c r="I15" s="167" t="s">
        <v>361</v>
      </c>
      <c r="J15" s="169">
        <v>1</v>
      </c>
      <c r="K15" s="169">
        <v>1</v>
      </c>
      <c r="L15" s="171">
        <v>0</v>
      </c>
      <c r="M15" s="171">
        <v>0</v>
      </c>
      <c r="N15" s="171">
        <v>0</v>
      </c>
      <c r="O15" s="170">
        <v>1954995.27</v>
      </c>
      <c r="P15" s="171">
        <v>1954995.27</v>
      </c>
      <c r="Q15" s="171">
        <v>0</v>
      </c>
      <c r="R15" s="173" t="s">
        <v>365</v>
      </c>
      <c r="S15" s="173">
        <v>0</v>
      </c>
      <c r="T15" s="173">
        <v>0</v>
      </c>
      <c r="U15" s="249">
        <v>1954995.27</v>
      </c>
      <c r="V15" s="170" t="s">
        <v>344</v>
      </c>
      <c r="W15" s="170">
        <v>0</v>
      </c>
      <c r="X15" s="170">
        <v>0</v>
      </c>
      <c r="Y15" s="170">
        <v>0</v>
      </c>
      <c r="Z15" s="170">
        <v>0</v>
      </c>
      <c r="AA15" s="170">
        <v>0</v>
      </c>
      <c r="AB15" s="170">
        <v>0</v>
      </c>
      <c r="AC15" s="249">
        <v>1954995.27</v>
      </c>
      <c r="AD15" s="170">
        <v>0</v>
      </c>
      <c r="AE15" s="170">
        <v>0</v>
      </c>
      <c r="AF15" s="170">
        <v>0</v>
      </c>
      <c r="AG15" s="170">
        <v>0</v>
      </c>
      <c r="AH15" s="250">
        <v>0</v>
      </c>
      <c r="AI15" s="170">
        <v>0</v>
      </c>
      <c r="AJ15" s="170">
        <v>0</v>
      </c>
      <c r="AK15" s="251">
        <v>0</v>
      </c>
      <c r="AL15" s="174">
        <v>0</v>
      </c>
      <c r="AM15" s="170">
        <v>2560525</v>
      </c>
      <c r="AN15" s="171">
        <v>0</v>
      </c>
      <c r="AO15" s="174">
        <v>0</v>
      </c>
      <c r="AP15" s="170">
        <v>2560525</v>
      </c>
      <c r="AQ15" s="175">
        <v>1</v>
      </c>
      <c r="AR15" s="170">
        <v>0</v>
      </c>
      <c r="AS15" s="170">
        <v>1954995.27</v>
      </c>
      <c r="AT15" s="170">
        <v>0</v>
      </c>
      <c r="AU15" s="170">
        <v>0</v>
      </c>
      <c r="AV15" s="170">
        <v>0</v>
      </c>
      <c r="AW15" s="170">
        <v>0</v>
      </c>
      <c r="AX15" s="170">
        <v>0</v>
      </c>
      <c r="AY15" s="170">
        <v>0</v>
      </c>
      <c r="AZ15" s="170">
        <v>0</v>
      </c>
      <c r="BA15" s="170">
        <v>0</v>
      </c>
      <c r="BB15" s="170" t="s">
        <v>202</v>
      </c>
      <c r="BC15" s="170" t="s">
        <v>202</v>
      </c>
      <c r="BD15" s="170">
        <v>0</v>
      </c>
      <c r="BE15" s="170">
        <v>0</v>
      </c>
      <c r="BF15" s="170">
        <v>0</v>
      </c>
      <c r="BG15" s="170">
        <v>0</v>
      </c>
      <c r="BH15" s="170">
        <v>0</v>
      </c>
      <c r="BI15" s="170">
        <v>0</v>
      </c>
      <c r="BJ15" s="170">
        <v>0</v>
      </c>
      <c r="BK15" s="170">
        <v>0</v>
      </c>
      <c r="BL15" s="170">
        <v>2560525</v>
      </c>
      <c r="BM15" s="170" t="s">
        <v>345</v>
      </c>
      <c r="BN15" s="170">
        <v>0</v>
      </c>
      <c r="BO15" s="170" t="b">
        <v>0</v>
      </c>
      <c r="BP15" s="170">
        <v>0</v>
      </c>
      <c r="BQ15" s="172">
        <v>0</v>
      </c>
      <c r="BR15" s="171">
        <v>0</v>
      </c>
      <c r="BS15" s="177">
        <v>77</v>
      </c>
      <c r="BT15" s="171">
        <v>0</v>
      </c>
      <c r="BU15" s="235">
        <v>0</v>
      </c>
      <c r="BV15" s="171">
        <v>230</v>
      </c>
      <c r="BW15" s="178">
        <v>0</v>
      </c>
      <c r="BX15" s="178">
        <v>0</v>
      </c>
      <c r="BY15" s="170">
        <v>0</v>
      </c>
      <c r="BZ15" s="170">
        <v>0</v>
      </c>
      <c r="CA15" s="170">
        <v>-605529.73</v>
      </c>
      <c r="CB15" s="170">
        <v>1954995.27</v>
      </c>
      <c r="CC15" s="170">
        <v>0</v>
      </c>
      <c r="CD15" s="170">
        <v>0</v>
      </c>
      <c r="CE15" s="170">
        <v>0</v>
      </c>
      <c r="CF15" s="170">
        <v>0</v>
      </c>
      <c r="CG15" s="170">
        <v>0</v>
      </c>
      <c r="CH15" s="170">
        <v>0</v>
      </c>
      <c r="CI15" s="170">
        <v>0</v>
      </c>
      <c r="CJ15" s="170">
        <v>0</v>
      </c>
      <c r="CK15" s="171">
        <v>0</v>
      </c>
      <c r="CL15" s="171">
        <v>0</v>
      </c>
    </row>
    <row r="16" spans="1:90" outlineLevel="3" x14ac:dyDescent="0.25">
      <c r="A16" s="141" t="s">
        <v>355</v>
      </c>
      <c r="B16" s="141" t="s">
        <v>356</v>
      </c>
      <c r="C16" s="141" t="s">
        <v>362</v>
      </c>
      <c r="D16" s="141" t="s">
        <v>363</v>
      </c>
      <c r="E16" s="141" t="s">
        <v>205</v>
      </c>
      <c r="F16" s="141" t="s">
        <v>202</v>
      </c>
      <c r="G16" s="141" t="s">
        <v>563</v>
      </c>
      <c r="H16" s="141" t="s">
        <v>341</v>
      </c>
      <c r="I16" s="167" t="s">
        <v>361</v>
      </c>
      <c r="J16" s="169">
        <v>1</v>
      </c>
      <c r="K16" s="169">
        <v>1</v>
      </c>
      <c r="L16" s="171">
        <v>0</v>
      </c>
      <c r="M16" s="171">
        <v>0</v>
      </c>
      <c r="N16" s="171">
        <v>0</v>
      </c>
      <c r="O16" s="170">
        <v>8143045.4000000004</v>
      </c>
      <c r="P16" s="171">
        <v>8143045.4000000004</v>
      </c>
      <c r="Q16" s="171">
        <v>0</v>
      </c>
      <c r="R16" s="173" t="s">
        <v>366</v>
      </c>
      <c r="S16" s="173">
        <v>0</v>
      </c>
      <c r="T16" s="173">
        <v>0</v>
      </c>
      <c r="U16" s="249">
        <v>8143045.4000000004</v>
      </c>
      <c r="V16" s="170" t="s">
        <v>344</v>
      </c>
      <c r="W16" s="170">
        <v>0</v>
      </c>
      <c r="X16" s="170">
        <v>0</v>
      </c>
      <c r="Y16" s="170">
        <v>0</v>
      </c>
      <c r="Z16" s="170">
        <v>0</v>
      </c>
      <c r="AA16" s="170">
        <v>0</v>
      </c>
      <c r="AB16" s="170">
        <v>0</v>
      </c>
      <c r="AC16" s="249">
        <v>8143045.4000000004</v>
      </c>
      <c r="AD16" s="170">
        <v>0</v>
      </c>
      <c r="AE16" s="170">
        <v>0</v>
      </c>
      <c r="AF16" s="170">
        <v>0</v>
      </c>
      <c r="AG16" s="170">
        <v>0</v>
      </c>
      <c r="AH16" s="250">
        <v>-20591.259999999776</v>
      </c>
      <c r="AI16" s="170">
        <v>0</v>
      </c>
      <c r="AJ16" s="170">
        <v>20591.259999999776</v>
      </c>
      <c r="AK16" s="251">
        <v>0</v>
      </c>
      <c r="AL16" s="174">
        <v>0</v>
      </c>
      <c r="AM16" s="170">
        <v>7483750</v>
      </c>
      <c r="AN16" s="171">
        <v>0</v>
      </c>
      <c r="AO16" s="174">
        <v>0</v>
      </c>
      <c r="AP16" s="170">
        <v>8143045.4000000004</v>
      </c>
      <c r="AQ16" s="175">
        <v>1</v>
      </c>
      <c r="AR16" s="170">
        <v>0</v>
      </c>
      <c r="AS16" s="170">
        <v>8143045.4000000004</v>
      </c>
      <c r="AT16" s="170">
        <v>-20591.259999999776</v>
      </c>
      <c r="AU16" s="170">
        <v>0</v>
      </c>
      <c r="AV16" s="170">
        <v>20591.259999999776</v>
      </c>
      <c r="AW16" s="170">
        <v>0</v>
      </c>
      <c r="AX16" s="170">
        <v>-20591.259999999776</v>
      </c>
      <c r="AY16" s="170">
        <v>0</v>
      </c>
      <c r="AZ16" s="170">
        <v>20591.259999999776</v>
      </c>
      <c r="BA16" s="170">
        <v>0</v>
      </c>
      <c r="BB16" s="170" t="s">
        <v>202</v>
      </c>
      <c r="BC16" s="170" t="s">
        <v>202</v>
      </c>
      <c r="BD16" s="170">
        <v>-20591.259999999776</v>
      </c>
      <c r="BE16" s="170">
        <v>0</v>
      </c>
      <c r="BF16" s="170">
        <v>20591.259999999776</v>
      </c>
      <c r="BG16" s="170">
        <v>0</v>
      </c>
      <c r="BH16" s="170">
        <v>-20591.259999999776</v>
      </c>
      <c r="BI16" s="170">
        <v>0</v>
      </c>
      <c r="BJ16" s="170">
        <v>20591.259999999776</v>
      </c>
      <c r="BK16" s="170">
        <v>0</v>
      </c>
      <c r="BL16" s="170">
        <v>8143045.4000000004</v>
      </c>
      <c r="BM16" s="170" t="s">
        <v>345</v>
      </c>
      <c r="BN16" s="170">
        <v>0</v>
      </c>
      <c r="BO16" s="170" t="b">
        <v>0</v>
      </c>
      <c r="BP16" s="170">
        <v>20591.259999999776</v>
      </c>
      <c r="BQ16" s="172">
        <v>0</v>
      </c>
      <c r="BR16" s="171">
        <v>0</v>
      </c>
      <c r="BS16" s="177">
        <v>77</v>
      </c>
      <c r="BT16" s="171">
        <v>0</v>
      </c>
      <c r="BU16" s="235">
        <v>0</v>
      </c>
      <c r="BV16" s="171">
        <v>251</v>
      </c>
      <c r="BW16" s="178">
        <v>0</v>
      </c>
      <c r="BX16" s="178">
        <v>0</v>
      </c>
      <c r="BY16" s="170">
        <v>0</v>
      </c>
      <c r="BZ16" s="170">
        <v>0</v>
      </c>
      <c r="CA16" s="170">
        <v>679886.66</v>
      </c>
      <c r="CB16" s="170">
        <v>8163636.6600000001</v>
      </c>
      <c r="CC16" s="170">
        <v>0</v>
      </c>
      <c r="CD16" s="170">
        <v>0</v>
      </c>
      <c r="CE16" s="170">
        <v>0</v>
      </c>
      <c r="CF16" s="170">
        <v>0</v>
      </c>
      <c r="CG16" s="170">
        <v>-20591.259999999776</v>
      </c>
      <c r="CH16" s="170">
        <v>0</v>
      </c>
      <c r="CI16" s="170">
        <v>20591.259999999776</v>
      </c>
      <c r="CJ16" s="170">
        <v>0</v>
      </c>
      <c r="CK16" s="171">
        <v>0</v>
      </c>
      <c r="CL16" s="171">
        <v>0</v>
      </c>
    </row>
    <row r="17" spans="1:90" outlineLevel="3" x14ac:dyDescent="0.25">
      <c r="A17" s="141" t="s">
        <v>355</v>
      </c>
      <c r="B17" s="141" t="s">
        <v>356</v>
      </c>
      <c r="C17" s="141" t="s">
        <v>362</v>
      </c>
      <c r="D17" s="141" t="s">
        <v>363</v>
      </c>
      <c r="E17" s="141" t="s">
        <v>533</v>
      </c>
      <c r="F17" s="141" t="s">
        <v>202</v>
      </c>
      <c r="G17" s="141" t="s">
        <v>563</v>
      </c>
      <c r="H17" s="141" t="s">
        <v>341</v>
      </c>
      <c r="I17" s="167" t="s">
        <v>361</v>
      </c>
      <c r="J17" s="169">
        <v>1</v>
      </c>
      <c r="K17" s="169">
        <v>1</v>
      </c>
      <c r="L17" s="171">
        <v>0</v>
      </c>
      <c r="M17" s="171">
        <v>0</v>
      </c>
      <c r="N17" s="171">
        <v>0</v>
      </c>
      <c r="O17" s="170">
        <v>1663862.85</v>
      </c>
      <c r="P17" s="171">
        <v>1663862.85</v>
      </c>
      <c r="Q17" s="171">
        <v>0</v>
      </c>
      <c r="R17" s="173" t="s">
        <v>366</v>
      </c>
      <c r="S17" s="173">
        <v>0</v>
      </c>
      <c r="T17" s="173">
        <v>0</v>
      </c>
      <c r="U17" s="249">
        <v>1663862.85</v>
      </c>
      <c r="V17" s="170" t="s">
        <v>344</v>
      </c>
      <c r="W17" s="170">
        <v>0</v>
      </c>
      <c r="X17" s="170">
        <v>0</v>
      </c>
      <c r="Y17" s="170">
        <v>0</v>
      </c>
      <c r="Z17" s="170">
        <v>0</v>
      </c>
      <c r="AA17" s="170">
        <v>0</v>
      </c>
      <c r="AB17" s="170">
        <v>0</v>
      </c>
      <c r="AC17" s="249">
        <v>1663862.85</v>
      </c>
      <c r="AD17" s="170">
        <v>0</v>
      </c>
      <c r="AE17" s="170">
        <v>0</v>
      </c>
      <c r="AF17" s="170">
        <v>0</v>
      </c>
      <c r="AG17" s="170">
        <v>0</v>
      </c>
      <c r="AH17" s="250">
        <v>0</v>
      </c>
      <c r="AI17" s="170">
        <v>0</v>
      </c>
      <c r="AJ17" s="170">
        <v>0</v>
      </c>
      <c r="AK17" s="251">
        <v>0</v>
      </c>
      <c r="AL17" s="174">
        <v>0</v>
      </c>
      <c r="AM17" s="170">
        <v>2343750</v>
      </c>
      <c r="AN17" s="171">
        <v>0</v>
      </c>
      <c r="AO17" s="174">
        <v>0</v>
      </c>
      <c r="AP17" s="170">
        <v>2343750</v>
      </c>
      <c r="AQ17" s="175">
        <v>1</v>
      </c>
      <c r="AR17" s="170">
        <v>0</v>
      </c>
      <c r="AS17" s="170">
        <v>1663862.85</v>
      </c>
      <c r="AT17" s="170">
        <v>0</v>
      </c>
      <c r="AU17" s="170">
        <v>0</v>
      </c>
      <c r="AV17" s="170">
        <v>0</v>
      </c>
      <c r="AW17" s="170">
        <v>0</v>
      </c>
      <c r="AX17" s="170">
        <v>0</v>
      </c>
      <c r="AY17" s="170">
        <v>0</v>
      </c>
      <c r="AZ17" s="170">
        <v>0</v>
      </c>
      <c r="BA17" s="170">
        <v>0</v>
      </c>
      <c r="BB17" s="170" t="s">
        <v>202</v>
      </c>
      <c r="BC17" s="170" t="s">
        <v>202</v>
      </c>
      <c r="BD17" s="170">
        <v>0</v>
      </c>
      <c r="BE17" s="170">
        <v>0</v>
      </c>
      <c r="BF17" s="170">
        <v>0</v>
      </c>
      <c r="BG17" s="170">
        <v>0</v>
      </c>
      <c r="BH17" s="170">
        <v>0</v>
      </c>
      <c r="BI17" s="170">
        <v>0</v>
      </c>
      <c r="BJ17" s="170">
        <v>0</v>
      </c>
      <c r="BK17" s="170">
        <v>0</v>
      </c>
      <c r="BL17" s="170">
        <v>2343750</v>
      </c>
      <c r="BM17" s="170" t="s">
        <v>345</v>
      </c>
      <c r="BN17" s="170">
        <v>0</v>
      </c>
      <c r="BO17" s="170" t="b">
        <v>0</v>
      </c>
      <c r="BP17" s="170">
        <v>0</v>
      </c>
      <c r="BQ17" s="172">
        <v>0</v>
      </c>
      <c r="BR17" s="171">
        <v>0</v>
      </c>
      <c r="BS17" s="177">
        <v>77</v>
      </c>
      <c r="BT17" s="171">
        <v>0</v>
      </c>
      <c r="BU17" s="235">
        <v>0</v>
      </c>
      <c r="BV17" s="171">
        <v>252</v>
      </c>
      <c r="BW17" s="178">
        <v>0</v>
      </c>
      <c r="BX17" s="178">
        <v>0</v>
      </c>
      <c r="BY17" s="170">
        <v>0</v>
      </c>
      <c r="BZ17" s="170">
        <v>0</v>
      </c>
      <c r="CA17" s="170">
        <v>-679887.15</v>
      </c>
      <c r="CB17" s="170">
        <v>1663862.85</v>
      </c>
      <c r="CC17" s="170">
        <v>0</v>
      </c>
      <c r="CD17" s="170">
        <v>0</v>
      </c>
      <c r="CE17" s="170">
        <v>0</v>
      </c>
      <c r="CF17" s="170">
        <v>0</v>
      </c>
      <c r="CG17" s="170">
        <v>0</v>
      </c>
      <c r="CH17" s="170">
        <v>0</v>
      </c>
      <c r="CI17" s="170">
        <v>0</v>
      </c>
      <c r="CJ17" s="170">
        <v>0</v>
      </c>
      <c r="CK17" s="171">
        <v>0</v>
      </c>
      <c r="CL17" s="171">
        <v>0</v>
      </c>
    </row>
    <row r="18" spans="1:90" outlineLevel="3" x14ac:dyDescent="0.25">
      <c r="A18" s="141" t="s">
        <v>355</v>
      </c>
      <c r="B18" s="141" t="s">
        <v>356</v>
      </c>
      <c r="C18" s="141" t="s">
        <v>357</v>
      </c>
      <c r="D18" s="141" t="s">
        <v>358</v>
      </c>
      <c r="E18" s="141" t="s">
        <v>206</v>
      </c>
      <c r="F18" s="141" t="s">
        <v>202</v>
      </c>
      <c r="G18" s="141" t="s">
        <v>359</v>
      </c>
      <c r="H18" s="141" t="s">
        <v>341</v>
      </c>
      <c r="I18" s="167" t="s">
        <v>361</v>
      </c>
      <c r="J18" s="169">
        <v>1</v>
      </c>
      <c r="K18" s="169">
        <v>1</v>
      </c>
      <c r="L18" s="171">
        <v>0</v>
      </c>
      <c r="M18" s="171">
        <v>0</v>
      </c>
      <c r="N18" s="171">
        <v>0</v>
      </c>
      <c r="O18" s="170">
        <v>880788.38999999873</v>
      </c>
      <c r="P18" s="171">
        <v>880788.38999999873</v>
      </c>
      <c r="Q18" s="171">
        <v>0</v>
      </c>
      <c r="R18" s="173" t="s">
        <v>367</v>
      </c>
      <c r="S18" s="173">
        <v>0</v>
      </c>
      <c r="T18" s="173">
        <v>0</v>
      </c>
      <c r="U18" s="249">
        <v>880788.38999999873</v>
      </c>
      <c r="V18" s="170" t="s">
        <v>344</v>
      </c>
      <c r="W18" s="170">
        <v>0</v>
      </c>
      <c r="X18" s="170">
        <v>0</v>
      </c>
      <c r="Y18" s="170">
        <v>0</v>
      </c>
      <c r="Z18" s="170">
        <v>0</v>
      </c>
      <c r="AA18" s="170">
        <v>0</v>
      </c>
      <c r="AB18" s="170">
        <v>0</v>
      </c>
      <c r="AC18" s="249">
        <v>880788.38999999873</v>
      </c>
      <c r="AD18" s="170">
        <v>0</v>
      </c>
      <c r="AE18" s="170">
        <v>0</v>
      </c>
      <c r="AF18" s="170">
        <v>0</v>
      </c>
      <c r="AG18" s="170">
        <v>0</v>
      </c>
      <c r="AH18" s="250">
        <v>0</v>
      </c>
      <c r="AI18" s="170">
        <v>0</v>
      </c>
      <c r="AJ18" s="170">
        <v>0</v>
      </c>
      <c r="AK18" s="251">
        <v>0</v>
      </c>
      <c r="AL18" s="174">
        <v>0</v>
      </c>
      <c r="AM18" s="170">
        <v>14411755.76</v>
      </c>
      <c r="AN18" s="171">
        <v>0</v>
      </c>
      <c r="AO18" s="174">
        <v>0</v>
      </c>
      <c r="AP18" s="170">
        <v>14411755.76</v>
      </c>
      <c r="AQ18" s="175">
        <v>1</v>
      </c>
      <c r="AR18" s="170">
        <v>0</v>
      </c>
      <c r="AS18" s="170">
        <v>880788.38999999873</v>
      </c>
      <c r="AT18" s="170">
        <v>0</v>
      </c>
      <c r="AU18" s="170">
        <v>0</v>
      </c>
      <c r="AV18" s="170">
        <v>0</v>
      </c>
      <c r="AW18" s="170">
        <v>0</v>
      </c>
      <c r="AX18" s="170">
        <v>0</v>
      </c>
      <c r="AY18" s="170">
        <v>0</v>
      </c>
      <c r="AZ18" s="170">
        <v>0</v>
      </c>
      <c r="BA18" s="170">
        <v>0</v>
      </c>
      <c r="BB18" s="170" t="s">
        <v>202</v>
      </c>
      <c r="BC18" s="170" t="s">
        <v>202</v>
      </c>
      <c r="BD18" s="170">
        <v>0</v>
      </c>
      <c r="BE18" s="170">
        <v>0</v>
      </c>
      <c r="BF18" s="170">
        <v>0</v>
      </c>
      <c r="BG18" s="170">
        <v>0</v>
      </c>
      <c r="BH18" s="170">
        <v>0</v>
      </c>
      <c r="BI18" s="170">
        <v>0</v>
      </c>
      <c r="BJ18" s="170">
        <v>0</v>
      </c>
      <c r="BK18" s="170">
        <v>0</v>
      </c>
      <c r="BL18" s="170">
        <v>14411755.76</v>
      </c>
      <c r="BM18" s="170" t="s">
        <v>345</v>
      </c>
      <c r="BN18" s="170">
        <v>0</v>
      </c>
      <c r="BO18" s="170" t="b">
        <v>0</v>
      </c>
      <c r="BP18" s="170">
        <v>0</v>
      </c>
      <c r="BQ18" s="172">
        <v>0</v>
      </c>
      <c r="BR18" s="171">
        <v>0</v>
      </c>
      <c r="BS18" s="177">
        <v>77</v>
      </c>
      <c r="BT18" s="171">
        <v>0</v>
      </c>
      <c r="BU18" s="235">
        <v>0</v>
      </c>
      <c r="BV18" s="171">
        <v>255</v>
      </c>
      <c r="BW18" s="178">
        <v>0</v>
      </c>
      <c r="BX18" s="178">
        <v>0</v>
      </c>
      <c r="BY18" s="170">
        <v>0</v>
      </c>
      <c r="BZ18" s="170">
        <v>-12114787.5</v>
      </c>
      <c r="CA18" s="170">
        <v>-13530967.369999999</v>
      </c>
      <c r="CB18" s="170">
        <v>880788.3900000006</v>
      </c>
      <c r="CC18" s="170">
        <v>0</v>
      </c>
      <c r="CD18" s="170">
        <v>0</v>
      </c>
      <c r="CE18" s="170">
        <v>0</v>
      </c>
      <c r="CF18" s="170">
        <v>0</v>
      </c>
      <c r="CG18" s="170">
        <v>0</v>
      </c>
      <c r="CH18" s="170">
        <v>0</v>
      </c>
      <c r="CI18" s="170">
        <v>0</v>
      </c>
      <c r="CJ18" s="170">
        <v>0</v>
      </c>
      <c r="CK18" s="171">
        <v>0</v>
      </c>
      <c r="CL18" s="171">
        <v>0</v>
      </c>
    </row>
    <row r="19" spans="1:90" outlineLevel="3" x14ac:dyDescent="0.25">
      <c r="A19" s="141" t="s">
        <v>355</v>
      </c>
      <c r="B19" s="141" t="s">
        <v>356</v>
      </c>
      <c r="C19" s="141" t="s">
        <v>357</v>
      </c>
      <c r="D19" s="141" t="s">
        <v>358</v>
      </c>
      <c r="E19" s="141" t="s">
        <v>534</v>
      </c>
      <c r="F19" s="141" t="s">
        <v>202</v>
      </c>
      <c r="G19" s="141" t="s">
        <v>359</v>
      </c>
      <c r="H19" s="141" t="s">
        <v>341</v>
      </c>
      <c r="I19" s="167" t="s">
        <v>361</v>
      </c>
      <c r="J19" s="169">
        <v>1</v>
      </c>
      <c r="K19" s="169">
        <v>1</v>
      </c>
      <c r="L19" s="171">
        <v>0</v>
      </c>
      <c r="M19" s="171">
        <v>0</v>
      </c>
      <c r="N19" s="171">
        <v>0</v>
      </c>
      <c r="O19" s="170">
        <v>400561.36</v>
      </c>
      <c r="P19" s="171">
        <v>400561.36</v>
      </c>
      <c r="Q19" s="171">
        <v>0</v>
      </c>
      <c r="R19" s="173" t="s">
        <v>367</v>
      </c>
      <c r="S19" s="173">
        <v>0</v>
      </c>
      <c r="T19" s="173">
        <v>0</v>
      </c>
      <c r="U19" s="249">
        <v>400561.36</v>
      </c>
      <c r="V19" s="170" t="s">
        <v>344</v>
      </c>
      <c r="W19" s="170">
        <v>0</v>
      </c>
      <c r="X19" s="170">
        <v>0</v>
      </c>
      <c r="Y19" s="170">
        <v>0</v>
      </c>
      <c r="Z19" s="170">
        <v>0</v>
      </c>
      <c r="AA19" s="170">
        <v>0</v>
      </c>
      <c r="AB19" s="170">
        <v>0</v>
      </c>
      <c r="AC19" s="249">
        <v>400561.36</v>
      </c>
      <c r="AD19" s="170">
        <v>0</v>
      </c>
      <c r="AE19" s="170">
        <v>0</v>
      </c>
      <c r="AF19" s="170">
        <v>0</v>
      </c>
      <c r="AG19" s="170">
        <v>0</v>
      </c>
      <c r="AH19" s="250">
        <v>0</v>
      </c>
      <c r="AI19" s="170">
        <v>0</v>
      </c>
      <c r="AJ19" s="170">
        <v>0</v>
      </c>
      <c r="AK19" s="251">
        <v>0</v>
      </c>
      <c r="AL19" s="174">
        <v>0</v>
      </c>
      <c r="AM19" s="170">
        <v>1050000</v>
      </c>
      <c r="AN19" s="171">
        <v>0</v>
      </c>
      <c r="AO19" s="174">
        <v>0</v>
      </c>
      <c r="AP19" s="170">
        <v>1050000</v>
      </c>
      <c r="AQ19" s="175">
        <v>1</v>
      </c>
      <c r="AR19" s="170">
        <v>0</v>
      </c>
      <c r="AS19" s="170">
        <v>400561.36</v>
      </c>
      <c r="AT19" s="170">
        <v>0</v>
      </c>
      <c r="AU19" s="170">
        <v>0</v>
      </c>
      <c r="AV19" s="170">
        <v>0</v>
      </c>
      <c r="AW19" s="170">
        <v>0</v>
      </c>
      <c r="AX19" s="170">
        <v>0</v>
      </c>
      <c r="AY19" s="170">
        <v>0</v>
      </c>
      <c r="AZ19" s="170">
        <v>0</v>
      </c>
      <c r="BA19" s="170">
        <v>0</v>
      </c>
      <c r="BB19" s="170" t="s">
        <v>202</v>
      </c>
      <c r="BC19" s="170" t="s">
        <v>202</v>
      </c>
      <c r="BD19" s="170">
        <v>0</v>
      </c>
      <c r="BE19" s="170">
        <v>0</v>
      </c>
      <c r="BF19" s="170">
        <v>0</v>
      </c>
      <c r="BG19" s="170">
        <v>0</v>
      </c>
      <c r="BH19" s="170">
        <v>0</v>
      </c>
      <c r="BI19" s="170">
        <v>0</v>
      </c>
      <c r="BJ19" s="170">
        <v>0</v>
      </c>
      <c r="BK19" s="170">
        <v>0</v>
      </c>
      <c r="BL19" s="170">
        <v>1050000</v>
      </c>
      <c r="BM19" s="170" t="s">
        <v>345</v>
      </c>
      <c r="BN19" s="170">
        <v>0</v>
      </c>
      <c r="BO19" s="170" t="b">
        <v>0</v>
      </c>
      <c r="BP19" s="170">
        <v>0</v>
      </c>
      <c r="BQ19" s="172">
        <v>0</v>
      </c>
      <c r="BR19" s="171">
        <v>0</v>
      </c>
      <c r="BS19" s="177">
        <v>77</v>
      </c>
      <c r="BT19" s="171">
        <v>0</v>
      </c>
      <c r="BU19" s="235">
        <v>0</v>
      </c>
      <c r="BV19" s="171">
        <v>256</v>
      </c>
      <c r="BW19" s="178">
        <v>0</v>
      </c>
      <c r="BX19" s="178">
        <v>0</v>
      </c>
      <c r="BY19" s="170">
        <v>0</v>
      </c>
      <c r="BZ19" s="170">
        <v>-400000</v>
      </c>
      <c r="CA19" s="170">
        <v>-649438.64</v>
      </c>
      <c r="CB19" s="170">
        <v>400561.36</v>
      </c>
      <c r="CC19" s="170">
        <v>0</v>
      </c>
      <c r="CD19" s="170">
        <v>0</v>
      </c>
      <c r="CE19" s="170">
        <v>0</v>
      </c>
      <c r="CF19" s="170">
        <v>0</v>
      </c>
      <c r="CG19" s="170">
        <v>0</v>
      </c>
      <c r="CH19" s="170">
        <v>0</v>
      </c>
      <c r="CI19" s="170">
        <v>0</v>
      </c>
      <c r="CJ19" s="170">
        <v>0</v>
      </c>
      <c r="CK19" s="171">
        <v>0</v>
      </c>
      <c r="CL19" s="171">
        <v>0</v>
      </c>
    </row>
    <row r="20" spans="1:90" s="193" customFormat="1" ht="20.100000000000001" customHeight="1" outlineLevel="2" x14ac:dyDescent="0.25">
      <c r="A20" s="180" t="s">
        <v>368</v>
      </c>
      <c r="B20" s="180"/>
      <c r="C20" s="180"/>
      <c r="D20" s="180"/>
      <c r="E20" s="180"/>
      <c r="F20" s="180"/>
      <c r="G20" s="180"/>
      <c r="H20" s="180"/>
      <c r="I20" s="181"/>
      <c r="J20" s="183"/>
      <c r="K20" s="183"/>
      <c r="L20" s="185"/>
      <c r="M20" s="185"/>
      <c r="N20" s="185"/>
      <c r="O20" s="184"/>
      <c r="P20" s="185"/>
      <c r="Q20" s="185"/>
      <c r="R20" s="187">
        <v>0</v>
      </c>
      <c r="S20" s="187">
        <v>0</v>
      </c>
      <c r="T20" s="187">
        <v>0</v>
      </c>
      <c r="U20" s="252">
        <v>39485321.710000001</v>
      </c>
      <c r="V20" s="184"/>
      <c r="W20" s="184"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252">
        <v>39485321.710000001</v>
      </c>
      <c r="AD20" s="184">
        <v>0</v>
      </c>
      <c r="AE20" s="184">
        <v>0</v>
      </c>
      <c r="AF20" s="184">
        <v>0</v>
      </c>
      <c r="AG20" s="184">
        <v>0</v>
      </c>
      <c r="AH20" s="253">
        <v>47466.729999998584</v>
      </c>
      <c r="AI20" s="184">
        <v>0</v>
      </c>
      <c r="AJ20" s="184">
        <v>-47466.729999998584</v>
      </c>
      <c r="AK20" s="254">
        <v>0</v>
      </c>
      <c r="AL20" s="188"/>
      <c r="AM20" s="184">
        <v>53339355.829999998</v>
      </c>
      <c r="AN20" s="185"/>
      <c r="AO20" s="188"/>
      <c r="AP20" s="184">
        <v>54672239.359999999</v>
      </c>
      <c r="AQ20" s="189"/>
      <c r="AR20" s="184"/>
      <c r="AS20" s="184"/>
      <c r="AT20" s="184">
        <v>47466.729999998584</v>
      </c>
      <c r="AU20" s="184">
        <v>0</v>
      </c>
      <c r="AV20" s="184">
        <v>-47466.729999998584</v>
      </c>
      <c r="AW20" s="184">
        <v>0</v>
      </c>
      <c r="AX20" s="184">
        <v>47466.729999998584</v>
      </c>
      <c r="AY20" s="184">
        <v>0</v>
      </c>
      <c r="AZ20" s="184">
        <v>-47466.729999998584</v>
      </c>
      <c r="BA20" s="184">
        <v>0</v>
      </c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6"/>
      <c r="BR20" s="185"/>
      <c r="BS20" s="191"/>
      <c r="BT20" s="185"/>
      <c r="BU20" s="228"/>
      <c r="BV20" s="185"/>
      <c r="BW20" s="192"/>
      <c r="BX20" s="192"/>
      <c r="BY20" s="184"/>
      <c r="BZ20" s="184"/>
      <c r="CA20" s="184">
        <v>-13901500.85</v>
      </c>
      <c r="CB20" s="184"/>
      <c r="CC20" s="184"/>
      <c r="CD20" s="184"/>
      <c r="CE20" s="184"/>
      <c r="CF20" s="184"/>
      <c r="CG20" s="184"/>
      <c r="CH20" s="184"/>
      <c r="CI20" s="184"/>
      <c r="CJ20" s="184"/>
      <c r="CK20" s="185"/>
      <c r="CL20" s="185"/>
    </row>
    <row r="21" spans="1:90" s="204" customFormat="1" ht="30" customHeight="1" outlineLevel="1" x14ac:dyDescent="0.25">
      <c r="A21" s="180"/>
      <c r="B21" s="180" t="s">
        <v>371</v>
      </c>
      <c r="C21" s="180"/>
      <c r="D21" s="180"/>
      <c r="E21" s="180"/>
      <c r="F21" s="180"/>
      <c r="G21" s="180"/>
      <c r="H21" s="180"/>
      <c r="I21" s="181"/>
      <c r="J21" s="194"/>
      <c r="K21" s="194"/>
      <c r="L21" s="196"/>
      <c r="M21" s="196"/>
      <c r="N21" s="196"/>
      <c r="O21" s="195"/>
      <c r="P21" s="196"/>
      <c r="Q21" s="196"/>
      <c r="R21" s="198">
        <v>0</v>
      </c>
      <c r="S21" s="198">
        <v>0</v>
      </c>
      <c r="T21" s="198">
        <v>0</v>
      </c>
      <c r="U21" s="255">
        <v>39485321.710000001</v>
      </c>
      <c r="V21" s="195"/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255">
        <v>39485321.710000001</v>
      </c>
      <c r="AD21" s="195">
        <v>0</v>
      </c>
      <c r="AE21" s="195">
        <v>0</v>
      </c>
      <c r="AF21" s="195">
        <v>0</v>
      </c>
      <c r="AG21" s="195">
        <v>0</v>
      </c>
      <c r="AH21" s="256">
        <v>47466.729999998584</v>
      </c>
      <c r="AI21" s="195">
        <v>0</v>
      </c>
      <c r="AJ21" s="195">
        <v>-47466.729999998584</v>
      </c>
      <c r="AK21" s="257">
        <v>0</v>
      </c>
      <c r="AL21" s="199"/>
      <c r="AM21" s="195">
        <v>53339355.829999998</v>
      </c>
      <c r="AN21" s="196"/>
      <c r="AO21" s="199"/>
      <c r="AP21" s="195">
        <v>54672239.359999999</v>
      </c>
      <c r="AQ21" s="200"/>
      <c r="AR21" s="195"/>
      <c r="AS21" s="195"/>
      <c r="AT21" s="195">
        <v>47466.729999998584</v>
      </c>
      <c r="AU21" s="195">
        <v>0</v>
      </c>
      <c r="AV21" s="195">
        <v>-47466.729999998584</v>
      </c>
      <c r="AW21" s="195">
        <v>0</v>
      </c>
      <c r="AX21" s="195">
        <v>47466.729999998584</v>
      </c>
      <c r="AY21" s="195">
        <v>0</v>
      </c>
      <c r="AZ21" s="195">
        <v>-47466.729999998584</v>
      </c>
      <c r="BA21" s="195">
        <v>0</v>
      </c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7"/>
      <c r="BR21" s="196"/>
      <c r="BS21" s="202"/>
      <c r="BT21" s="196"/>
      <c r="BU21" s="229"/>
      <c r="BV21" s="196"/>
      <c r="BW21" s="203"/>
      <c r="BX21" s="203"/>
      <c r="BY21" s="195"/>
      <c r="BZ21" s="195"/>
      <c r="CA21" s="195">
        <v>-13901500.85</v>
      </c>
      <c r="CB21" s="195"/>
      <c r="CC21" s="195"/>
      <c r="CD21" s="195"/>
      <c r="CE21" s="195"/>
      <c r="CF21" s="195"/>
      <c r="CG21" s="195"/>
      <c r="CH21" s="195"/>
      <c r="CI21" s="195"/>
      <c r="CJ21" s="195"/>
      <c r="CK21" s="196"/>
      <c r="CL21" s="196"/>
    </row>
    <row r="22" spans="1:90" outlineLevel="3" x14ac:dyDescent="0.25">
      <c r="A22" s="141" t="s">
        <v>372</v>
      </c>
      <c r="B22" s="141" t="s">
        <v>373</v>
      </c>
      <c r="C22" s="141" t="s">
        <v>374</v>
      </c>
      <c r="D22" s="141" t="s">
        <v>375</v>
      </c>
      <c r="E22" s="141" t="s">
        <v>376</v>
      </c>
      <c r="F22" s="141" t="s">
        <v>377</v>
      </c>
      <c r="G22" s="205" t="s">
        <v>378</v>
      </c>
      <c r="H22" s="205" t="s">
        <v>379</v>
      </c>
      <c r="I22" s="167" t="s">
        <v>379</v>
      </c>
      <c r="J22" s="169">
        <v>46956</v>
      </c>
      <c r="K22" s="169">
        <v>46956</v>
      </c>
      <c r="L22" s="171">
        <v>3.446638639149617E-2</v>
      </c>
      <c r="M22" s="171">
        <v>0</v>
      </c>
      <c r="N22" s="171">
        <v>0.34500530057541751</v>
      </c>
      <c r="O22" s="170">
        <v>1.7533046970361275</v>
      </c>
      <c r="P22" s="171">
        <v>1.581700369715912</v>
      </c>
      <c r="Q22" s="171">
        <v>0.17160432732021547</v>
      </c>
      <c r="R22" s="173">
        <v>0</v>
      </c>
      <c r="S22" s="173">
        <v>0</v>
      </c>
      <c r="T22" s="173">
        <v>0</v>
      </c>
      <c r="U22" s="249">
        <v>82328.175354028397</v>
      </c>
      <c r="V22" s="170" t="s">
        <v>344</v>
      </c>
      <c r="W22" s="170">
        <v>0</v>
      </c>
      <c r="X22" s="170">
        <v>0</v>
      </c>
      <c r="Y22" s="170">
        <v>0</v>
      </c>
      <c r="Z22" s="170">
        <v>0</v>
      </c>
      <c r="AA22" s="170">
        <v>0</v>
      </c>
      <c r="AB22" s="170">
        <v>0</v>
      </c>
      <c r="AC22" s="249">
        <v>74270.322560380358</v>
      </c>
      <c r="AD22" s="170">
        <v>8057.8527936480386</v>
      </c>
      <c r="AE22" s="170">
        <v>0</v>
      </c>
      <c r="AF22" s="170">
        <v>-8057.8527936480386</v>
      </c>
      <c r="AG22" s="170">
        <v>0</v>
      </c>
      <c r="AH22" s="250">
        <v>-2542.2106730118685</v>
      </c>
      <c r="AI22" s="170">
        <v>0</v>
      </c>
      <c r="AJ22" s="170">
        <v>-26982.101354028309</v>
      </c>
      <c r="AK22" s="251">
        <v>-29524.312027040178</v>
      </c>
      <c r="AL22" s="174">
        <v>0</v>
      </c>
      <c r="AM22" s="170">
        <v>84870.386027040266</v>
      </c>
      <c r="AN22" s="174">
        <v>0</v>
      </c>
      <c r="AO22" s="174">
        <v>24579.505273373743</v>
      </c>
      <c r="AP22" s="170">
        <v>84870.386027040266</v>
      </c>
      <c r="AQ22" s="175">
        <v>1</v>
      </c>
      <c r="AR22" s="170">
        <v>246038.54632488068</v>
      </c>
      <c r="AS22" s="170">
        <v>15.1875</v>
      </c>
      <c r="AT22" s="170">
        <v>6148.4578774898546</v>
      </c>
      <c r="AU22" s="170">
        <v>0</v>
      </c>
      <c r="AV22" s="170">
        <v>-6148.4578774898546</v>
      </c>
      <c r="AW22" s="170">
        <v>0</v>
      </c>
      <c r="AX22" s="170">
        <v>26982.101354028404</v>
      </c>
      <c r="AY22" s="170">
        <v>0</v>
      </c>
      <c r="AZ22" s="170">
        <v>-26982.101354028309</v>
      </c>
      <c r="BA22" s="170">
        <v>9.4587448984384537E-11</v>
      </c>
      <c r="BB22" s="170">
        <v>15.1875</v>
      </c>
      <c r="BC22" s="170">
        <v>14.6875</v>
      </c>
      <c r="BD22" s="170">
        <v>-1909.3949161581841</v>
      </c>
      <c r="BE22" s="170">
        <v>0</v>
      </c>
      <c r="BF22" s="170">
        <v>1909.3949161581841</v>
      </c>
      <c r="BG22" s="170">
        <v>0</v>
      </c>
      <c r="BH22" s="170">
        <v>18924.248560380365</v>
      </c>
      <c r="BI22" s="170">
        <v>0</v>
      </c>
      <c r="BJ22" s="170">
        <v>-18924.248560380271</v>
      </c>
      <c r="BK22" s="170">
        <v>9.4587448984384537E-11</v>
      </c>
      <c r="BL22" s="170">
        <v>84870.386027040266</v>
      </c>
      <c r="BM22" s="170" t="s">
        <v>352</v>
      </c>
      <c r="BN22" s="170">
        <v>0</v>
      </c>
      <c r="BO22" s="170" t="b">
        <v>0</v>
      </c>
      <c r="BP22" s="170">
        <v>-18924.248560380271</v>
      </c>
      <c r="BQ22" s="171">
        <v>0</v>
      </c>
      <c r="BR22" s="171">
        <v>0</v>
      </c>
      <c r="BS22" s="177">
        <v>42</v>
      </c>
      <c r="BT22" s="171">
        <v>0</v>
      </c>
      <c r="BU22" s="235">
        <v>16200.068893819305</v>
      </c>
      <c r="BV22" s="171">
        <v>368</v>
      </c>
      <c r="BW22" s="178">
        <v>15.1875</v>
      </c>
      <c r="BX22" s="178">
        <v>15.1875</v>
      </c>
      <c r="BY22" s="170">
        <v>0</v>
      </c>
      <c r="BZ22" s="170">
        <v>0</v>
      </c>
      <c r="CA22" s="170">
        <v>0</v>
      </c>
      <c r="CB22" s="170">
        <v>55346.074000000001</v>
      </c>
      <c r="CC22" s="170">
        <v>0</v>
      </c>
      <c r="CD22" s="170">
        <v>0</v>
      </c>
      <c r="CE22" s="170">
        <v>0</v>
      </c>
      <c r="CF22" s="170">
        <v>0</v>
      </c>
      <c r="CG22" s="170">
        <v>-10600.063466659907</v>
      </c>
      <c r="CH22" s="170">
        <v>0</v>
      </c>
      <c r="CI22" s="170">
        <v>-18924.248560380271</v>
      </c>
      <c r="CJ22" s="170">
        <v>-29524.312027040178</v>
      </c>
      <c r="CK22" s="171">
        <v>0</v>
      </c>
      <c r="CL22" s="171">
        <v>0</v>
      </c>
    </row>
    <row r="23" spans="1:90" s="193" customFormat="1" ht="20.100000000000001" customHeight="1" outlineLevel="2" x14ac:dyDescent="0.25">
      <c r="A23" s="180" t="s">
        <v>380</v>
      </c>
      <c r="B23" s="180"/>
      <c r="C23" s="180"/>
      <c r="D23" s="180"/>
      <c r="E23" s="180"/>
      <c r="F23" s="180"/>
      <c r="G23" s="206"/>
      <c r="H23" s="206"/>
      <c r="I23" s="181"/>
      <c r="J23" s="183"/>
      <c r="K23" s="183"/>
      <c r="L23" s="185"/>
      <c r="M23" s="185"/>
      <c r="N23" s="185"/>
      <c r="O23" s="184"/>
      <c r="P23" s="185"/>
      <c r="Q23" s="185"/>
      <c r="R23" s="187">
        <v>0</v>
      </c>
      <c r="S23" s="187">
        <v>0</v>
      </c>
      <c r="T23" s="187">
        <v>0</v>
      </c>
      <c r="U23" s="252">
        <v>82328.175354028397</v>
      </c>
      <c r="V23" s="184"/>
      <c r="W23" s="184">
        <v>0</v>
      </c>
      <c r="X23" s="184">
        <v>0</v>
      </c>
      <c r="Y23" s="184">
        <v>0</v>
      </c>
      <c r="Z23" s="184">
        <v>0</v>
      </c>
      <c r="AA23" s="184">
        <v>0</v>
      </c>
      <c r="AB23" s="184">
        <v>0</v>
      </c>
      <c r="AC23" s="252">
        <v>74270.322560380358</v>
      </c>
      <c r="AD23" s="184">
        <v>8057.8527936480386</v>
      </c>
      <c r="AE23" s="184">
        <v>0</v>
      </c>
      <c r="AF23" s="184">
        <v>-8057.8527936480386</v>
      </c>
      <c r="AG23" s="184">
        <v>0</v>
      </c>
      <c r="AH23" s="253">
        <v>-2542.2106730118685</v>
      </c>
      <c r="AI23" s="184">
        <v>0</v>
      </c>
      <c r="AJ23" s="184">
        <v>-26982.101354028309</v>
      </c>
      <c r="AK23" s="254">
        <v>-29524.312027040178</v>
      </c>
      <c r="AL23" s="188"/>
      <c r="AM23" s="184">
        <v>84870.386027040266</v>
      </c>
      <c r="AN23" s="188"/>
      <c r="AO23" s="188"/>
      <c r="AP23" s="184">
        <v>84870.386027040266</v>
      </c>
      <c r="AQ23" s="189"/>
      <c r="AR23" s="184"/>
      <c r="AS23" s="184"/>
      <c r="AT23" s="184">
        <v>6148.4578774898546</v>
      </c>
      <c r="AU23" s="184">
        <v>0</v>
      </c>
      <c r="AV23" s="184">
        <v>-6148.4578774898546</v>
      </c>
      <c r="AW23" s="184">
        <v>0</v>
      </c>
      <c r="AX23" s="184">
        <v>26982.101354028404</v>
      </c>
      <c r="AY23" s="184">
        <v>0</v>
      </c>
      <c r="AZ23" s="184">
        <v>-26982.101354028309</v>
      </c>
      <c r="BA23" s="184">
        <v>9.4587448984384537E-11</v>
      </c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5"/>
      <c r="BR23" s="185"/>
      <c r="BS23" s="191"/>
      <c r="BT23" s="185"/>
      <c r="BU23" s="228"/>
      <c r="BV23" s="185"/>
      <c r="BW23" s="192"/>
      <c r="BX23" s="192"/>
      <c r="BY23" s="184"/>
      <c r="BZ23" s="184"/>
      <c r="CA23" s="184">
        <v>0</v>
      </c>
      <c r="CB23" s="184"/>
      <c r="CC23" s="184"/>
      <c r="CD23" s="184"/>
      <c r="CE23" s="184"/>
      <c r="CF23" s="184"/>
      <c r="CG23" s="184"/>
      <c r="CH23" s="184"/>
      <c r="CI23" s="184"/>
      <c r="CJ23" s="184"/>
      <c r="CK23" s="185"/>
      <c r="CL23" s="185"/>
    </row>
    <row r="24" spans="1:90" s="204" customFormat="1" ht="30" customHeight="1" outlineLevel="1" x14ac:dyDescent="0.25">
      <c r="A24" s="180"/>
      <c r="B24" s="180" t="s">
        <v>381</v>
      </c>
      <c r="C24" s="180"/>
      <c r="D24" s="180"/>
      <c r="E24" s="180"/>
      <c r="F24" s="180"/>
      <c r="G24" s="206"/>
      <c r="H24" s="206"/>
      <c r="I24" s="181"/>
      <c r="J24" s="194"/>
      <c r="K24" s="194"/>
      <c r="L24" s="196"/>
      <c r="M24" s="196"/>
      <c r="N24" s="196"/>
      <c r="O24" s="195"/>
      <c r="P24" s="196"/>
      <c r="Q24" s="196"/>
      <c r="R24" s="198">
        <v>0</v>
      </c>
      <c r="S24" s="198">
        <v>0</v>
      </c>
      <c r="T24" s="198">
        <v>0</v>
      </c>
      <c r="U24" s="255">
        <v>82328.175354028397</v>
      </c>
      <c r="V24" s="195"/>
      <c r="W24" s="195">
        <v>0</v>
      </c>
      <c r="X24" s="195">
        <v>0</v>
      </c>
      <c r="Y24" s="195">
        <v>0</v>
      </c>
      <c r="Z24" s="195">
        <v>0</v>
      </c>
      <c r="AA24" s="195">
        <v>0</v>
      </c>
      <c r="AB24" s="195">
        <v>0</v>
      </c>
      <c r="AC24" s="255">
        <v>74270.322560380358</v>
      </c>
      <c r="AD24" s="195">
        <v>8057.8527936480386</v>
      </c>
      <c r="AE24" s="195">
        <v>0</v>
      </c>
      <c r="AF24" s="195">
        <v>-8057.8527936480386</v>
      </c>
      <c r="AG24" s="195">
        <v>0</v>
      </c>
      <c r="AH24" s="256">
        <v>-2542.2106730118685</v>
      </c>
      <c r="AI24" s="195">
        <v>0</v>
      </c>
      <c r="AJ24" s="195">
        <v>-26982.101354028309</v>
      </c>
      <c r="AK24" s="257">
        <v>-29524.312027040178</v>
      </c>
      <c r="AL24" s="199"/>
      <c r="AM24" s="195">
        <v>84870.386027040266</v>
      </c>
      <c r="AN24" s="199"/>
      <c r="AO24" s="199"/>
      <c r="AP24" s="195">
        <v>84870.386027040266</v>
      </c>
      <c r="AQ24" s="200"/>
      <c r="AR24" s="195"/>
      <c r="AS24" s="195"/>
      <c r="AT24" s="195">
        <v>6148.4578774898546</v>
      </c>
      <c r="AU24" s="195">
        <v>0</v>
      </c>
      <c r="AV24" s="195">
        <v>-6148.4578774898546</v>
      </c>
      <c r="AW24" s="195">
        <v>0</v>
      </c>
      <c r="AX24" s="195">
        <v>26982.101354028404</v>
      </c>
      <c r="AY24" s="195">
        <v>0</v>
      </c>
      <c r="AZ24" s="195">
        <v>-26982.101354028309</v>
      </c>
      <c r="BA24" s="195">
        <v>9.4587448984384537E-11</v>
      </c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6"/>
      <c r="BR24" s="196"/>
      <c r="BS24" s="202"/>
      <c r="BT24" s="196"/>
      <c r="BU24" s="229"/>
      <c r="BV24" s="196"/>
      <c r="BW24" s="203"/>
      <c r="BX24" s="203"/>
      <c r="BY24" s="195"/>
      <c r="BZ24" s="195"/>
      <c r="CA24" s="195">
        <v>0</v>
      </c>
      <c r="CB24" s="195"/>
      <c r="CC24" s="195"/>
      <c r="CD24" s="195"/>
      <c r="CE24" s="195"/>
      <c r="CF24" s="195"/>
      <c r="CG24" s="195"/>
      <c r="CH24" s="195"/>
      <c r="CI24" s="195"/>
      <c r="CJ24" s="195"/>
      <c r="CK24" s="196"/>
      <c r="CL24" s="196"/>
    </row>
    <row r="25" spans="1:90" outlineLevel="3" x14ac:dyDescent="0.25">
      <c r="A25" s="141" t="s">
        <v>355</v>
      </c>
      <c r="B25" s="141" t="s">
        <v>382</v>
      </c>
      <c r="C25" s="141" t="s">
        <v>542</v>
      </c>
      <c r="D25" s="141" t="s">
        <v>543</v>
      </c>
      <c r="E25" s="141" t="s">
        <v>207</v>
      </c>
      <c r="F25" s="141" t="s">
        <v>202</v>
      </c>
      <c r="G25" s="141" t="s">
        <v>564</v>
      </c>
      <c r="H25" s="141" t="s">
        <v>341</v>
      </c>
      <c r="I25" s="167" t="s">
        <v>361</v>
      </c>
      <c r="J25" s="169">
        <v>1</v>
      </c>
      <c r="K25" s="169">
        <v>1</v>
      </c>
      <c r="L25" s="171">
        <v>0</v>
      </c>
      <c r="M25" s="171">
        <v>0</v>
      </c>
      <c r="N25" s="171">
        <v>0</v>
      </c>
      <c r="O25" s="170">
        <v>1803840</v>
      </c>
      <c r="P25" s="171">
        <v>1803840</v>
      </c>
      <c r="Q25" s="171">
        <v>0</v>
      </c>
      <c r="R25" s="173" t="s">
        <v>383</v>
      </c>
      <c r="S25" s="173">
        <v>0</v>
      </c>
      <c r="T25" s="173">
        <v>0</v>
      </c>
      <c r="U25" s="249">
        <v>1803840</v>
      </c>
      <c r="V25" s="170" t="s">
        <v>344</v>
      </c>
      <c r="W25" s="170">
        <v>0</v>
      </c>
      <c r="X25" s="170">
        <v>0</v>
      </c>
      <c r="Y25" s="170">
        <v>0</v>
      </c>
      <c r="Z25" s="170">
        <v>0</v>
      </c>
      <c r="AA25" s="170">
        <v>0</v>
      </c>
      <c r="AB25" s="170">
        <v>0</v>
      </c>
      <c r="AC25" s="249">
        <v>1803840</v>
      </c>
      <c r="AD25" s="170">
        <v>0</v>
      </c>
      <c r="AE25" s="170">
        <v>0</v>
      </c>
      <c r="AF25" s="170">
        <v>0</v>
      </c>
      <c r="AG25" s="170">
        <v>0</v>
      </c>
      <c r="AH25" s="250">
        <v>0</v>
      </c>
      <c r="AI25" s="170">
        <v>0</v>
      </c>
      <c r="AJ25" s="170">
        <v>0</v>
      </c>
      <c r="AK25" s="251">
        <v>0</v>
      </c>
      <c r="AL25" s="174">
        <v>0</v>
      </c>
      <c r="AM25" s="170">
        <v>1803840</v>
      </c>
      <c r="AN25" s="171">
        <v>0</v>
      </c>
      <c r="AO25" s="174">
        <v>0</v>
      </c>
      <c r="AP25" s="170">
        <v>1803840</v>
      </c>
      <c r="AQ25" s="175">
        <v>1</v>
      </c>
      <c r="AR25" s="170">
        <v>0</v>
      </c>
      <c r="AS25" s="170">
        <v>1803840</v>
      </c>
      <c r="AT25" s="170">
        <v>0</v>
      </c>
      <c r="AU25" s="170">
        <v>0</v>
      </c>
      <c r="AV25" s="170">
        <v>0</v>
      </c>
      <c r="AW25" s="170">
        <v>0</v>
      </c>
      <c r="AX25" s="170">
        <v>0</v>
      </c>
      <c r="AY25" s="170">
        <v>0</v>
      </c>
      <c r="AZ25" s="170">
        <v>0</v>
      </c>
      <c r="BA25" s="170">
        <v>0</v>
      </c>
      <c r="BB25" s="170" t="s">
        <v>202</v>
      </c>
      <c r="BC25" s="170" t="s">
        <v>202</v>
      </c>
      <c r="BD25" s="170">
        <v>0</v>
      </c>
      <c r="BE25" s="170">
        <v>0</v>
      </c>
      <c r="BF25" s="170">
        <v>0</v>
      </c>
      <c r="BG25" s="170">
        <v>0</v>
      </c>
      <c r="BH25" s="170">
        <v>0</v>
      </c>
      <c r="BI25" s="170">
        <v>0</v>
      </c>
      <c r="BJ25" s="170">
        <v>0</v>
      </c>
      <c r="BK25" s="170">
        <v>0</v>
      </c>
      <c r="BL25" s="170">
        <v>1803840</v>
      </c>
      <c r="BM25" s="170" t="s">
        <v>345</v>
      </c>
      <c r="BN25" s="170">
        <v>0</v>
      </c>
      <c r="BO25" s="170" t="b">
        <v>0</v>
      </c>
      <c r="BP25" s="170">
        <v>0</v>
      </c>
      <c r="BQ25" s="172">
        <v>0</v>
      </c>
      <c r="BR25" s="171">
        <v>0</v>
      </c>
      <c r="BS25" s="177">
        <v>77</v>
      </c>
      <c r="BT25" s="171">
        <v>0</v>
      </c>
      <c r="BU25" s="235">
        <v>0</v>
      </c>
      <c r="BV25" s="171">
        <v>243</v>
      </c>
      <c r="BW25" s="178">
        <v>0</v>
      </c>
      <c r="BX25" s="178">
        <v>0</v>
      </c>
      <c r="BY25" s="170">
        <v>0</v>
      </c>
      <c r="BZ25" s="170">
        <v>0</v>
      </c>
      <c r="CA25" s="170">
        <v>0</v>
      </c>
      <c r="CB25" s="170">
        <v>1803840</v>
      </c>
      <c r="CC25" s="170">
        <v>0</v>
      </c>
      <c r="CD25" s="170">
        <v>0</v>
      </c>
      <c r="CE25" s="170">
        <v>0</v>
      </c>
      <c r="CF25" s="170">
        <v>0</v>
      </c>
      <c r="CG25" s="170">
        <v>0</v>
      </c>
      <c r="CH25" s="170">
        <v>0</v>
      </c>
      <c r="CI25" s="170">
        <v>0</v>
      </c>
      <c r="CJ25" s="170">
        <v>0</v>
      </c>
      <c r="CK25" s="171">
        <v>0</v>
      </c>
      <c r="CL25" s="171">
        <v>0</v>
      </c>
    </row>
    <row r="26" spans="1:90" outlineLevel="3" x14ac:dyDescent="0.25">
      <c r="A26" s="141" t="s">
        <v>355</v>
      </c>
      <c r="B26" s="141" t="s">
        <v>382</v>
      </c>
      <c r="C26" s="141" t="s">
        <v>542</v>
      </c>
      <c r="D26" s="141" t="s">
        <v>543</v>
      </c>
      <c r="E26" s="141" t="s">
        <v>476</v>
      </c>
      <c r="F26" s="141" t="s">
        <v>202</v>
      </c>
      <c r="G26" s="141" t="s">
        <v>564</v>
      </c>
      <c r="H26" s="141" t="s">
        <v>341</v>
      </c>
      <c r="I26" s="167" t="s">
        <v>361</v>
      </c>
      <c r="J26" s="169">
        <v>1</v>
      </c>
      <c r="K26" s="169">
        <v>1</v>
      </c>
      <c r="L26" s="171">
        <v>0</v>
      </c>
      <c r="M26" s="171">
        <v>0</v>
      </c>
      <c r="N26" s="171">
        <v>0</v>
      </c>
      <c r="O26" s="170">
        <v>2300803</v>
      </c>
      <c r="P26" s="171">
        <v>2300803</v>
      </c>
      <c r="Q26" s="171">
        <v>0</v>
      </c>
      <c r="R26" s="173" t="s">
        <v>477</v>
      </c>
      <c r="S26" s="173">
        <v>0</v>
      </c>
      <c r="T26" s="173">
        <v>0</v>
      </c>
      <c r="U26" s="249">
        <v>2300803</v>
      </c>
      <c r="V26" s="170" t="s">
        <v>344</v>
      </c>
      <c r="W26" s="170">
        <v>0</v>
      </c>
      <c r="X26" s="170">
        <v>0</v>
      </c>
      <c r="Y26" s="170">
        <v>0</v>
      </c>
      <c r="Z26" s="170">
        <v>0</v>
      </c>
      <c r="AA26" s="170">
        <v>0</v>
      </c>
      <c r="AB26" s="170">
        <v>0</v>
      </c>
      <c r="AC26" s="249">
        <v>2300803</v>
      </c>
      <c r="AD26" s="170">
        <v>0</v>
      </c>
      <c r="AE26" s="170">
        <v>0</v>
      </c>
      <c r="AF26" s="170">
        <v>0</v>
      </c>
      <c r="AG26" s="170">
        <v>0</v>
      </c>
      <c r="AH26" s="250">
        <v>0</v>
      </c>
      <c r="AI26" s="170">
        <v>0</v>
      </c>
      <c r="AJ26" s="170">
        <v>0</v>
      </c>
      <c r="AK26" s="251">
        <v>0</v>
      </c>
      <c r="AL26" s="174">
        <v>0</v>
      </c>
      <c r="AM26" s="170">
        <v>2300803</v>
      </c>
      <c r="AN26" s="171">
        <v>0</v>
      </c>
      <c r="AO26" s="174">
        <v>0</v>
      </c>
      <c r="AP26" s="170">
        <v>2300803</v>
      </c>
      <c r="AQ26" s="175">
        <v>1</v>
      </c>
      <c r="AR26" s="170">
        <v>0</v>
      </c>
      <c r="AS26" s="170">
        <v>2300803</v>
      </c>
      <c r="AT26" s="170">
        <v>0</v>
      </c>
      <c r="AU26" s="170">
        <v>0</v>
      </c>
      <c r="AV26" s="170">
        <v>0</v>
      </c>
      <c r="AW26" s="170">
        <v>0</v>
      </c>
      <c r="AX26" s="170">
        <v>0</v>
      </c>
      <c r="AY26" s="170">
        <v>0</v>
      </c>
      <c r="AZ26" s="170">
        <v>0</v>
      </c>
      <c r="BA26" s="170">
        <v>0</v>
      </c>
      <c r="BB26" s="170" t="s">
        <v>202</v>
      </c>
      <c r="BC26" s="170" t="s">
        <v>202</v>
      </c>
      <c r="BD26" s="170">
        <v>0</v>
      </c>
      <c r="BE26" s="170">
        <v>0</v>
      </c>
      <c r="BF26" s="170">
        <v>0</v>
      </c>
      <c r="BG26" s="170">
        <v>0</v>
      </c>
      <c r="BH26" s="170">
        <v>0</v>
      </c>
      <c r="BI26" s="170">
        <v>0</v>
      </c>
      <c r="BJ26" s="170">
        <v>0</v>
      </c>
      <c r="BK26" s="170">
        <v>0</v>
      </c>
      <c r="BL26" s="170">
        <v>2300803</v>
      </c>
      <c r="BM26" s="170" t="s">
        <v>345</v>
      </c>
      <c r="BN26" s="170">
        <v>0</v>
      </c>
      <c r="BO26" s="170" t="b">
        <v>0</v>
      </c>
      <c r="BP26" s="170">
        <v>0</v>
      </c>
      <c r="BQ26" s="172">
        <v>0</v>
      </c>
      <c r="BR26" s="171">
        <v>0</v>
      </c>
      <c r="BS26" s="177">
        <v>77</v>
      </c>
      <c r="BT26" s="171">
        <v>0</v>
      </c>
      <c r="BU26" s="235">
        <v>0</v>
      </c>
      <c r="BV26" s="171">
        <v>245</v>
      </c>
      <c r="BW26" s="178">
        <v>0</v>
      </c>
      <c r="BX26" s="178">
        <v>0</v>
      </c>
      <c r="BY26" s="170">
        <v>0</v>
      </c>
      <c r="BZ26" s="170">
        <v>0</v>
      </c>
      <c r="CA26" s="170">
        <v>0</v>
      </c>
      <c r="CB26" s="170">
        <v>2300803</v>
      </c>
      <c r="CC26" s="170">
        <v>0</v>
      </c>
      <c r="CD26" s="170">
        <v>0</v>
      </c>
      <c r="CE26" s="170">
        <v>0</v>
      </c>
      <c r="CF26" s="170">
        <v>0</v>
      </c>
      <c r="CG26" s="170">
        <v>0</v>
      </c>
      <c r="CH26" s="170">
        <v>0</v>
      </c>
      <c r="CI26" s="170">
        <v>0</v>
      </c>
      <c r="CJ26" s="170">
        <v>0</v>
      </c>
      <c r="CK26" s="171">
        <v>0</v>
      </c>
      <c r="CL26" s="171">
        <v>0</v>
      </c>
    </row>
    <row r="27" spans="1:90" s="193" customFormat="1" ht="20.100000000000001" customHeight="1" outlineLevel="2" x14ac:dyDescent="0.25">
      <c r="A27" s="180" t="s">
        <v>368</v>
      </c>
      <c r="B27" s="180"/>
      <c r="C27" s="180"/>
      <c r="D27" s="180"/>
      <c r="E27" s="180"/>
      <c r="F27" s="180"/>
      <c r="G27" s="180"/>
      <c r="H27" s="180"/>
      <c r="I27" s="181"/>
      <c r="J27" s="183"/>
      <c r="K27" s="183"/>
      <c r="L27" s="185"/>
      <c r="M27" s="185"/>
      <c r="N27" s="185"/>
      <c r="O27" s="184"/>
      <c r="P27" s="185"/>
      <c r="Q27" s="185"/>
      <c r="R27" s="187">
        <v>0</v>
      </c>
      <c r="S27" s="187">
        <v>0</v>
      </c>
      <c r="T27" s="187">
        <v>0</v>
      </c>
      <c r="U27" s="252">
        <v>4104643</v>
      </c>
      <c r="V27" s="184"/>
      <c r="W27" s="184">
        <v>0</v>
      </c>
      <c r="X27" s="184">
        <v>0</v>
      </c>
      <c r="Y27" s="184">
        <v>0</v>
      </c>
      <c r="Z27" s="184">
        <v>0</v>
      </c>
      <c r="AA27" s="184">
        <v>0</v>
      </c>
      <c r="AB27" s="184">
        <v>0</v>
      </c>
      <c r="AC27" s="252">
        <v>4104643</v>
      </c>
      <c r="AD27" s="184">
        <v>0</v>
      </c>
      <c r="AE27" s="184">
        <v>0</v>
      </c>
      <c r="AF27" s="184">
        <v>0</v>
      </c>
      <c r="AG27" s="184">
        <v>0</v>
      </c>
      <c r="AH27" s="253">
        <v>0</v>
      </c>
      <c r="AI27" s="184">
        <v>0</v>
      </c>
      <c r="AJ27" s="184">
        <v>0</v>
      </c>
      <c r="AK27" s="254">
        <v>0</v>
      </c>
      <c r="AL27" s="188"/>
      <c r="AM27" s="184">
        <v>4104643</v>
      </c>
      <c r="AN27" s="185"/>
      <c r="AO27" s="188"/>
      <c r="AP27" s="184">
        <v>4104643</v>
      </c>
      <c r="AQ27" s="189"/>
      <c r="AR27" s="184"/>
      <c r="AS27" s="184"/>
      <c r="AT27" s="184">
        <v>0</v>
      </c>
      <c r="AU27" s="184">
        <v>0</v>
      </c>
      <c r="AV27" s="184">
        <v>0</v>
      </c>
      <c r="AW27" s="184">
        <v>0</v>
      </c>
      <c r="AX27" s="184">
        <v>0</v>
      </c>
      <c r="AY27" s="184">
        <v>0</v>
      </c>
      <c r="AZ27" s="184">
        <v>0</v>
      </c>
      <c r="BA27" s="184">
        <v>0</v>
      </c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6"/>
      <c r="BR27" s="185"/>
      <c r="BS27" s="191"/>
      <c r="BT27" s="185"/>
      <c r="BU27" s="228"/>
      <c r="BV27" s="185"/>
      <c r="BW27" s="192"/>
      <c r="BX27" s="192"/>
      <c r="BY27" s="184"/>
      <c r="BZ27" s="184"/>
      <c r="CA27" s="184">
        <v>0</v>
      </c>
      <c r="CB27" s="184"/>
      <c r="CC27" s="184"/>
      <c r="CD27" s="184"/>
      <c r="CE27" s="184"/>
      <c r="CF27" s="184"/>
      <c r="CG27" s="184"/>
      <c r="CH27" s="184"/>
      <c r="CI27" s="184"/>
      <c r="CJ27" s="184"/>
      <c r="CK27" s="185"/>
      <c r="CL27" s="185"/>
    </row>
    <row r="28" spans="1:90" s="204" customFormat="1" ht="30" customHeight="1" outlineLevel="1" x14ac:dyDescent="0.25">
      <c r="A28" s="180"/>
      <c r="B28" s="180" t="s">
        <v>384</v>
      </c>
      <c r="C28" s="180"/>
      <c r="D28" s="180"/>
      <c r="E28" s="180"/>
      <c r="F28" s="180"/>
      <c r="G28" s="180"/>
      <c r="H28" s="180"/>
      <c r="I28" s="181"/>
      <c r="J28" s="194"/>
      <c r="K28" s="194"/>
      <c r="L28" s="196"/>
      <c r="M28" s="196"/>
      <c r="N28" s="196"/>
      <c r="O28" s="195"/>
      <c r="P28" s="196"/>
      <c r="Q28" s="196"/>
      <c r="R28" s="198">
        <v>0</v>
      </c>
      <c r="S28" s="198">
        <v>0</v>
      </c>
      <c r="T28" s="198">
        <v>0</v>
      </c>
      <c r="U28" s="255">
        <v>4104643</v>
      </c>
      <c r="V28" s="195"/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5">
        <v>0</v>
      </c>
      <c r="AC28" s="255">
        <v>4104643</v>
      </c>
      <c r="AD28" s="195">
        <v>0</v>
      </c>
      <c r="AE28" s="195">
        <v>0</v>
      </c>
      <c r="AF28" s="195">
        <v>0</v>
      </c>
      <c r="AG28" s="195">
        <v>0</v>
      </c>
      <c r="AH28" s="256">
        <v>0</v>
      </c>
      <c r="AI28" s="195">
        <v>0</v>
      </c>
      <c r="AJ28" s="195">
        <v>0</v>
      </c>
      <c r="AK28" s="257">
        <v>0</v>
      </c>
      <c r="AL28" s="199"/>
      <c r="AM28" s="195">
        <v>4104643</v>
      </c>
      <c r="AN28" s="196"/>
      <c r="AO28" s="199"/>
      <c r="AP28" s="195">
        <v>4104643</v>
      </c>
      <c r="AQ28" s="200"/>
      <c r="AR28" s="195"/>
      <c r="AS28" s="195"/>
      <c r="AT28" s="195">
        <v>0</v>
      </c>
      <c r="AU28" s="195">
        <v>0</v>
      </c>
      <c r="AV28" s="195">
        <v>0</v>
      </c>
      <c r="AW28" s="195">
        <v>0</v>
      </c>
      <c r="AX28" s="195">
        <v>0</v>
      </c>
      <c r="AY28" s="195">
        <v>0</v>
      </c>
      <c r="AZ28" s="195">
        <v>0</v>
      </c>
      <c r="BA28" s="195">
        <v>0</v>
      </c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7"/>
      <c r="BR28" s="196"/>
      <c r="BS28" s="202"/>
      <c r="BT28" s="196"/>
      <c r="BU28" s="229"/>
      <c r="BV28" s="196"/>
      <c r="BW28" s="203"/>
      <c r="BX28" s="203"/>
      <c r="BY28" s="195"/>
      <c r="BZ28" s="195"/>
      <c r="CA28" s="195">
        <v>0</v>
      </c>
      <c r="CB28" s="195"/>
      <c r="CC28" s="195"/>
      <c r="CD28" s="195"/>
      <c r="CE28" s="195"/>
      <c r="CF28" s="195"/>
      <c r="CG28" s="195"/>
      <c r="CH28" s="195"/>
      <c r="CI28" s="195"/>
      <c r="CJ28" s="195"/>
      <c r="CK28" s="196"/>
      <c r="CL28" s="196"/>
    </row>
    <row r="29" spans="1:90" outlineLevel="3" x14ac:dyDescent="0.25">
      <c r="A29" s="141" t="s">
        <v>389</v>
      </c>
      <c r="B29" s="141" t="s">
        <v>385</v>
      </c>
      <c r="C29" s="141" t="s">
        <v>386</v>
      </c>
      <c r="D29" s="141" t="s">
        <v>387</v>
      </c>
      <c r="E29" s="141" t="s">
        <v>208</v>
      </c>
      <c r="F29" s="141" t="s">
        <v>202</v>
      </c>
      <c r="G29" s="141" t="s">
        <v>388</v>
      </c>
      <c r="H29" s="141" t="s">
        <v>341</v>
      </c>
      <c r="I29" s="167" t="s">
        <v>390</v>
      </c>
      <c r="J29" s="169">
        <v>1</v>
      </c>
      <c r="K29" s="169">
        <v>1</v>
      </c>
      <c r="L29" s="171">
        <v>0</v>
      </c>
      <c r="M29" s="171">
        <v>0</v>
      </c>
      <c r="N29" s="171">
        <v>0</v>
      </c>
      <c r="O29" s="170">
        <v>0</v>
      </c>
      <c r="P29" s="171">
        <v>0</v>
      </c>
      <c r="Q29" s="171">
        <v>0</v>
      </c>
      <c r="R29" s="173" t="s">
        <v>391</v>
      </c>
      <c r="S29" s="173">
        <v>0</v>
      </c>
      <c r="T29" s="173">
        <v>0</v>
      </c>
      <c r="U29" s="249">
        <v>0</v>
      </c>
      <c r="V29" s="170" t="s">
        <v>344</v>
      </c>
      <c r="W29" s="170">
        <v>0</v>
      </c>
      <c r="X29" s="170">
        <v>0</v>
      </c>
      <c r="Y29" s="170">
        <v>0</v>
      </c>
      <c r="Z29" s="170">
        <v>0</v>
      </c>
      <c r="AA29" s="170">
        <v>0</v>
      </c>
      <c r="AB29" s="170">
        <v>0</v>
      </c>
      <c r="AC29" s="249">
        <v>0</v>
      </c>
      <c r="AD29" s="170">
        <v>0</v>
      </c>
      <c r="AE29" s="170">
        <v>0</v>
      </c>
      <c r="AF29" s="170">
        <v>0</v>
      </c>
      <c r="AG29" s="170">
        <v>0</v>
      </c>
      <c r="AH29" s="250">
        <v>-13228050</v>
      </c>
      <c r="AI29" s="170">
        <v>0</v>
      </c>
      <c r="AJ29" s="170">
        <v>13228050</v>
      </c>
      <c r="AK29" s="251">
        <v>0</v>
      </c>
      <c r="AL29" s="174">
        <v>0</v>
      </c>
      <c r="AM29" s="170">
        <v>13228050</v>
      </c>
      <c r="AN29" s="171">
        <v>0</v>
      </c>
      <c r="AO29" s="174">
        <v>0</v>
      </c>
      <c r="AP29" s="170">
        <v>0</v>
      </c>
      <c r="AQ29" s="175">
        <v>1</v>
      </c>
      <c r="AR29" s="170">
        <v>0</v>
      </c>
      <c r="AS29" s="170">
        <v>0</v>
      </c>
      <c r="AT29" s="170">
        <v>-13228050</v>
      </c>
      <c r="AU29" s="170">
        <v>0</v>
      </c>
      <c r="AV29" s="170">
        <v>13228050</v>
      </c>
      <c r="AW29" s="170">
        <v>0</v>
      </c>
      <c r="AX29" s="170">
        <v>-13228050</v>
      </c>
      <c r="AY29" s="170">
        <v>0</v>
      </c>
      <c r="AZ29" s="170">
        <v>13228050</v>
      </c>
      <c r="BA29" s="170">
        <v>0</v>
      </c>
      <c r="BB29" s="170" t="s">
        <v>202</v>
      </c>
      <c r="BC29" s="170" t="s">
        <v>202</v>
      </c>
      <c r="BD29" s="170">
        <v>-13228050</v>
      </c>
      <c r="BE29" s="170">
        <v>0</v>
      </c>
      <c r="BF29" s="170">
        <v>13228050</v>
      </c>
      <c r="BG29" s="170">
        <v>0</v>
      </c>
      <c r="BH29" s="170">
        <v>-13228050</v>
      </c>
      <c r="BI29" s="170">
        <v>0</v>
      </c>
      <c r="BJ29" s="170">
        <v>13228050</v>
      </c>
      <c r="BK29" s="170">
        <v>0</v>
      </c>
      <c r="BL29" s="170">
        <v>0</v>
      </c>
      <c r="BM29" s="170" t="s">
        <v>345</v>
      </c>
      <c r="BN29" s="170">
        <v>0</v>
      </c>
      <c r="BO29" s="170" t="b">
        <v>0</v>
      </c>
      <c r="BP29" s="170">
        <v>13228050</v>
      </c>
      <c r="BQ29" s="172">
        <v>0</v>
      </c>
      <c r="BR29" s="171">
        <v>0</v>
      </c>
      <c r="BS29" s="177">
        <v>78</v>
      </c>
      <c r="BT29" s="171">
        <v>0</v>
      </c>
      <c r="BU29" s="235">
        <v>0</v>
      </c>
      <c r="BV29" s="171">
        <v>263</v>
      </c>
      <c r="BW29" s="178">
        <v>0</v>
      </c>
      <c r="BX29" s="178">
        <v>0</v>
      </c>
      <c r="BY29" s="170">
        <v>0</v>
      </c>
      <c r="BZ29" s="170">
        <v>0</v>
      </c>
      <c r="CA29" s="170">
        <v>0</v>
      </c>
      <c r="CB29" s="170">
        <v>13228050</v>
      </c>
      <c r="CC29" s="170">
        <v>0</v>
      </c>
      <c r="CD29" s="170">
        <v>0</v>
      </c>
      <c r="CE29" s="170">
        <v>0</v>
      </c>
      <c r="CF29" s="170">
        <v>0</v>
      </c>
      <c r="CG29" s="170">
        <v>-13228050</v>
      </c>
      <c r="CH29" s="170">
        <v>0</v>
      </c>
      <c r="CI29" s="170">
        <v>13228050</v>
      </c>
      <c r="CJ29" s="170">
        <v>0</v>
      </c>
      <c r="CK29" s="171">
        <v>0</v>
      </c>
      <c r="CL29" s="171">
        <v>0</v>
      </c>
    </row>
    <row r="30" spans="1:90" outlineLevel="3" x14ac:dyDescent="0.25">
      <c r="A30" s="141" t="s">
        <v>389</v>
      </c>
      <c r="B30" s="141" t="s">
        <v>385</v>
      </c>
      <c r="C30" s="141" t="s">
        <v>522</v>
      </c>
      <c r="D30" s="141" t="s">
        <v>523</v>
      </c>
      <c r="E30" s="141" t="s">
        <v>524</v>
      </c>
      <c r="F30" s="141" t="s">
        <v>202</v>
      </c>
      <c r="G30" s="141" t="s">
        <v>525</v>
      </c>
      <c r="H30" s="141" t="s">
        <v>341</v>
      </c>
      <c r="I30" s="167" t="s">
        <v>390</v>
      </c>
      <c r="J30" s="169">
        <v>1</v>
      </c>
      <c r="K30" s="169">
        <v>1</v>
      </c>
      <c r="L30" s="171">
        <v>0</v>
      </c>
      <c r="M30" s="171">
        <v>0</v>
      </c>
      <c r="N30" s="171">
        <v>0</v>
      </c>
      <c r="O30" s="170">
        <v>93746588.676477998</v>
      </c>
      <c r="P30" s="171">
        <v>93746588.676477998</v>
      </c>
      <c r="Q30" s="171">
        <v>0</v>
      </c>
      <c r="R30" s="173" t="s">
        <v>526</v>
      </c>
      <c r="S30" s="173">
        <v>0</v>
      </c>
      <c r="T30" s="173">
        <v>0</v>
      </c>
      <c r="U30" s="249">
        <v>93746588.676477998</v>
      </c>
      <c r="V30" s="170" t="s">
        <v>344</v>
      </c>
      <c r="W30" s="170">
        <v>0</v>
      </c>
      <c r="X30" s="170">
        <v>0</v>
      </c>
      <c r="Y30" s="170">
        <v>0</v>
      </c>
      <c r="Z30" s="170">
        <v>0</v>
      </c>
      <c r="AA30" s="170">
        <v>0</v>
      </c>
      <c r="AB30" s="170">
        <v>0</v>
      </c>
      <c r="AC30" s="249">
        <v>93746588.676477998</v>
      </c>
      <c r="AD30" s="170">
        <v>0</v>
      </c>
      <c r="AE30" s="170">
        <v>0</v>
      </c>
      <c r="AF30" s="170">
        <v>0</v>
      </c>
      <c r="AG30" s="170">
        <v>0</v>
      </c>
      <c r="AH30" s="250">
        <v>0</v>
      </c>
      <c r="AI30" s="170">
        <v>0</v>
      </c>
      <c r="AJ30" s="170">
        <v>0</v>
      </c>
      <c r="AK30" s="251">
        <v>0</v>
      </c>
      <c r="AL30" s="174">
        <v>0</v>
      </c>
      <c r="AM30" s="170">
        <v>93746588.676477998</v>
      </c>
      <c r="AN30" s="171">
        <v>0</v>
      </c>
      <c r="AO30" s="174">
        <v>0</v>
      </c>
      <c r="AP30" s="170">
        <v>93746588.676477998</v>
      </c>
      <c r="AQ30" s="175">
        <v>1</v>
      </c>
      <c r="AR30" s="170">
        <v>0</v>
      </c>
      <c r="AS30" s="170">
        <v>93746588.676477998</v>
      </c>
      <c r="AT30" s="170">
        <v>0</v>
      </c>
      <c r="AU30" s="170">
        <v>0</v>
      </c>
      <c r="AV30" s="170">
        <v>0</v>
      </c>
      <c r="AW30" s="170">
        <v>0</v>
      </c>
      <c r="AX30" s="170">
        <v>0</v>
      </c>
      <c r="AY30" s="170">
        <v>0</v>
      </c>
      <c r="AZ30" s="170">
        <v>0</v>
      </c>
      <c r="BA30" s="170">
        <v>0</v>
      </c>
      <c r="BB30" s="170" t="s">
        <v>202</v>
      </c>
      <c r="BC30" s="170" t="s">
        <v>202</v>
      </c>
      <c r="BD30" s="170">
        <v>0</v>
      </c>
      <c r="BE30" s="170">
        <v>0</v>
      </c>
      <c r="BF30" s="170">
        <v>0</v>
      </c>
      <c r="BG30" s="170">
        <v>0</v>
      </c>
      <c r="BH30" s="170">
        <v>0</v>
      </c>
      <c r="BI30" s="170">
        <v>0</v>
      </c>
      <c r="BJ30" s="170">
        <v>0</v>
      </c>
      <c r="BK30" s="170">
        <v>0</v>
      </c>
      <c r="BL30" s="170">
        <v>93746588.676477998</v>
      </c>
      <c r="BM30" s="170" t="s">
        <v>345</v>
      </c>
      <c r="BN30" s="170">
        <v>0</v>
      </c>
      <c r="BO30" s="170" t="b">
        <v>0</v>
      </c>
      <c r="BP30" s="170">
        <v>0</v>
      </c>
      <c r="BQ30" s="172">
        <v>0</v>
      </c>
      <c r="BR30" s="171">
        <v>0</v>
      </c>
      <c r="BS30" s="177">
        <v>78</v>
      </c>
      <c r="BT30" s="171">
        <v>0</v>
      </c>
      <c r="BU30" s="235">
        <v>0</v>
      </c>
      <c r="BV30" s="171">
        <v>302</v>
      </c>
      <c r="BW30" s="178">
        <v>0</v>
      </c>
      <c r="BX30" s="178">
        <v>0</v>
      </c>
      <c r="BY30" s="170">
        <v>0</v>
      </c>
      <c r="BZ30" s="170">
        <v>0</v>
      </c>
      <c r="CA30" s="170">
        <v>0</v>
      </c>
      <c r="CB30" s="170">
        <v>93746588.676477998</v>
      </c>
      <c r="CC30" s="170">
        <v>0</v>
      </c>
      <c r="CD30" s="170">
        <v>0</v>
      </c>
      <c r="CE30" s="170">
        <v>0</v>
      </c>
      <c r="CF30" s="170">
        <v>0</v>
      </c>
      <c r="CG30" s="170">
        <v>0</v>
      </c>
      <c r="CH30" s="170">
        <v>0</v>
      </c>
      <c r="CI30" s="170">
        <v>0</v>
      </c>
      <c r="CJ30" s="170">
        <v>0</v>
      </c>
      <c r="CK30" s="171">
        <v>0</v>
      </c>
      <c r="CL30" s="171">
        <v>0</v>
      </c>
    </row>
    <row r="31" spans="1:90" s="193" customFormat="1" ht="20.100000000000001" customHeight="1" outlineLevel="2" x14ac:dyDescent="0.25">
      <c r="A31" s="180" t="s">
        <v>392</v>
      </c>
      <c r="B31" s="180"/>
      <c r="C31" s="180"/>
      <c r="D31" s="180"/>
      <c r="E31" s="180"/>
      <c r="F31" s="180"/>
      <c r="G31" s="180"/>
      <c r="H31" s="180"/>
      <c r="I31" s="181"/>
      <c r="J31" s="183"/>
      <c r="K31" s="183"/>
      <c r="L31" s="185"/>
      <c r="M31" s="185"/>
      <c r="N31" s="185"/>
      <c r="O31" s="184"/>
      <c r="P31" s="185"/>
      <c r="Q31" s="185"/>
      <c r="R31" s="187">
        <v>0</v>
      </c>
      <c r="S31" s="187">
        <v>0</v>
      </c>
      <c r="T31" s="187">
        <v>0</v>
      </c>
      <c r="U31" s="252">
        <v>93746588.676477998</v>
      </c>
      <c r="V31" s="184"/>
      <c r="W31" s="184">
        <v>0</v>
      </c>
      <c r="X31" s="184">
        <v>0</v>
      </c>
      <c r="Y31" s="184">
        <v>0</v>
      </c>
      <c r="Z31" s="184">
        <v>0</v>
      </c>
      <c r="AA31" s="184">
        <v>0</v>
      </c>
      <c r="AB31" s="184">
        <v>0</v>
      </c>
      <c r="AC31" s="252">
        <v>93746588.676477998</v>
      </c>
      <c r="AD31" s="184">
        <v>0</v>
      </c>
      <c r="AE31" s="184">
        <v>0</v>
      </c>
      <c r="AF31" s="184">
        <v>0</v>
      </c>
      <c r="AG31" s="184">
        <v>0</v>
      </c>
      <c r="AH31" s="253">
        <v>-13228050</v>
      </c>
      <c r="AI31" s="184">
        <v>0</v>
      </c>
      <c r="AJ31" s="184">
        <v>13228050</v>
      </c>
      <c r="AK31" s="254">
        <v>0</v>
      </c>
      <c r="AL31" s="188"/>
      <c r="AM31" s="184">
        <v>106974638.676478</v>
      </c>
      <c r="AN31" s="185"/>
      <c r="AO31" s="188"/>
      <c r="AP31" s="184">
        <v>93746588.676477998</v>
      </c>
      <c r="AQ31" s="189"/>
      <c r="AR31" s="184"/>
      <c r="AS31" s="184"/>
      <c r="AT31" s="184">
        <v>-13228050</v>
      </c>
      <c r="AU31" s="184">
        <v>0</v>
      </c>
      <c r="AV31" s="184">
        <v>13228050</v>
      </c>
      <c r="AW31" s="184">
        <v>0</v>
      </c>
      <c r="AX31" s="184">
        <v>-13228050</v>
      </c>
      <c r="AY31" s="184">
        <v>0</v>
      </c>
      <c r="AZ31" s="184">
        <v>13228050</v>
      </c>
      <c r="BA31" s="184">
        <v>0</v>
      </c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6"/>
      <c r="BR31" s="185"/>
      <c r="BS31" s="191"/>
      <c r="BT31" s="185"/>
      <c r="BU31" s="228"/>
      <c r="BV31" s="185"/>
      <c r="BW31" s="192"/>
      <c r="BX31" s="192"/>
      <c r="BY31" s="184"/>
      <c r="BZ31" s="184"/>
      <c r="CA31" s="184">
        <v>0</v>
      </c>
      <c r="CB31" s="184"/>
      <c r="CC31" s="184"/>
      <c r="CD31" s="184"/>
      <c r="CE31" s="184"/>
      <c r="CF31" s="184"/>
      <c r="CG31" s="184"/>
      <c r="CH31" s="184"/>
      <c r="CI31" s="184"/>
      <c r="CJ31" s="184"/>
      <c r="CK31" s="185"/>
      <c r="CL31" s="185"/>
    </row>
    <row r="32" spans="1:90" s="204" customFormat="1" ht="30" customHeight="1" outlineLevel="1" x14ac:dyDescent="0.25">
      <c r="A32" s="180"/>
      <c r="B32" s="180" t="s">
        <v>393</v>
      </c>
      <c r="C32" s="180"/>
      <c r="D32" s="180"/>
      <c r="E32" s="180"/>
      <c r="F32" s="180"/>
      <c r="G32" s="180"/>
      <c r="H32" s="180"/>
      <c r="I32" s="181"/>
      <c r="J32" s="194"/>
      <c r="K32" s="194"/>
      <c r="L32" s="196"/>
      <c r="M32" s="196"/>
      <c r="N32" s="196"/>
      <c r="O32" s="195"/>
      <c r="P32" s="196"/>
      <c r="Q32" s="196"/>
      <c r="R32" s="198">
        <v>0</v>
      </c>
      <c r="S32" s="198">
        <v>0</v>
      </c>
      <c r="T32" s="198">
        <v>0</v>
      </c>
      <c r="U32" s="255">
        <v>93746588.676477998</v>
      </c>
      <c r="V32" s="195"/>
      <c r="W32" s="195">
        <v>0</v>
      </c>
      <c r="X32" s="195">
        <v>0</v>
      </c>
      <c r="Y32" s="195">
        <v>0</v>
      </c>
      <c r="Z32" s="195">
        <v>0</v>
      </c>
      <c r="AA32" s="195">
        <v>0</v>
      </c>
      <c r="AB32" s="195">
        <v>0</v>
      </c>
      <c r="AC32" s="255">
        <v>93746588.676477998</v>
      </c>
      <c r="AD32" s="195">
        <v>0</v>
      </c>
      <c r="AE32" s="195">
        <v>0</v>
      </c>
      <c r="AF32" s="195">
        <v>0</v>
      </c>
      <c r="AG32" s="195">
        <v>0</v>
      </c>
      <c r="AH32" s="256">
        <v>-13228050</v>
      </c>
      <c r="AI32" s="195">
        <v>0</v>
      </c>
      <c r="AJ32" s="195">
        <v>13228050</v>
      </c>
      <c r="AK32" s="257">
        <v>0</v>
      </c>
      <c r="AL32" s="199"/>
      <c r="AM32" s="195">
        <v>106974638.676478</v>
      </c>
      <c r="AN32" s="196"/>
      <c r="AO32" s="199"/>
      <c r="AP32" s="195">
        <v>93746588.676477998</v>
      </c>
      <c r="AQ32" s="200"/>
      <c r="AR32" s="195"/>
      <c r="AS32" s="195"/>
      <c r="AT32" s="195">
        <v>-13228050</v>
      </c>
      <c r="AU32" s="195">
        <v>0</v>
      </c>
      <c r="AV32" s="195">
        <v>13228050</v>
      </c>
      <c r="AW32" s="195">
        <v>0</v>
      </c>
      <c r="AX32" s="195">
        <v>-13228050</v>
      </c>
      <c r="AY32" s="195">
        <v>0</v>
      </c>
      <c r="AZ32" s="195">
        <v>13228050</v>
      </c>
      <c r="BA32" s="195">
        <v>0</v>
      </c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7"/>
      <c r="BR32" s="196"/>
      <c r="BS32" s="202"/>
      <c r="BT32" s="196"/>
      <c r="BU32" s="229"/>
      <c r="BV32" s="196"/>
      <c r="BW32" s="203"/>
      <c r="BX32" s="203"/>
      <c r="BY32" s="195"/>
      <c r="BZ32" s="195"/>
      <c r="CA32" s="195">
        <v>0</v>
      </c>
      <c r="CB32" s="195"/>
      <c r="CC32" s="195"/>
      <c r="CD32" s="195"/>
      <c r="CE32" s="195"/>
      <c r="CF32" s="195"/>
      <c r="CG32" s="195"/>
      <c r="CH32" s="195"/>
      <c r="CI32" s="195"/>
      <c r="CJ32" s="195"/>
      <c r="CK32" s="196"/>
      <c r="CL32" s="196"/>
    </row>
    <row r="33" spans="1:90" outlineLevel="3" x14ac:dyDescent="0.25">
      <c r="A33" s="141" t="s">
        <v>369</v>
      </c>
      <c r="B33" s="141" t="s">
        <v>394</v>
      </c>
      <c r="C33" s="141" t="s">
        <v>529</v>
      </c>
      <c r="D33" s="141" t="s">
        <v>530</v>
      </c>
      <c r="E33" s="141" t="s">
        <v>209</v>
      </c>
      <c r="F33" s="141" t="s">
        <v>397</v>
      </c>
      <c r="G33" s="141" t="s">
        <v>565</v>
      </c>
      <c r="H33" s="141" t="s">
        <v>350</v>
      </c>
      <c r="I33" s="167" t="s">
        <v>342</v>
      </c>
      <c r="J33" s="169">
        <v>1276383</v>
      </c>
      <c r="K33" s="169">
        <v>1276383</v>
      </c>
      <c r="L33" s="171">
        <v>0</v>
      </c>
      <c r="M33" s="171">
        <v>0</v>
      </c>
      <c r="N33" s="171">
        <v>1</v>
      </c>
      <c r="O33" s="170">
        <v>20.875</v>
      </c>
      <c r="P33" s="172">
        <v>20.375</v>
      </c>
      <c r="Q33" s="172">
        <v>0.5</v>
      </c>
      <c r="R33" s="173" t="s">
        <v>398</v>
      </c>
      <c r="S33" s="173">
        <v>0</v>
      </c>
      <c r="T33" s="173">
        <v>0</v>
      </c>
      <c r="U33" s="249">
        <v>26644495.125</v>
      </c>
      <c r="V33" s="170" t="s">
        <v>344</v>
      </c>
      <c r="W33" s="170">
        <v>0</v>
      </c>
      <c r="X33" s="170">
        <v>0</v>
      </c>
      <c r="Y33" s="170">
        <v>0</v>
      </c>
      <c r="Z33" s="170">
        <v>0</v>
      </c>
      <c r="AA33" s="170">
        <v>0</v>
      </c>
      <c r="AB33" s="170">
        <v>0</v>
      </c>
      <c r="AC33" s="249">
        <v>26006303.625</v>
      </c>
      <c r="AD33" s="170">
        <v>638191.5</v>
      </c>
      <c r="AE33" s="170">
        <v>0</v>
      </c>
      <c r="AF33" s="170">
        <v>-638191.5</v>
      </c>
      <c r="AG33" s="170">
        <v>0</v>
      </c>
      <c r="AH33" s="250">
        <v>-52491250.875</v>
      </c>
      <c r="AI33" s="170">
        <v>0</v>
      </c>
      <c r="AJ33" s="170">
        <v>41003804.125</v>
      </c>
      <c r="AK33" s="251">
        <v>-11487446.75</v>
      </c>
      <c r="AL33" s="174">
        <v>0</v>
      </c>
      <c r="AM33" s="170">
        <v>79135746</v>
      </c>
      <c r="AN33" s="171">
        <v>0</v>
      </c>
      <c r="AO33" s="174">
        <v>0</v>
      </c>
      <c r="AP33" s="170">
        <v>79135746</v>
      </c>
      <c r="AQ33" s="175">
        <v>1</v>
      </c>
      <c r="AR33" s="170">
        <v>26644495.125</v>
      </c>
      <c r="AS33" s="170">
        <v>20.875</v>
      </c>
      <c r="AT33" s="170">
        <v>9174002.8125</v>
      </c>
      <c r="AU33" s="170">
        <v>0</v>
      </c>
      <c r="AV33" s="170">
        <v>-9174002.8125</v>
      </c>
      <c r="AW33" s="170">
        <v>0</v>
      </c>
      <c r="AX33" s="170">
        <v>-41003804.125</v>
      </c>
      <c r="AY33" s="170">
        <v>0</v>
      </c>
      <c r="AZ33" s="170">
        <v>41003804.125</v>
      </c>
      <c r="BA33" s="170">
        <v>0</v>
      </c>
      <c r="BB33" s="170">
        <v>20.875</v>
      </c>
      <c r="BC33" s="170">
        <v>20.375</v>
      </c>
      <c r="BD33" s="170">
        <v>8535811.3125</v>
      </c>
      <c r="BE33" s="170">
        <v>0</v>
      </c>
      <c r="BF33" s="170">
        <v>-8535811.3125</v>
      </c>
      <c r="BG33" s="170">
        <v>0</v>
      </c>
      <c r="BH33" s="170">
        <v>-41641995.625</v>
      </c>
      <c r="BI33" s="170">
        <v>0</v>
      </c>
      <c r="BJ33" s="170">
        <v>41641995.625</v>
      </c>
      <c r="BK33" s="170">
        <v>0</v>
      </c>
      <c r="BL33" s="170">
        <v>79135746</v>
      </c>
      <c r="BM33" s="170" t="s">
        <v>352</v>
      </c>
      <c r="BN33" s="170">
        <v>0</v>
      </c>
      <c r="BO33" s="170" t="b">
        <v>0</v>
      </c>
      <c r="BP33" s="170">
        <v>41641995.625</v>
      </c>
      <c r="BQ33" s="172">
        <v>0</v>
      </c>
      <c r="BR33" s="171">
        <v>0</v>
      </c>
      <c r="BS33" s="177">
        <v>70</v>
      </c>
      <c r="BT33" s="171">
        <v>638191.5</v>
      </c>
      <c r="BU33" s="235">
        <v>0</v>
      </c>
      <c r="BV33" s="171">
        <v>43</v>
      </c>
      <c r="BW33" s="178">
        <v>20.875</v>
      </c>
      <c r="BX33" s="178">
        <v>0</v>
      </c>
      <c r="BY33" s="170">
        <v>0</v>
      </c>
      <c r="BZ33" s="170">
        <v>0</v>
      </c>
      <c r="CA33" s="170">
        <v>0</v>
      </c>
      <c r="CB33" s="170">
        <v>67648299.25</v>
      </c>
      <c r="CC33" s="170">
        <v>0</v>
      </c>
      <c r="CD33" s="170">
        <v>0</v>
      </c>
      <c r="CE33" s="170">
        <v>0</v>
      </c>
      <c r="CF33" s="170">
        <v>0</v>
      </c>
      <c r="CG33" s="170">
        <v>-53129442.375</v>
      </c>
      <c r="CH33" s="170">
        <v>0</v>
      </c>
      <c r="CI33" s="170">
        <v>41641995.625</v>
      </c>
      <c r="CJ33" s="170">
        <v>-11487446.75</v>
      </c>
      <c r="CK33" s="171">
        <v>0</v>
      </c>
      <c r="CL33" s="171">
        <v>0</v>
      </c>
    </row>
    <row r="34" spans="1:90" s="193" customFormat="1" ht="20.100000000000001" customHeight="1" outlineLevel="2" x14ac:dyDescent="0.25">
      <c r="A34" s="180" t="s">
        <v>370</v>
      </c>
      <c r="B34" s="180"/>
      <c r="C34" s="180"/>
      <c r="D34" s="180"/>
      <c r="E34" s="180"/>
      <c r="F34" s="180"/>
      <c r="G34" s="180"/>
      <c r="H34" s="180"/>
      <c r="I34" s="181"/>
      <c r="J34" s="183"/>
      <c r="K34" s="183"/>
      <c r="L34" s="185"/>
      <c r="M34" s="185"/>
      <c r="N34" s="185"/>
      <c r="O34" s="184"/>
      <c r="P34" s="186"/>
      <c r="Q34" s="186"/>
      <c r="R34" s="187">
        <v>0</v>
      </c>
      <c r="S34" s="187">
        <v>0</v>
      </c>
      <c r="T34" s="187">
        <v>0</v>
      </c>
      <c r="U34" s="252">
        <v>26644495.125</v>
      </c>
      <c r="V34" s="184"/>
      <c r="W34" s="184">
        <v>0</v>
      </c>
      <c r="X34" s="184">
        <v>0</v>
      </c>
      <c r="Y34" s="184">
        <v>0</v>
      </c>
      <c r="Z34" s="184">
        <v>0</v>
      </c>
      <c r="AA34" s="184">
        <v>0</v>
      </c>
      <c r="AB34" s="184">
        <v>0</v>
      </c>
      <c r="AC34" s="252">
        <v>26006303.625</v>
      </c>
      <c r="AD34" s="184">
        <v>638191.5</v>
      </c>
      <c r="AE34" s="184">
        <v>0</v>
      </c>
      <c r="AF34" s="184">
        <v>-638191.5</v>
      </c>
      <c r="AG34" s="184">
        <v>0</v>
      </c>
      <c r="AH34" s="253">
        <v>-52491250.875</v>
      </c>
      <c r="AI34" s="184">
        <v>0</v>
      </c>
      <c r="AJ34" s="184">
        <v>41003804.125</v>
      </c>
      <c r="AK34" s="254">
        <v>-11487446.75</v>
      </c>
      <c r="AL34" s="188"/>
      <c r="AM34" s="184">
        <v>79135746</v>
      </c>
      <c r="AN34" s="185"/>
      <c r="AO34" s="188"/>
      <c r="AP34" s="184">
        <v>79135746</v>
      </c>
      <c r="AQ34" s="189"/>
      <c r="AR34" s="184"/>
      <c r="AS34" s="184"/>
      <c r="AT34" s="184">
        <v>9174002.8125</v>
      </c>
      <c r="AU34" s="184">
        <v>0</v>
      </c>
      <c r="AV34" s="184">
        <v>-9174002.8125</v>
      </c>
      <c r="AW34" s="184">
        <v>0</v>
      </c>
      <c r="AX34" s="184">
        <v>-41003804.125</v>
      </c>
      <c r="AY34" s="184">
        <v>0</v>
      </c>
      <c r="AZ34" s="184">
        <v>41003804.125</v>
      </c>
      <c r="BA34" s="184">
        <v>0</v>
      </c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6"/>
      <c r="BR34" s="185"/>
      <c r="BS34" s="191"/>
      <c r="BT34" s="185"/>
      <c r="BU34" s="228"/>
      <c r="BV34" s="185"/>
      <c r="BW34" s="192"/>
      <c r="BX34" s="192"/>
      <c r="BY34" s="184"/>
      <c r="BZ34" s="184"/>
      <c r="CA34" s="184">
        <v>0</v>
      </c>
      <c r="CB34" s="184"/>
      <c r="CC34" s="184"/>
      <c r="CD34" s="184"/>
      <c r="CE34" s="184"/>
      <c r="CF34" s="184"/>
      <c r="CG34" s="184"/>
      <c r="CH34" s="184"/>
      <c r="CI34" s="184"/>
      <c r="CJ34" s="184"/>
      <c r="CK34" s="185"/>
      <c r="CL34" s="185"/>
    </row>
    <row r="35" spans="1:90" s="204" customFormat="1" ht="30" customHeight="1" outlineLevel="1" x14ac:dyDescent="0.25">
      <c r="A35" s="180"/>
      <c r="B35" s="180" t="s">
        <v>399</v>
      </c>
      <c r="C35" s="180"/>
      <c r="D35" s="180"/>
      <c r="E35" s="180"/>
      <c r="F35" s="180"/>
      <c r="G35" s="180"/>
      <c r="H35" s="180"/>
      <c r="I35" s="181"/>
      <c r="J35" s="194"/>
      <c r="K35" s="194"/>
      <c r="L35" s="196"/>
      <c r="M35" s="196"/>
      <c r="N35" s="196"/>
      <c r="O35" s="195"/>
      <c r="P35" s="197"/>
      <c r="Q35" s="197"/>
      <c r="R35" s="198">
        <v>0</v>
      </c>
      <c r="S35" s="198">
        <v>0</v>
      </c>
      <c r="T35" s="198">
        <v>0</v>
      </c>
      <c r="U35" s="255">
        <v>26644495.125</v>
      </c>
      <c r="V35" s="195"/>
      <c r="W35" s="195">
        <v>0</v>
      </c>
      <c r="X35" s="195">
        <v>0</v>
      </c>
      <c r="Y35" s="195">
        <v>0</v>
      </c>
      <c r="Z35" s="195">
        <v>0</v>
      </c>
      <c r="AA35" s="195">
        <v>0</v>
      </c>
      <c r="AB35" s="195">
        <v>0</v>
      </c>
      <c r="AC35" s="255">
        <v>26006303.625</v>
      </c>
      <c r="AD35" s="195">
        <v>638191.5</v>
      </c>
      <c r="AE35" s="195">
        <v>0</v>
      </c>
      <c r="AF35" s="195">
        <v>-638191.5</v>
      </c>
      <c r="AG35" s="195">
        <v>0</v>
      </c>
      <c r="AH35" s="256">
        <v>-52491250.875</v>
      </c>
      <c r="AI35" s="195">
        <v>0</v>
      </c>
      <c r="AJ35" s="195">
        <v>41003804.125</v>
      </c>
      <c r="AK35" s="257">
        <v>-11487446.75</v>
      </c>
      <c r="AL35" s="199"/>
      <c r="AM35" s="195">
        <v>79135746</v>
      </c>
      <c r="AN35" s="196"/>
      <c r="AO35" s="199"/>
      <c r="AP35" s="195">
        <v>79135746</v>
      </c>
      <c r="AQ35" s="200"/>
      <c r="AR35" s="195"/>
      <c r="AS35" s="195"/>
      <c r="AT35" s="195">
        <v>9174002.8125</v>
      </c>
      <c r="AU35" s="195">
        <v>0</v>
      </c>
      <c r="AV35" s="195">
        <v>-9174002.8125</v>
      </c>
      <c r="AW35" s="195">
        <v>0</v>
      </c>
      <c r="AX35" s="195">
        <v>-41003804.125</v>
      </c>
      <c r="AY35" s="195">
        <v>0</v>
      </c>
      <c r="AZ35" s="195">
        <v>41003804.125</v>
      </c>
      <c r="BA35" s="195">
        <v>0</v>
      </c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7"/>
      <c r="BR35" s="196"/>
      <c r="BS35" s="202"/>
      <c r="BT35" s="196"/>
      <c r="BU35" s="229"/>
      <c r="BV35" s="196"/>
      <c r="BW35" s="203"/>
      <c r="BX35" s="203"/>
      <c r="BY35" s="195"/>
      <c r="BZ35" s="195"/>
      <c r="CA35" s="195">
        <v>0</v>
      </c>
      <c r="CB35" s="195"/>
      <c r="CC35" s="195"/>
      <c r="CD35" s="195"/>
      <c r="CE35" s="195"/>
      <c r="CF35" s="195"/>
      <c r="CG35" s="195"/>
      <c r="CH35" s="195"/>
      <c r="CI35" s="195"/>
      <c r="CJ35" s="195"/>
      <c r="CK35" s="196"/>
      <c r="CL35" s="196"/>
    </row>
    <row r="36" spans="1:90" outlineLevel="3" x14ac:dyDescent="0.25">
      <c r="A36" s="141" t="s">
        <v>400</v>
      </c>
      <c r="B36" s="141" t="s">
        <v>401</v>
      </c>
      <c r="C36" s="141" t="s">
        <v>338</v>
      </c>
      <c r="D36" s="141" t="s">
        <v>339</v>
      </c>
      <c r="E36" s="141" t="s">
        <v>402</v>
      </c>
      <c r="F36" s="141" t="s">
        <v>348</v>
      </c>
      <c r="G36" s="205" t="s">
        <v>349</v>
      </c>
      <c r="H36" s="205" t="s">
        <v>350</v>
      </c>
      <c r="I36" s="167" t="s">
        <v>342</v>
      </c>
      <c r="J36" s="169">
        <v>0</v>
      </c>
      <c r="K36" s="169">
        <v>0</v>
      </c>
      <c r="L36" s="171">
        <v>0</v>
      </c>
      <c r="M36" s="171">
        <v>0</v>
      </c>
      <c r="N36" s="171">
        <v>1</v>
      </c>
      <c r="O36" s="170">
        <v>1.3846651569071498</v>
      </c>
      <c r="P36" s="172">
        <v>1.3846651569071498</v>
      </c>
      <c r="Q36" s="172">
        <v>0</v>
      </c>
      <c r="R36" s="173">
        <v>0</v>
      </c>
      <c r="S36" s="173">
        <v>0</v>
      </c>
      <c r="T36" s="173">
        <v>0</v>
      </c>
      <c r="U36" s="249">
        <v>0</v>
      </c>
      <c r="V36" s="170" t="s">
        <v>344</v>
      </c>
      <c r="W36" s="170">
        <v>0</v>
      </c>
      <c r="X36" s="170">
        <v>0</v>
      </c>
      <c r="Y36" s="170">
        <v>0</v>
      </c>
      <c r="Z36" s="170">
        <v>0</v>
      </c>
      <c r="AA36" s="170">
        <v>0</v>
      </c>
      <c r="AB36" s="170">
        <v>0</v>
      </c>
      <c r="AC36" s="249">
        <v>0</v>
      </c>
      <c r="AD36" s="170">
        <v>0</v>
      </c>
      <c r="AE36" s="170">
        <v>0</v>
      </c>
      <c r="AF36" s="170">
        <v>0</v>
      </c>
      <c r="AG36" s="170">
        <v>0</v>
      </c>
      <c r="AH36" s="250">
        <v>0</v>
      </c>
      <c r="AI36" s="170">
        <v>0</v>
      </c>
      <c r="AJ36" s="170">
        <v>0</v>
      </c>
      <c r="AK36" s="251">
        <v>0</v>
      </c>
      <c r="AL36" s="174">
        <v>0</v>
      </c>
      <c r="AM36" s="170">
        <v>0</v>
      </c>
      <c r="AN36" s="174">
        <v>0</v>
      </c>
      <c r="AO36" s="174">
        <v>0</v>
      </c>
      <c r="AP36" s="170">
        <v>0</v>
      </c>
      <c r="AQ36" s="175">
        <v>1</v>
      </c>
      <c r="AR36" s="170">
        <v>0</v>
      </c>
      <c r="AS36" s="170">
        <v>1.3846651569071498</v>
      </c>
      <c r="AT36" s="170">
        <v>0</v>
      </c>
      <c r="AU36" s="170">
        <v>0</v>
      </c>
      <c r="AV36" s="170">
        <v>0</v>
      </c>
      <c r="AW36" s="170">
        <v>0</v>
      </c>
      <c r="AX36" s="170">
        <v>0</v>
      </c>
      <c r="AY36" s="170">
        <v>0</v>
      </c>
      <c r="AZ36" s="170">
        <v>0</v>
      </c>
      <c r="BA36" s="170">
        <v>0</v>
      </c>
      <c r="BB36" s="170">
        <v>1.3846651569071498</v>
      </c>
      <c r="BC36" s="170">
        <v>1.3846651569071498</v>
      </c>
      <c r="BD36" s="170">
        <v>0</v>
      </c>
      <c r="BE36" s="170">
        <v>0</v>
      </c>
      <c r="BF36" s="170">
        <v>0</v>
      </c>
      <c r="BG36" s="170">
        <v>0</v>
      </c>
      <c r="BH36" s="170">
        <v>0</v>
      </c>
      <c r="BI36" s="170">
        <v>0</v>
      </c>
      <c r="BJ36" s="170">
        <v>0</v>
      </c>
      <c r="BK36" s="170">
        <v>0</v>
      </c>
      <c r="BL36" s="170">
        <v>0</v>
      </c>
      <c r="BM36" s="170" t="s">
        <v>352</v>
      </c>
      <c r="BN36" s="170">
        <v>0</v>
      </c>
      <c r="BO36" s="170" t="b">
        <v>0</v>
      </c>
      <c r="BP36" s="170">
        <v>0</v>
      </c>
      <c r="BQ36" s="171">
        <v>0</v>
      </c>
      <c r="BR36" s="171">
        <v>0</v>
      </c>
      <c r="BS36" s="177">
        <v>40</v>
      </c>
      <c r="BT36" s="171">
        <v>0</v>
      </c>
      <c r="BU36" s="235">
        <v>0</v>
      </c>
      <c r="BV36" s="171">
        <v>350</v>
      </c>
      <c r="BW36" s="178">
        <v>0</v>
      </c>
      <c r="BX36" s="178">
        <v>0</v>
      </c>
      <c r="BY36" s="170">
        <v>0</v>
      </c>
      <c r="BZ36" s="170">
        <v>0</v>
      </c>
      <c r="CA36" s="170">
        <v>0</v>
      </c>
      <c r="CB36" s="170">
        <v>0</v>
      </c>
      <c r="CC36" s="170">
        <v>0</v>
      </c>
      <c r="CD36" s="170">
        <v>0</v>
      </c>
      <c r="CE36" s="170">
        <v>0</v>
      </c>
      <c r="CF36" s="170">
        <v>0</v>
      </c>
      <c r="CG36" s="170">
        <v>0</v>
      </c>
      <c r="CH36" s="170">
        <v>0</v>
      </c>
      <c r="CI36" s="170">
        <v>0</v>
      </c>
      <c r="CJ36" s="170">
        <v>0</v>
      </c>
      <c r="CK36" s="171">
        <v>0</v>
      </c>
      <c r="CL36" s="171">
        <v>0</v>
      </c>
    </row>
    <row r="37" spans="1:90" outlineLevel="3" x14ac:dyDescent="0.25">
      <c r="A37" s="141" t="s">
        <v>400</v>
      </c>
      <c r="B37" s="141" t="s">
        <v>401</v>
      </c>
      <c r="C37" s="141" t="s">
        <v>338</v>
      </c>
      <c r="D37" s="141" t="s">
        <v>339</v>
      </c>
      <c r="E37" s="141" t="s">
        <v>500</v>
      </c>
      <c r="F37" s="141" t="s">
        <v>489</v>
      </c>
      <c r="G37" s="205" t="s">
        <v>349</v>
      </c>
      <c r="H37" s="205" t="s">
        <v>350</v>
      </c>
      <c r="I37" s="167" t="s">
        <v>342</v>
      </c>
      <c r="J37" s="169">
        <v>0</v>
      </c>
      <c r="K37" s="169">
        <v>0</v>
      </c>
      <c r="L37" s="171">
        <v>0</v>
      </c>
      <c r="M37" s="171">
        <v>0</v>
      </c>
      <c r="N37" s="171">
        <v>1</v>
      </c>
      <c r="O37" s="170">
        <v>1.6528925619834711</v>
      </c>
      <c r="P37" s="172">
        <v>1.6463615409944024</v>
      </c>
      <c r="Q37" s="172">
        <v>6.5310209890687698E-3</v>
      </c>
      <c r="R37" s="173">
        <v>0</v>
      </c>
      <c r="S37" s="173">
        <v>0</v>
      </c>
      <c r="T37" s="173">
        <v>0</v>
      </c>
      <c r="U37" s="249">
        <v>0</v>
      </c>
      <c r="V37" s="170" t="s">
        <v>344</v>
      </c>
      <c r="W37" s="170">
        <v>0</v>
      </c>
      <c r="X37" s="170">
        <v>0</v>
      </c>
      <c r="Y37" s="170">
        <v>0</v>
      </c>
      <c r="Z37" s="170">
        <v>0</v>
      </c>
      <c r="AA37" s="170">
        <v>0</v>
      </c>
      <c r="AB37" s="170">
        <v>0</v>
      </c>
      <c r="AC37" s="249">
        <v>0</v>
      </c>
      <c r="AD37" s="170">
        <v>0</v>
      </c>
      <c r="AE37" s="170">
        <v>0</v>
      </c>
      <c r="AF37" s="170">
        <v>0</v>
      </c>
      <c r="AG37" s="170">
        <v>0</v>
      </c>
      <c r="AH37" s="250">
        <v>187632.21639079531</v>
      </c>
      <c r="AI37" s="170">
        <v>0</v>
      </c>
      <c r="AJ37" s="170">
        <v>-112400.30984777</v>
      </c>
      <c r="AK37" s="251">
        <v>75231.90654302531</v>
      </c>
      <c r="AL37" s="174">
        <v>0</v>
      </c>
      <c r="AM37" s="170">
        <v>669867.78360920469</v>
      </c>
      <c r="AN37" s="174">
        <v>0</v>
      </c>
      <c r="AO37" s="174">
        <v>0</v>
      </c>
      <c r="AP37" s="170">
        <v>669867.78360920469</v>
      </c>
      <c r="AQ37" s="175">
        <v>1</v>
      </c>
      <c r="AR37" s="170">
        <v>0</v>
      </c>
      <c r="AS37" s="170">
        <v>1.6528925619834711</v>
      </c>
      <c r="AT37" s="170">
        <v>0</v>
      </c>
      <c r="AU37" s="170">
        <v>0</v>
      </c>
      <c r="AV37" s="170">
        <v>0</v>
      </c>
      <c r="AW37" s="170">
        <v>0</v>
      </c>
      <c r="AX37" s="170">
        <v>112400.30984777038</v>
      </c>
      <c r="AY37" s="170">
        <v>0</v>
      </c>
      <c r="AZ37" s="170">
        <v>-112400.30984777</v>
      </c>
      <c r="BA37" s="170">
        <v>3.7834979593753815E-10</v>
      </c>
      <c r="BB37" s="170">
        <v>1.6528925619834711</v>
      </c>
      <c r="BC37" s="170">
        <v>1.6463615409944024</v>
      </c>
      <c r="BD37" s="170">
        <v>0</v>
      </c>
      <c r="BE37" s="170">
        <v>0</v>
      </c>
      <c r="BF37" s="170">
        <v>0</v>
      </c>
      <c r="BG37" s="170">
        <v>0</v>
      </c>
      <c r="BH37" s="170">
        <v>112400.30984777038</v>
      </c>
      <c r="BI37" s="170">
        <v>0</v>
      </c>
      <c r="BJ37" s="170">
        <v>-112400.30984777</v>
      </c>
      <c r="BK37" s="170">
        <v>3.7834979593753815E-10</v>
      </c>
      <c r="BL37" s="170">
        <v>669867.78360920469</v>
      </c>
      <c r="BM37" s="170" t="s">
        <v>352</v>
      </c>
      <c r="BN37" s="170">
        <v>0</v>
      </c>
      <c r="BO37" s="170" t="b">
        <v>0</v>
      </c>
      <c r="BP37" s="170">
        <v>-112400.30984777</v>
      </c>
      <c r="BQ37" s="171">
        <v>0</v>
      </c>
      <c r="BR37" s="171">
        <v>0</v>
      </c>
      <c r="BS37" s="177">
        <v>40</v>
      </c>
      <c r="BT37" s="171">
        <v>0</v>
      </c>
      <c r="BU37" s="235">
        <v>0</v>
      </c>
      <c r="BV37" s="171">
        <v>352</v>
      </c>
      <c r="BW37" s="178">
        <v>1.6528925619834711</v>
      </c>
      <c r="BX37" s="178">
        <v>0</v>
      </c>
      <c r="BY37" s="170">
        <v>0</v>
      </c>
      <c r="BZ37" s="170">
        <v>0</v>
      </c>
      <c r="CA37" s="170">
        <v>-857500</v>
      </c>
      <c r="CB37" s="170">
        <v>-112400.30984777038</v>
      </c>
      <c r="CC37" s="170">
        <v>0</v>
      </c>
      <c r="CD37" s="170">
        <v>0</v>
      </c>
      <c r="CE37" s="170">
        <v>0</v>
      </c>
      <c r="CF37" s="170">
        <v>0</v>
      </c>
      <c r="CG37" s="170">
        <v>187632.21639079531</v>
      </c>
      <c r="CH37" s="170">
        <v>0</v>
      </c>
      <c r="CI37" s="170">
        <v>-112400.30984777</v>
      </c>
      <c r="CJ37" s="170">
        <v>75231.90654302531</v>
      </c>
      <c r="CK37" s="171">
        <v>0</v>
      </c>
      <c r="CL37" s="171">
        <v>0</v>
      </c>
    </row>
    <row r="38" spans="1:90" s="193" customFormat="1" ht="20.100000000000001" customHeight="1" outlineLevel="2" x14ac:dyDescent="0.25">
      <c r="A38" s="180" t="s">
        <v>403</v>
      </c>
      <c r="B38" s="180"/>
      <c r="C38" s="180"/>
      <c r="D38" s="180"/>
      <c r="E38" s="180"/>
      <c r="F38" s="180"/>
      <c r="G38" s="206"/>
      <c r="H38" s="206"/>
      <c r="I38" s="181"/>
      <c r="J38" s="183"/>
      <c r="K38" s="183"/>
      <c r="L38" s="185"/>
      <c r="M38" s="185"/>
      <c r="N38" s="185"/>
      <c r="O38" s="184"/>
      <c r="P38" s="186"/>
      <c r="Q38" s="186"/>
      <c r="R38" s="187">
        <v>0</v>
      </c>
      <c r="S38" s="187">
        <v>0</v>
      </c>
      <c r="T38" s="187">
        <v>0</v>
      </c>
      <c r="U38" s="252">
        <v>0</v>
      </c>
      <c r="V38" s="184"/>
      <c r="W38" s="184">
        <v>0</v>
      </c>
      <c r="X38" s="184">
        <v>0</v>
      </c>
      <c r="Y38" s="184">
        <v>0</v>
      </c>
      <c r="Z38" s="184">
        <v>0</v>
      </c>
      <c r="AA38" s="184">
        <v>0</v>
      </c>
      <c r="AB38" s="184">
        <v>0</v>
      </c>
      <c r="AC38" s="252">
        <v>0</v>
      </c>
      <c r="AD38" s="184">
        <v>0</v>
      </c>
      <c r="AE38" s="184">
        <v>0</v>
      </c>
      <c r="AF38" s="184">
        <v>0</v>
      </c>
      <c r="AG38" s="184">
        <v>0</v>
      </c>
      <c r="AH38" s="253">
        <v>187632.21639079531</v>
      </c>
      <c r="AI38" s="184">
        <v>0</v>
      </c>
      <c r="AJ38" s="184">
        <v>-112400.30984777</v>
      </c>
      <c r="AK38" s="254">
        <v>75231.90654302531</v>
      </c>
      <c r="AL38" s="188"/>
      <c r="AM38" s="184">
        <v>669867.78360920469</v>
      </c>
      <c r="AN38" s="188"/>
      <c r="AO38" s="188"/>
      <c r="AP38" s="184">
        <v>669867.78360920469</v>
      </c>
      <c r="AQ38" s="189"/>
      <c r="AR38" s="184"/>
      <c r="AS38" s="184"/>
      <c r="AT38" s="184">
        <v>0</v>
      </c>
      <c r="AU38" s="184">
        <v>0</v>
      </c>
      <c r="AV38" s="184">
        <v>0</v>
      </c>
      <c r="AW38" s="184">
        <v>0</v>
      </c>
      <c r="AX38" s="184">
        <v>112400.30984777038</v>
      </c>
      <c r="AY38" s="184">
        <v>0</v>
      </c>
      <c r="AZ38" s="184">
        <v>-112400.30984777</v>
      </c>
      <c r="BA38" s="184">
        <v>3.7834979593753815E-10</v>
      </c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5"/>
      <c r="BR38" s="185"/>
      <c r="BS38" s="191"/>
      <c r="BT38" s="185"/>
      <c r="BU38" s="228"/>
      <c r="BV38" s="185"/>
      <c r="BW38" s="192"/>
      <c r="BX38" s="192"/>
      <c r="BY38" s="184"/>
      <c r="BZ38" s="184"/>
      <c r="CA38" s="184">
        <v>-857500</v>
      </c>
      <c r="CB38" s="184"/>
      <c r="CC38" s="184"/>
      <c r="CD38" s="184"/>
      <c r="CE38" s="184"/>
      <c r="CF38" s="184"/>
      <c r="CG38" s="184"/>
      <c r="CH38" s="184"/>
      <c r="CI38" s="184"/>
      <c r="CJ38" s="184"/>
      <c r="CK38" s="185"/>
      <c r="CL38" s="185"/>
    </row>
    <row r="39" spans="1:90" outlineLevel="3" x14ac:dyDescent="0.25">
      <c r="A39" s="141" t="s">
        <v>404</v>
      </c>
      <c r="B39" s="141" t="s">
        <v>401</v>
      </c>
      <c r="C39" s="141" t="s">
        <v>405</v>
      </c>
      <c r="D39" s="141" t="s">
        <v>406</v>
      </c>
      <c r="E39" s="141" t="s">
        <v>407</v>
      </c>
      <c r="F39" s="141" t="s">
        <v>202</v>
      </c>
      <c r="G39" s="141" t="s">
        <v>378</v>
      </c>
      <c r="H39" s="141" t="s">
        <v>341</v>
      </c>
      <c r="I39" s="167" t="s">
        <v>361</v>
      </c>
      <c r="J39" s="169">
        <v>1</v>
      </c>
      <c r="K39" s="169">
        <v>1</v>
      </c>
      <c r="L39" s="171">
        <v>0</v>
      </c>
      <c r="M39" s="171">
        <v>0</v>
      </c>
      <c r="N39" s="171">
        <v>0</v>
      </c>
      <c r="O39" s="170">
        <v>2920666.1705</v>
      </c>
      <c r="P39" s="171">
        <v>2920666.1705</v>
      </c>
      <c r="Q39" s="171">
        <v>0</v>
      </c>
      <c r="R39" s="173">
        <v>0</v>
      </c>
      <c r="S39" s="173">
        <v>0</v>
      </c>
      <c r="T39" s="173">
        <v>0</v>
      </c>
      <c r="U39" s="249">
        <v>2920666.1705</v>
      </c>
      <c r="V39" s="170" t="s">
        <v>344</v>
      </c>
      <c r="W39" s="170">
        <v>0</v>
      </c>
      <c r="X39" s="170">
        <v>0</v>
      </c>
      <c r="Y39" s="170">
        <v>0</v>
      </c>
      <c r="Z39" s="170">
        <v>0</v>
      </c>
      <c r="AA39" s="170">
        <v>0</v>
      </c>
      <c r="AB39" s="170">
        <v>0</v>
      </c>
      <c r="AC39" s="249">
        <v>2920666.1705</v>
      </c>
      <c r="AD39" s="170">
        <v>0</v>
      </c>
      <c r="AE39" s="170">
        <v>0</v>
      </c>
      <c r="AF39" s="170">
        <v>0</v>
      </c>
      <c r="AG39" s="170">
        <v>0</v>
      </c>
      <c r="AH39" s="250">
        <v>0</v>
      </c>
      <c r="AI39" s="170">
        <v>0</v>
      </c>
      <c r="AJ39" s="170">
        <v>0</v>
      </c>
      <c r="AK39" s="251">
        <v>0</v>
      </c>
      <c r="AL39" s="174">
        <v>0</v>
      </c>
      <c r="AM39" s="170">
        <v>2769672</v>
      </c>
      <c r="AN39" s="171">
        <v>0</v>
      </c>
      <c r="AO39" s="174">
        <v>0</v>
      </c>
      <c r="AP39" s="170">
        <v>2769672</v>
      </c>
      <c r="AQ39" s="175">
        <v>1</v>
      </c>
      <c r="AR39" s="170">
        <v>0</v>
      </c>
      <c r="AS39" s="170">
        <v>2920666.1705</v>
      </c>
      <c r="AT39" s="170">
        <v>0</v>
      </c>
      <c r="AU39" s="170">
        <v>0</v>
      </c>
      <c r="AV39" s="170">
        <v>0</v>
      </c>
      <c r="AW39" s="170">
        <v>0</v>
      </c>
      <c r="AX39" s="170">
        <v>0</v>
      </c>
      <c r="AY39" s="170">
        <v>0</v>
      </c>
      <c r="AZ39" s="170">
        <v>0</v>
      </c>
      <c r="BA39" s="170">
        <v>0</v>
      </c>
      <c r="BB39" s="170" t="s">
        <v>202</v>
      </c>
      <c r="BC39" s="170" t="s">
        <v>202</v>
      </c>
      <c r="BD39" s="170">
        <v>0</v>
      </c>
      <c r="BE39" s="170">
        <v>0</v>
      </c>
      <c r="BF39" s="170">
        <v>0</v>
      </c>
      <c r="BG39" s="170">
        <v>0</v>
      </c>
      <c r="BH39" s="170">
        <v>0</v>
      </c>
      <c r="BI39" s="170">
        <v>0</v>
      </c>
      <c r="BJ39" s="170">
        <v>0</v>
      </c>
      <c r="BK39" s="170">
        <v>0</v>
      </c>
      <c r="BL39" s="170">
        <v>2769672</v>
      </c>
      <c r="BM39" s="170" t="s">
        <v>345</v>
      </c>
      <c r="BN39" s="170">
        <v>0</v>
      </c>
      <c r="BO39" s="170" t="b">
        <v>0</v>
      </c>
      <c r="BP39" s="170">
        <v>0</v>
      </c>
      <c r="BQ39" s="172">
        <v>0</v>
      </c>
      <c r="BR39" s="171">
        <v>0</v>
      </c>
      <c r="BS39" s="177">
        <v>39</v>
      </c>
      <c r="BT39" s="171">
        <v>0</v>
      </c>
      <c r="BU39" s="235">
        <v>0</v>
      </c>
      <c r="BV39" s="171">
        <v>328</v>
      </c>
      <c r="BW39" s="178">
        <v>0</v>
      </c>
      <c r="BX39" s="178">
        <v>0</v>
      </c>
      <c r="BY39" s="170">
        <v>0</v>
      </c>
      <c r="BZ39" s="170">
        <v>114497.54050000002</v>
      </c>
      <c r="CA39" s="170">
        <v>150994.17050000004</v>
      </c>
      <c r="CB39" s="170">
        <v>2920666.1705</v>
      </c>
      <c r="CC39" s="170">
        <v>0</v>
      </c>
      <c r="CD39" s="170">
        <v>0</v>
      </c>
      <c r="CE39" s="170">
        <v>0</v>
      </c>
      <c r="CF39" s="170">
        <v>0</v>
      </c>
      <c r="CG39" s="170">
        <v>0</v>
      </c>
      <c r="CH39" s="170">
        <v>0</v>
      </c>
      <c r="CI39" s="170">
        <v>0</v>
      </c>
      <c r="CJ39" s="170">
        <v>0</v>
      </c>
      <c r="CK39" s="171">
        <v>0</v>
      </c>
      <c r="CL39" s="171">
        <v>0</v>
      </c>
    </row>
    <row r="40" spans="1:90" s="193" customFormat="1" ht="20.100000000000001" customHeight="1" outlineLevel="2" x14ac:dyDescent="0.25">
      <c r="A40" s="180" t="s">
        <v>408</v>
      </c>
      <c r="B40" s="180"/>
      <c r="C40" s="180"/>
      <c r="D40" s="180"/>
      <c r="E40" s="180"/>
      <c r="F40" s="180"/>
      <c r="G40" s="180"/>
      <c r="H40" s="180"/>
      <c r="I40" s="181"/>
      <c r="J40" s="183"/>
      <c r="K40" s="183"/>
      <c r="L40" s="185"/>
      <c r="M40" s="185"/>
      <c r="N40" s="185"/>
      <c r="O40" s="184"/>
      <c r="P40" s="185"/>
      <c r="Q40" s="185"/>
      <c r="R40" s="187">
        <v>0</v>
      </c>
      <c r="S40" s="187">
        <v>0</v>
      </c>
      <c r="T40" s="187">
        <v>0</v>
      </c>
      <c r="U40" s="252">
        <v>2920666.1705</v>
      </c>
      <c r="V40" s="184"/>
      <c r="W40" s="184">
        <v>0</v>
      </c>
      <c r="X40" s="184">
        <v>0</v>
      </c>
      <c r="Y40" s="184">
        <v>0</v>
      </c>
      <c r="Z40" s="184">
        <v>0</v>
      </c>
      <c r="AA40" s="184">
        <v>0</v>
      </c>
      <c r="AB40" s="184">
        <v>0</v>
      </c>
      <c r="AC40" s="252">
        <v>2920666.1705</v>
      </c>
      <c r="AD40" s="184">
        <v>0</v>
      </c>
      <c r="AE40" s="184">
        <v>0</v>
      </c>
      <c r="AF40" s="184">
        <v>0</v>
      </c>
      <c r="AG40" s="184">
        <v>0</v>
      </c>
      <c r="AH40" s="253">
        <v>0</v>
      </c>
      <c r="AI40" s="184">
        <v>0</v>
      </c>
      <c r="AJ40" s="184">
        <v>0</v>
      </c>
      <c r="AK40" s="254">
        <v>0</v>
      </c>
      <c r="AL40" s="188"/>
      <c r="AM40" s="184">
        <v>2769672</v>
      </c>
      <c r="AN40" s="185"/>
      <c r="AO40" s="188"/>
      <c r="AP40" s="184">
        <v>2769672</v>
      </c>
      <c r="AQ40" s="189"/>
      <c r="AR40" s="184"/>
      <c r="AS40" s="184"/>
      <c r="AT40" s="184">
        <v>0</v>
      </c>
      <c r="AU40" s="184">
        <v>0</v>
      </c>
      <c r="AV40" s="184">
        <v>0</v>
      </c>
      <c r="AW40" s="184">
        <v>0</v>
      </c>
      <c r="AX40" s="184">
        <v>0</v>
      </c>
      <c r="AY40" s="184">
        <v>0</v>
      </c>
      <c r="AZ40" s="184">
        <v>0</v>
      </c>
      <c r="BA40" s="184">
        <v>0</v>
      </c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6"/>
      <c r="BR40" s="185"/>
      <c r="BS40" s="191"/>
      <c r="BT40" s="185"/>
      <c r="BU40" s="228"/>
      <c r="BV40" s="185"/>
      <c r="BW40" s="192"/>
      <c r="BX40" s="192"/>
      <c r="BY40" s="184"/>
      <c r="BZ40" s="184"/>
      <c r="CA40" s="184">
        <v>150994.17050000004</v>
      </c>
      <c r="CB40" s="184"/>
      <c r="CC40" s="184"/>
      <c r="CD40" s="184"/>
      <c r="CE40" s="184"/>
      <c r="CF40" s="184"/>
      <c r="CG40" s="184"/>
      <c r="CH40" s="184"/>
      <c r="CI40" s="184"/>
      <c r="CJ40" s="184"/>
      <c r="CK40" s="185"/>
      <c r="CL40" s="185"/>
    </row>
    <row r="41" spans="1:90" outlineLevel="3" x14ac:dyDescent="0.25">
      <c r="A41" s="141" t="s">
        <v>409</v>
      </c>
      <c r="B41" s="141" t="s">
        <v>401</v>
      </c>
      <c r="C41" s="141" t="s">
        <v>410</v>
      </c>
      <c r="D41" s="141" t="s">
        <v>411</v>
      </c>
      <c r="E41" s="141" t="s">
        <v>553</v>
      </c>
      <c r="F41" s="141" t="s">
        <v>554</v>
      </c>
      <c r="G41" s="205" t="s">
        <v>378</v>
      </c>
      <c r="H41" s="205" t="s">
        <v>350</v>
      </c>
      <c r="I41" s="167" t="s">
        <v>342</v>
      </c>
      <c r="J41" s="169">
        <v>6101.0292000000045</v>
      </c>
      <c r="K41" s="169">
        <v>6101.0292000000045</v>
      </c>
      <c r="L41" s="171">
        <v>0</v>
      </c>
      <c r="M41" s="171">
        <v>0</v>
      </c>
      <c r="N41" s="171">
        <v>1</v>
      </c>
      <c r="O41" s="170">
        <v>7.75</v>
      </c>
      <c r="P41" s="172">
        <v>7.75</v>
      </c>
      <c r="Q41" s="172">
        <v>0</v>
      </c>
      <c r="R41" s="173">
        <v>0</v>
      </c>
      <c r="S41" s="173">
        <v>0</v>
      </c>
      <c r="T41" s="173">
        <v>0</v>
      </c>
      <c r="U41" s="249">
        <v>47282.976300000038</v>
      </c>
      <c r="V41" s="170" t="s">
        <v>344</v>
      </c>
      <c r="W41" s="170">
        <v>0</v>
      </c>
      <c r="X41" s="170">
        <v>0</v>
      </c>
      <c r="Y41" s="170">
        <v>0</v>
      </c>
      <c r="Z41" s="170">
        <v>0</v>
      </c>
      <c r="AA41" s="170">
        <v>0</v>
      </c>
      <c r="AB41" s="170">
        <v>0</v>
      </c>
      <c r="AC41" s="249">
        <v>47282.976300000038</v>
      </c>
      <c r="AD41" s="170">
        <v>0</v>
      </c>
      <c r="AE41" s="170">
        <v>0</v>
      </c>
      <c r="AF41" s="170">
        <v>0</v>
      </c>
      <c r="AG41" s="170">
        <v>0</v>
      </c>
      <c r="AH41" s="250">
        <v>341490.41986800008</v>
      </c>
      <c r="AI41" s="170">
        <v>0</v>
      </c>
      <c r="AJ41" s="170">
        <v>-186815.97630000001</v>
      </c>
      <c r="AK41" s="251">
        <v>154674.44356800013</v>
      </c>
      <c r="AL41" s="174">
        <v>0</v>
      </c>
      <c r="AM41" s="170">
        <v>243059.55643199998</v>
      </c>
      <c r="AN41" s="174">
        <v>0</v>
      </c>
      <c r="AO41" s="174">
        <v>0</v>
      </c>
      <c r="AP41" s="170">
        <v>243059.55643199998</v>
      </c>
      <c r="AQ41" s="175">
        <v>1</v>
      </c>
      <c r="AR41" s="170">
        <v>47282.976300000038</v>
      </c>
      <c r="AS41" s="170">
        <v>7.75</v>
      </c>
      <c r="AT41" s="170">
        <v>20093.277375000005</v>
      </c>
      <c r="AU41" s="170">
        <v>0</v>
      </c>
      <c r="AV41" s="170">
        <v>-20093.277375000005</v>
      </c>
      <c r="AW41" s="170">
        <v>0</v>
      </c>
      <c r="AX41" s="170">
        <v>186815.97630000013</v>
      </c>
      <c r="AY41" s="170">
        <v>0</v>
      </c>
      <c r="AZ41" s="170">
        <v>-186815.97630000001</v>
      </c>
      <c r="BA41" s="170">
        <v>0</v>
      </c>
      <c r="BB41" s="170">
        <v>7.75</v>
      </c>
      <c r="BC41" s="170">
        <v>7.75</v>
      </c>
      <c r="BD41" s="170">
        <v>20093.277375000005</v>
      </c>
      <c r="BE41" s="170">
        <v>0</v>
      </c>
      <c r="BF41" s="170">
        <v>-20093.277375000005</v>
      </c>
      <c r="BG41" s="170">
        <v>0</v>
      </c>
      <c r="BH41" s="170">
        <v>186815.97630000013</v>
      </c>
      <c r="BI41" s="170">
        <v>0</v>
      </c>
      <c r="BJ41" s="170">
        <v>-186815.97630000001</v>
      </c>
      <c r="BK41" s="170">
        <v>0</v>
      </c>
      <c r="BL41" s="170">
        <v>243059.55643199998</v>
      </c>
      <c r="BM41" s="170" t="s">
        <v>352</v>
      </c>
      <c r="BN41" s="170">
        <v>0</v>
      </c>
      <c r="BO41" s="170" t="b">
        <v>0</v>
      </c>
      <c r="BP41" s="170">
        <v>-186815.97630000001</v>
      </c>
      <c r="BQ41" s="171">
        <v>0</v>
      </c>
      <c r="BR41" s="171">
        <v>0</v>
      </c>
      <c r="BS41" s="177">
        <v>41</v>
      </c>
      <c r="BT41" s="171">
        <v>0</v>
      </c>
      <c r="BU41" s="235">
        <v>6101.0292000000045</v>
      </c>
      <c r="BV41" s="171">
        <v>355</v>
      </c>
      <c r="BW41" s="178">
        <v>7.75</v>
      </c>
      <c r="BX41" s="178">
        <v>0</v>
      </c>
      <c r="BY41" s="170">
        <v>0</v>
      </c>
      <c r="BZ41" s="170">
        <v>-537267</v>
      </c>
      <c r="CA41" s="170">
        <v>-537267</v>
      </c>
      <c r="CB41" s="170">
        <v>-139533</v>
      </c>
      <c r="CC41" s="170">
        <v>0</v>
      </c>
      <c r="CD41" s="170">
        <v>0</v>
      </c>
      <c r="CE41" s="170">
        <v>0</v>
      </c>
      <c r="CF41" s="170">
        <v>0</v>
      </c>
      <c r="CG41" s="170">
        <v>341490.41986800008</v>
      </c>
      <c r="CH41" s="170">
        <v>0</v>
      </c>
      <c r="CI41" s="170">
        <v>-186815.97630000001</v>
      </c>
      <c r="CJ41" s="170">
        <v>154674.44356800013</v>
      </c>
      <c r="CK41" s="171">
        <v>0</v>
      </c>
      <c r="CL41" s="171">
        <v>0</v>
      </c>
    </row>
    <row r="42" spans="1:90" outlineLevel="3" x14ac:dyDescent="0.25">
      <c r="A42" s="141" t="s">
        <v>409</v>
      </c>
      <c r="B42" s="141" t="s">
        <v>401</v>
      </c>
      <c r="C42" s="141" t="s">
        <v>405</v>
      </c>
      <c r="D42" s="141" t="s">
        <v>406</v>
      </c>
      <c r="E42" s="141" t="s">
        <v>412</v>
      </c>
      <c r="F42" s="141" t="s">
        <v>413</v>
      </c>
      <c r="G42" s="205" t="s">
        <v>378</v>
      </c>
      <c r="H42" s="205" t="s">
        <v>360</v>
      </c>
      <c r="I42" s="167" t="s">
        <v>342</v>
      </c>
      <c r="J42" s="169">
        <v>0</v>
      </c>
      <c r="K42" s="169">
        <v>0</v>
      </c>
      <c r="L42" s="171">
        <v>0</v>
      </c>
      <c r="M42" s="171">
        <v>0</v>
      </c>
      <c r="N42" s="171">
        <v>1</v>
      </c>
      <c r="O42" s="170">
        <v>8.4375</v>
      </c>
      <c r="P42" s="172">
        <v>8.375</v>
      </c>
      <c r="Q42" s="172">
        <v>6.25E-2</v>
      </c>
      <c r="R42" s="173">
        <v>0</v>
      </c>
      <c r="S42" s="173">
        <v>0</v>
      </c>
      <c r="T42" s="173">
        <v>0</v>
      </c>
      <c r="U42" s="249">
        <v>0</v>
      </c>
      <c r="V42" s="170" t="s">
        <v>344</v>
      </c>
      <c r="W42" s="170">
        <v>0</v>
      </c>
      <c r="X42" s="170">
        <v>0</v>
      </c>
      <c r="Y42" s="170">
        <v>0</v>
      </c>
      <c r="Z42" s="170">
        <v>0</v>
      </c>
      <c r="AA42" s="170">
        <v>0</v>
      </c>
      <c r="AB42" s="170">
        <v>0</v>
      </c>
      <c r="AC42" s="249">
        <v>0</v>
      </c>
      <c r="AD42" s="170">
        <v>0</v>
      </c>
      <c r="AE42" s="170">
        <v>0</v>
      </c>
      <c r="AF42" s="170">
        <v>0</v>
      </c>
      <c r="AG42" s="170">
        <v>0</v>
      </c>
      <c r="AH42" s="250">
        <v>-1466987.7032999997</v>
      </c>
      <c r="AI42" s="170">
        <v>0</v>
      </c>
      <c r="AJ42" s="170">
        <v>438159.41480000026</v>
      </c>
      <c r="AK42" s="251">
        <v>-1028828.2884999994</v>
      </c>
      <c r="AL42" s="174">
        <v>0</v>
      </c>
      <c r="AM42" s="170">
        <v>4720504.2884999998</v>
      </c>
      <c r="AN42" s="174">
        <v>0</v>
      </c>
      <c r="AO42" s="174">
        <v>0</v>
      </c>
      <c r="AP42" s="170">
        <v>4720504.2884999998</v>
      </c>
      <c r="AQ42" s="175">
        <v>1</v>
      </c>
      <c r="AR42" s="170">
        <v>0</v>
      </c>
      <c r="AS42" s="170">
        <v>8.4375</v>
      </c>
      <c r="AT42" s="170">
        <v>-710496.63142500026</v>
      </c>
      <c r="AU42" s="170">
        <v>0</v>
      </c>
      <c r="AV42" s="170">
        <v>710496.63142500026</v>
      </c>
      <c r="AW42" s="170">
        <v>0</v>
      </c>
      <c r="AX42" s="170">
        <v>-438159.41479999991</v>
      </c>
      <c r="AY42" s="170">
        <v>0</v>
      </c>
      <c r="AZ42" s="170">
        <v>438159.41480000026</v>
      </c>
      <c r="BA42" s="170">
        <v>0</v>
      </c>
      <c r="BB42" s="170">
        <v>8.4375</v>
      </c>
      <c r="BC42" s="170">
        <v>8.375</v>
      </c>
      <c r="BD42" s="170">
        <v>-710496.63142500026</v>
      </c>
      <c r="BE42" s="170">
        <v>0</v>
      </c>
      <c r="BF42" s="170">
        <v>710496.63142500026</v>
      </c>
      <c r="BG42" s="170">
        <v>0</v>
      </c>
      <c r="BH42" s="170">
        <v>-438159.41479999991</v>
      </c>
      <c r="BI42" s="170">
        <v>0</v>
      </c>
      <c r="BJ42" s="170">
        <v>438159.41480000026</v>
      </c>
      <c r="BK42" s="170">
        <v>0</v>
      </c>
      <c r="BL42" s="170">
        <v>4720504.2884999998</v>
      </c>
      <c r="BM42" s="170" t="s">
        <v>352</v>
      </c>
      <c r="BN42" s="170">
        <v>0</v>
      </c>
      <c r="BO42" s="170" t="b">
        <v>0</v>
      </c>
      <c r="BP42" s="170">
        <v>438159.41480000026</v>
      </c>
      <c r="BQ42" s="171">
        <v>0</v>
      </c>
      <c r="BR42" s="171">
        <v>0</v>
      </c>
      <c r="BS42" s="177">
        <v>41</v>
      </c>
      <c r="BT42" s="171">
        <v>0</v>
      </c>
      <c r="BU42" s="235">
        <v>0</v>
      </c>
      <c r="BV42" s="171">
        <v>362</v>
      </c>
      <c r="BW42" s="178">
        <v>8.4375</v>
      </c>
      <c r="BX42" s="178">
        <v>0</v>
      </c>
      <c r="BY42" s="170">
        <v>0</v>
      </c>
      <c r="BZ42" s="170">
        <v>-3253516.5852000001</v>
      </c>
      <c r="CA42" s="170">
        <v>-3253516.5852000001</v>
      </c>
      <c r="CB42" s="170">
        <v>438159.41479999991</v>
      </c>
      <c r="CC42" s="170">
        <v>0</v>
      </c>
      <c r="CD42" s="170">
        <v>0</v>
      </c>
      <c r="CE42" s="170">
        <v>0</v>
      </c>
      <c r="CF42" s="170">
        <v>0</v>
      </c>
      <c r="CG42" s="170">
        <v>-1466987.7032999997</v>
      </c>
      <c r="CH42" s="170">
        <v>0</v>
      </c>
      <c r="CI42" s="170">
        <v>438159.41480000026</v>
      </c>
      <c r="CJ42" s="170">
        <v>-1028828.2884999994</v>
      </c>
      <c r="CK42" s="171">
        <v>0</v>
      </c>
      <c r="CL42" s="171">
        <v>0</v>
      </c>
    </row>
    <row r="43" spans="1:90" s="193" customFormat="1" ht="20.100000000000001" customHeight="1" outlineLevel="2" x14ac:dyDescent="0.25">
      <c r="A43" s="180" t="s">
        <v>414</v>
      </c>
      <c r="B43" s="180"/>
      <c r="C43" s="180"/>
      <c r="D43" s="180"/>
      <c r="E43" s="180"/>
      <c r="F43" s="180"/>
      <c r="G43" s="206"/>
      <c r="H43" s="206"/>
      <c r="I43" s="181"/>
      <c r="J43" s="183"/>
      <c r="K43" s="183"/>
      <c r="L43" s="185"/>
      <c r="M43" s="185"/>
      <c r="N43" s="185"/>
      <c r="O43" s="184"/>
      <c r="P43" s="186"/>
      <c r="Q43" s="186"/>
      <c r="R43" s="187">
        <v>0</v>
      </c>
      <c r="S43" s="187">
        <v>0</v>
      </c>
      <c r="T43" s="187">
        <v>0</v>
      </c>
      <c r="U43" s="252">
        <v>47282.976300000038</v>
      </c>
      <c r="V43" s="184"/>
      <c r="W43" s="184">
        <v>0</v>
      </c>
      <c r="X43" s="184">
        <v>0</v>
      </c>
      <c r="Y43" s="184">
        <v>0</v>
      </c>
      <c r="Z43" s="184">
        <v>0</v>
      </c>
      <c r="AA43" s="184">
        <v>0</v>
      </c>
      <c r="AB43" s="184">
        <v>0</v>
      </c>
      <c r="AC43" s="252">
        <v>47282.976300000038</v>
      </c>
      <c r="AD43" s="184">
        <v>0</v>
      </c>
      <c r="AE43" s="184">
        <v>0</v>
      </c>
      <c r="AF43" s="184">
        <v>0</v>
      </c>
      <c r="AG43" s="184">
        <v>0</v>
      </c>
      <c r="AH43" s="253">
        <v>-1125497.2834319996</v>
      </c>
      <c r="AI43" s="184">
        <v>0</v>
      </c>
      <c r="AJ43" s="184">
        <v>251343.43850000025</v>
      </c>
      <c r="AK43" s="254">
        <v>-874153.84493199934</v>
      </c>
      <c r="AL43" s="188"/>
      <c r="AM43" s="184">
        <v>4963563.8449320002</v>
      </c>
      <c r="AN43" s="188"/>
      <c r="AO43" s="188"/>
      <c r="AP43" s="184">
        <v>4963563.8449320002</v>
      </c>
      <c r="AQ43" s="189"/>
      <c r="AR43" s="184"/>
      <c r="AS43" s="184"/>
      <c r="AT43" s="184">
        <v>-690403.3540500002</v>
      </c>
      <c r="AU43" s="184">
        <v>0</v>
      </c>
      <c r="AV43" s="184">
        <v>690403.3540500002</v>
      </c>
      <c r="AW43" s="184">
        <v>0</v>
      </c>
      <c r="AX43" s="184">
        <v>-251343.43849999979</v>
      </c>
      <c r="AY43" s="184">
        <v>0</v>
      </c>
      <c r="AZ43" s="184">
        <v>251343.43850000025</v>
      </c>
      <c r="BA43" s="184">
        <v>0</v>
      </c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5"/>
      <c r="BR43" s="185"/>
      <c r="BS43" s="191"/>
      <c r="BT43" s="185"/>
      <c r="BU43" s="228"/>
      <c r="BV43" s="185"/>
      <c r="BW43" s="192"/>
      <c r="BX43" s="192"/>
      <c r="BY43" s="184"/>
      <c r="BZ43" s="184"/>
      <c r="CA43" s="184">
        <v>-3790783.5852000001</v>
      </c>
      <c r="CB43" s="184"/>
      <c r="CC43" s="184"/>
      <c r="CD43" s="184"/>
      <c r="CE43" s="184"/>
      <c r="CF43" s="184"/>
      <c r="CG43" s="184"/>
      <c r="CH43" s="184"/>
      <c r="CI43" s="184"/>
      <c r="CJ43" s="184"/>
      <c r="CK43" s="185"/>
      <c r="CL43" s="185"/>
    </row>
    <row r="44" spans="1:90" outlineLevel="3" x14ac:dyDescent="0.25">
      <c r="A44" s="141" t="s">
        <v>415</v>
      </c>
      <c r="B44" s="141" t="s">
        <v>401</v>
      </c>
      <c r="C44" s="141" t="s">
        <v>416</v>
      </c>
      <c r="D44" s="141" t="s">
        <v>417</v>
      </c>
      <c r="E44" s="141" t="s">
        <v>418</v>
      </c>
      <c r="F44" s="141" t="s">
        <v>202</v>
      </c>
      <c r="G44" s="141" t="s">
        <v>378</v>
      </c>
      <c r="H44" s="141" t="s">
        <v>341</v>
      </c>
      <c r="I44" s="167" t="s">
        <v>390</v>
      </c>
      <c r="J44" s="169">
        <v>1</v>
      </c>
      <c r="K44" s="169">
        <v>1</v>
      </c>
      <c r="L44" s="171">
        <v>0</v>
      </c>
      <c r="M44" s="171">
        <v>0</v>
      </c>
      <c r="N44" s="171">
        <v>0</v>
      </c>
      <c r="O44" s="170">
        <v>283416</v>
      </c>
      <c r="P44" s="171">
        <v>283416</v>
      </c>
      <c r="Q44" s="171">
        <v>0</v>
      </c>
      <c r="R44" s="173">
        <v>0</v>
      </c>
      <c r="S44" s="173">
        <v>0</v>
      </c>
      <c r="T44" s="173">
        <v>0</v>
      </c>
      <c r="U44" s="249">
        <v>283416</v>
      </c>
      <c r="V44" s="170" t="s">
        <v>344</v>
      </c>
      <c r="W44" s="170">
        <v>0</v>
      </c>
      <c r="X44" s="170">
        <v>0</v>
      </c>
      <c r="Y44" s="170">
        <v>0</v>
      </c>
      <c r="Z44" s="170">
        <v>0</v>
      </c>
      <c r="AA44" s="170">
        <v>0</v>
      </c>
      <c r="AB44" s="170">
        <v>0</v>
      </c>
      <c r="AC44" s="249">
        <v>283416</v>
      </c>
      <c r="AD44" s="170">
        <v>0</v>
      </c>
      <c r="AE44" s="170">
        <v>0</v>
      </c>
      <c r="AF44" s="170">
        <v>0</v>
      </c>
      <c r="AG44" s="170">
        <v>0</v>
      </c>
      <c r="AH44" s="250">
        <v>0</v>
      </c>
      <c r="AI44" s="170">
        <v>0</v>
      </c>
      <c r="AJ44" s="170">
        <v>0</v>
      </c>
      <c r="AK44" s="251">
        <v>0</v>
      </c>
      <c r="AL44" s="174">
        <v>0</v>
      </c>
      <c r="AM44" s="170">
        <v>283416</v>
      </c>
      <c r="AN44" s="171">
        <v>0</v>
      </c>
      <c r="AO44" s="174">
        <v>0</v>
      </c>
      <c r="AP44" s="170">
        <v>283416</v>
      </c>
      <c r="AQ44" s="175">
        <v>1</v>
      </c>
      <c r="AR44" s="170">
        <v>0</v>
      </c>
      <c r="AS44" s="170">
        <v>283416</v>
      </c>
      <c r="AT44" s="170">
        <v>0</v>
      </c>
      <c r="AU44" s="170">
        <v>0</v>
      </c>
      <c r="AV44" s="170">
        <v>0</v>
      </c>
      <c r="AW44" s="170">
        <v>0</v>
      </c>
      <c r="AX44" s="170">
        <v>0</v>
      </c>
      <c r="AY44" s="170">
        <v>0</v>
      </c>
      <c r="AZ44" s="170">
        <v>0</v>
      </c>
      <c r="BA44" s="170">
        <v>0</v>
      </c>
      <c r="BB44" s="170" t="s">
        <v>202</v>
      </c>
      <c r="BC44" s="170" t="s">
        <v>202</v>
      </c>
      <c r="BD44" s="170">
        <v>0</v>
      </c>
      <c r="BE44" s="170">
        <v>0</v>
      </c>
      <c r="BF44" s="170">
        <v>0</v>
      </c>
      <c r="BG44" s="170">
        <v>0</v>
      </c>
      <c r="BH44" s="170">
        <v>0</v>
      </c>
      <c r="BI44" s="170">
        <v>0</v>
      </c>
      <c r="BJ44" s="170">
        <v>0</v>
      </c>
      <c r="BK44" s="170">
        <v>0</v>
      </c>
      <c r="BL44" s="170">
        <v>283416</v>
      </c>
      <c r="BM44" s="170" t="s">
        <v>345</v>
      </c>
      <c r="BN44" s="170">
        <v>0</v>
      </c>
      <c r="BO44" s="170" t="b">
        <v>0</v>
      </c>
      <c r="BP44" s="170">
        <v>0</v>
      </c>
      <c r="BQ44" s="172">
        <v>0</v>
      </c>
      <c r="BR44" s="171">
        <v>0</v>
      </c>
      <c r="BS44" s="177">
        <v>38</v>
      </c>
      <c r="BT44" s="171">
        <v>0</v>
      </c>
      <c r="BU44" s="235">
        <v>0</v>
      </c>
      <c r="BV44" s="171">
        <v>332</v>
      </c>
      <c r="BW44" s="178">
        <v>0</v>
      </c>
      <c r="BX44" s="178">
        <v>0</v>
      </c>
      <c r="BY44" s="170">
        <v>0</v>
      </c>
      <c r="BZ44" s="170">
        <v>0</v>
      </c>
      <c r="CA44" s="170">
        <v>0</v>
      </c>
      <c r="CB44" s="170">
        <v>283416</v>
      </c>
      <c r="CC44" s="170">
        <v>0</v>
      </c>
      <c r="CD44" s="170">
        <v>0</v>
      </c>
      <c r="CE44" s="170">
        <v>0</v>
      </c>
      <c r="CF44" s="170">
        <v>0</v>
      </c>
      <c r="CG44" s="170">
        <v>0</v>
      </c>
      <c r="CH44" s="170">
        <v>0</v>
      </c>
      <c r="CI44" s="170">
        <v>0</v>
      </c>
      <c r="CJ44" s="170">
        <v>0</v>
      </c>
      <c r="CK44" s="171">
        <v>0</v>
      </c>
      <c r="CL44" s="171">
        <v>0</v>
      </c>
    </row>
    <row r="45" spans="1:90" s="193" customFormat="1" ht="20.100000000000001" customHeight="1" outlineLevel="2" x14ac:dyDescent="0.25">
      <c r="A45" s="180" t="s">
        <v>419</v>
      </c>
      <c r="B45" s="180"/>
      <c r="C45" s="180"/>
      <c r="D45" s="180"/>
      <c r="E45" s="180"/>
      <c r="F45" s="180"/>
      <c r="G45" s="180"/>
      <c r="H45" s="180"/>
      <c r="I45" s="181"/>
      <c r="J45" s="183"/>
      <c r="K45" s="183"/>
      <c r="L45" s="185"/>
      <c r="M45" s="185"/>
      <c r="N45" s="185"/>
      <c r="O45" s="184"/>
      <c r="P45" s="185"/>
      <c r="Q45" s="185"/>
      <c r="R45" s="187">
        <v>0</v>
      </c>
      <c r="S45" s="187">
        <v>0</v>
      </c>
      <c r="T45" s="187">
        <v>0</v>
      </c>
      <c r="U45" s="252">
        <v>283416</v>
      </c>
      <c r="V45" s="184"/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252">
        <v>283416</v>
      </c>
      <c r="AD45" s="184">
        <v>0</v>
      </c>
      <c r="AE45" s="184">
        <v>0</v>
      </c>
      <c r="AF45" s="184">
        <v>0</v>
      </c>
      <c r="AG45" s="184">
        <v>0</v>
      </c>
      <c r="AH45" s="253">
        <v>0</v>
      </c>
      <c r="AI45" s="184">
        <v>0</v>
      </c>
      <c r="AJ45" s="184">
        <v>0</v>
      </c>
      <c r="AK45" s="254">
        <v>0</v>
      </c>
      <c r="AL45" s="188"/>
      <c r="AM45" s="184">
        <v>283416</v>
      </c>
      <c r="AN45" s="185"/>
      <c r="AO45" s="188"/>
      <c r="AP45" s="184">
        <v>283416</v>
      </c>
      <c r="AQ45" s="189"/>
      <c r="AR45" s="184"/>
      <c r="AS45" s="184"/>
      <c r="AT45" s="184">
        <v>0</v>
      </c>
      <c r="AU45" s="184">
        <v>0</v>
      </c>
      <c r="AV45" s="184">
        <v>0</v>
      </c>
      <c r="AW45" s="184">
        <v>0</v>
      </c>
      <c r="AX45" s="184">
        <v>0</v>
      </c>
      <c r="AY45" s="184">
        <v>0</v>
      </c>
      <c r="AZ45" s="184">
        <v>0</v>
      </c>
      <c r="BA45" s="184">
        <v>0</v>
      </c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6"/>
      <c r="BR45" s="185"/>
      <c r="BS45" s="191"/>
      <c r="BT45" s="185"/>
      <c r="BU45" s="228"/>
      <c r="BV45" s="185"/>
      <c r="BW45" s="192"/>
      <c r="BX45" s="192"/>
      <c r="BY45" s="184"/>
      <c r="BZ45" s="184"/>
      <c r="CA45" s="184">
        <v>0</v>
      </c>
      <c r="CB45" s="184"/>
      <c r="CC45" s="184"/>
      <c r="CD45" s="184"/>
      <c r="CE45" s="184"/>
      <c r="CF45" s="184"/>
      <c r="CG45" s="184"/>
      <c r="CH45" s="184"/>
      <c r="CI45" s="184"/>
      <c r="CJ45" s="184"/>
      <c r="CK45" s="185"/>
      <c r="CL45" s="185"/>
    </row>
    <row r="46" spans="1:90" s="204" customFormat="1" ht="30" customHeight="1" outlineLevel="1" x14ac:dyDescent="0.25">
      <c r="A46" s="180"/>
      <c r="B46" s="180" t="s">
        <v>420</v>
      </c>
      <c r="C46" s="180"/>
      <c r="D46" s="180"/>
      <c r="E46" s="180"/>
      <c r="F46" s="180"/>
      <c r="G46" s="180"/>
      <c r="H46" s="180"/>
      <c r="I46" s="181"/>
      <c r="J46" s="194"/>
      <c r="K46" s="194"/>
      <c r="L46" s="196"/>
      <c r="M46" s="196"/>
      <c r="N46" s="196"/>
      <c r="O46" s="195"/>
      <c r="P46" s="196"/>
      <c r="Q46" s="196"/>
      <c r="R46" s="198">
        <v>0</v>
      </c>
      <c r="S46" s="198">
        <v>0</v>
      </c>
      <c r="T46" s="198">
        <v>0</v>
      </c>
      <c r="U46" s="255">
        <v>3251365.1468000002</v>
      </c>
      <c r="V46" s="195"/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255">
        <v>3251365.1468000002</v>
      </c>
      <c r="AD46" s="195">
        <v>0</v>
      </c>
      <c r="AE46" s="195">
        <v>0</v>
      </c>
      <c r="AF46" s="195">
        <v>0</v>
      </c>
      <c r="AG46" s="195">
        <v>0</v>
      </c>
      <c r="AH46" s="256">
        <v>-937865.06704120431</v>
      </c>
      <c r="AI46" s="195">
        <v>0</v>
      </c>
      <c r="AJ46" s="195">
        <v>138943.12865223025</v>
      </c>
      <c r="AK46" s="257">
        <v>-798921.93838897394</v>
      </c>
      <c r="AL46" s="199"/>
      <c r="AM46" s="195">
        <v>8686519.6285412051</v>
      </c>
      <c r="AN46" s="196"/>
      <c r="AO46" s="199"/>
      <c r="AP46" s="195">
        <v>8686519.6285412051</v>
      </c>
      <c r="AQ46" s="200"/>
      <c r="AR46" s="195"/>
      <c r="AS46" s="195"/>
      <c r="AT46" s="195">
        <v>-690403.3540500002</v>
      </c>
      <c r="AU46" s="195">
        <v>0</v>
      </c>
      <c r="AV46" s="195">
        <v>690403.3540500002</v>
      </c>
      <c r="AW46" s="195">
        <v>0</v>
      </c>
      <c r="AX46" s="195">
        <v>-138943.12865222944</v>
      </c>
      <c r="AY46" s="195">
        <v>0</v>
      </c>
      <c r="AZ46" s="195">
        <v>138943.12865223025</v>
      </c>
      <c r="BA46" s="195">
        <v>3.7834979593753815E-10</v>
      </c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7"/>
      <c r="BR46" s="196"/>
      <c r="BS46" s="202"/>
      <c r="BT46" s="196"/>
      <c r="BU46" s="229"/>
      <c r="BV46" s="196"/>
      <c r="BW46" s="203"/>
      <c r="BX46" s="203"/>
      <c r="BY46" s="195"/>
      <c r="BZ46" s="195"/>
      <c r="CA46" s="195">
        <v>-4497289.4146999996</v>
      </c>
      <c r="CB46" s="195"/>
      <c r="CC46" s="195"/>
      <c r="CD46" s="195"/>
      <c r="CE46" s="195"/>
      <c r="CF46" s="195"/>
      <c r="CG46" s="195"/>
      <c r="CH46" s="195"/>
      <c r="CI46" s="195"/>
      <c r="CJ46" s="195"/>
      <c r="CK46" s="196"/>
      <c r="CL46" s="196"/>
    </row>
    <row r="47" spans="1:90" outlineLevel="3" x14ac:dyDescent="0.25">
      <c r="A47" s="141" t="s">
        <v>421</v>
      </c>
      <c r="B47" s="141" t="s">
        <v>422</v>
      </c>
      <c r="C47" s="141" t="s">
        <v>416</v>
      </c>
      <c r="D47" s="141" t="s">
        <v>417</v>
      </c>
      <c r="E47" s="141" t="s">
        <v>210</v>
      </c>
      <c r="F47" s="141" t="s">
        <v>202</v>
      </c>
      <c r="G47" s="141" t="s">
        <v>423</v>
      </c>
      <c r="H47" s="141" t="s">
        <v>341</v>
      </c>
      <c r="I47" s="167" t="s">
        <v>390</v>
      </c>
      <c r="J47" s="168">
        <v>1</v>
      </c>
      <c r="K47" s="169">
        <v>1</v>
      </c>
      <c r="L47" s="171">
        <v>0</v>
      </c>
      <c r="M47" s="171">
        <v>0</v>
      </c>
      <c r="N47" s="171">
        <v>0</v>
      </c>
      <c r="O47" s="170">
        <v>0</v>
      </c>
      <c r="P47" s="171">
        <v>0</v>
      </c>
      <c r="Q47" s="171">
        <v>0</v>
      </c>
      <c r="R47" s="173" t="s">
        <v>424</v>
      </c>
      <c r="S47" s="173">
        <v>0</v>
      </c>
      <c r="T47" s="173">
        <v>0</v>
      </c>
      <c r="U47" s="249">
        <v>0</v>
      </c>
      <c r="V47" s="170" t="s">
        <v>344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170">
        <v>0</v>
      </c>
      <c r="AC47" s="249">
        <v>0</v>
      </c>
      <c r="AD47" s="170">
        <v>0</v>
      </c>
      <c r="AE47" s="170">
        <v>0</v>
      </c>
      <c r="AF47" s="170">
        <v>0</v>
      </c>
      <c r="AG47" s="170">
        <v>0</v>
      </c>
      <c r="AH47" s="250">
        <v>-713159.63</v>
      </c>
      <c r="AI47" s="170">
        <v>0</v>
      </c>
      <c r="AJ47" s="170">
        <v>713159.63</v>
      </c>
      <c r="AK47" s="251">
        <v>0</v>
      </c>
      <c r="AL47" s="174">
        <v>0</v>
      </c>
      <c r="AM47" s="170">
        <v>2136334</v>
      </c>
      <c r="AN47" s="171">
        <v>0</v>
      </c>
      <c r="AO47" s="174">
        <v>0</v>
      </c>
      <c r="AP47" s="170">
        <v>0</v>
      </c>
      <c r="AQ47" s="175">
        <v>1</v>
      </c>
      <c r="AR47" s="170">
        <v>0</v>
      </c>
      <c r="AS47" s="170">
        <v>0</v>
      </c>
      <c r="AT47" s="170">
        <v>-713159.63</v>
      </c>
      <c r="AU47" s="170">
        <v>0</v>
      </c>
      <c r="AV47" s="170">
        <v>713159.63</v>
      </c>
      <c r="AW47" s="170">
        <v>0</v>
      </c>
      <c r="AX47" s="170">
        <v>-713159.63</v>
      </c>
      <c r="AY47" s="170">
        <v>0</v>
      </c>
      <c r="AZ47" s="170">
        <v>713159.63</v>
      </c>
      <c r="BA47" s="170">
        <v>0</v>
      </c>
      <c r="BB47" s="170" t="s">
        <v>202</v>
      </c>
      <c r="BC47" s="170" t="s">
        <v>202</v>
      </c>
      <c r="BD47" s="170">
        <v>-713159.63</v>
      </c>
      <c r="BE47" s="170">
        <v>0</v>
      </c>
      <c r="BF47" s="170">
        <v>713159.63</v>
      </c>
      <c r="BG47" s="170">
        <v>0</v>
      </c>
      <c r="BH47" s="170">
        <v>-713159.63</v>
      </c>
      <c r="BI47" s="170">
        <v>0</v>
      </c>
      <c r="BJ47" s="170">
        <v>713159.63</v>
      </c>
      <c r="BK47" s="170">
        <v>0</v>
      </c>
      <c r="BL47" s="170">
        <v>0</v>
      </c>
      <c r="BM47" s="170" t="s">
        <v>345</v>
      </c>
      <c r="BN47" s="170">
        <v>0</v>
      </c>
      <c r="BO47" s="170" t="b">
        <v>0</v>
      </c>
      <c r="BP47" s="170">
        <v>713159.63</v>
      </c>
      <c r="BQ47" s="172">
        <v>0</v>
      </c>
      <c r="BR47" s="171">
        <v>0</v>
      </c>
      <c r="BS47" s="177">
        <v>72</v>
      </c>
      <c r="BT47" s="171">
        <v>0</v>
      </c>
      <c r="BU47" s="235">
        <v>0</v>
      </c>
      <c r="BV47" s="171">
        <v>320</v>
      </c>
      <c r="BW47" s="178">
        <v>0</v>
      </c>
      <c r="BX47" s="178">
        <v>0</v>
      </c>
      <c r="BY47" s="170">
        <v>0</v>
      </c>
      <c r="BZ47" s="170">
        <v>-1507587.53</v>
      </c>
      <c r="CA47" s="170">
        <v>-1423174.37</v>
      </c>
      <c r="CB47" s="170">
        <v>713159.63</v>
      </c>
      <c r="CC47" s="170">
        <v>0</v>
      </c>
      <c r="CD47" s="170">
        <v>0</v>
      </c>
      <c r="CE47" s="170">
        <v>0</v>
      </c>
      <c r="CF47" s="170">
        <v>0</v>
      </c>
      <c r="CG47" s="170">
        <v>-713159.63</v>
      </c>
      <c r="CH47" s="170">
        <v>0</v>
      </c>
      <c r="CI47" s="170">
        <v>713159.63</v>
      </c>
      <c r="CJ47" s="170">
        <v>0</v>
      </c>
      <c r="CK47" s="171">
        <v>0</v>
      </c>
      <c r="CL47" s="171">
        <v>0</v>
      </c>
    </row>
    <row r="48" spans="1:90" s="193" customFormat="1" ht="20.100000000000001" customHeight="1" outlineLevel="2" x14ac:dyDescent="0.25">
      <c r="A48" s="180" t="s">
        <v>425</v>
      </c>
      <c r="B48" s="180"/>
      <c r="C48" s="180"/>
      <c r="D48" s="180"/>
      <c r="E48" s="180"/>
      <c r="F48" s="180"/>
      <c r="G48" s="180"/>
      <c r="H48" s="180"/>
      <c r="I48" s="181"/>
      <c r="J48" s="182"/>
      <c r="K48" s="183"/>
      <c r="L48" s="185"/>
      <c r="M48" s="185"/>
      <c r="N48" s="185"/>
      <c r="O48" s="184"/>
      <c r="P48" s="185"/>
      <c r="Q48" s="185"/>
      <c r="R48" s="187">
        <v>0</v>
      </c>
      <c r="S48" s="187">
        <v>0</v>
      </c>
      <c r="T48" s="187">
        <v>0</v>
      </c>
      <c r="U48" s="252">
        <v>0</v>
      </c>
      <c r="V48" s="184"/>
      <c r="W48" s="184">
        <v>0</v>
      </c>
      <c r="X48" s="184">
        <v>0</v>
      </c>
      <c r="Y48" s="184">
        <v>0</v>
      </c>
      <c r="Z48" s="184">
        <v>0</v>
      </c>
      <c r="AA48" s="184">
        <v>0</v>
      </c>
      <c r="AB48" s="184">
        <v>0</v>
      </c>
      <c r="AC48" s="252">
        <v>0</v>
      </c>
      <c r="AD48" s="184">
        <v>0</v>
      </c>
      <c r="AE48" s="184">
        <v>0</v>
      </c>
      <c r="AF48" s="184">
        <v>0</v>
      </c>
      <c r="AG48" s="184">
        <v>0</v>
      </c>
      <c r="AH48" s="253">
        <v>-713159.63</v>
      </c>
      <c r="AI48" s="184">
        <v>0</v>
      </c>
      <c r="AJ48" s="184">
        <v>713159.63</v>
      </c>
      <c r="AK48" s="254">
        <v>0</v>
      </c>
      <c r="AL48" s="188"/>
      <c r="AM48" s="184">
        <v>2136334</v>
      </c>
      <c r="AN48" s="185"/>
      <c r="AO48" s="188"/>
      <c r="AP48" s="184">
        <v>0</v>
      </c>
      <c r="AQ48" s="189"/>
      <c r="AR48" s="184"/>
      <c r="AS48" s="184"/>
      <c r="AT48" s="184">
        <v>-713159.63</v>
      </c>
      <c r="AU48" s="184">
        <v>0</v>
      </c>
      <c r="AV48" s="184">
        <v>713159.63</v>
      </c>
      <c r="AW48" s="184">
        <v>0</v>
      </c>
      <c r="AX48" s="184">
        <v>-713159.63</v>
      </c>
      <c r="AY48" s="184">
        <v>0</v>
      </c>
      <c r="AZ48" s="184">
        <v>713159.63</v>
      </c>
      <c r="BA48" s="184">
        <v>0</v>
      </c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6"/>
      <c r="BR48" s="185"/>
      <c r="BS48" s="191"/>
      <c r="BT48" s="185"/>
      <c r="BU48" s="228"/>
      <c r="BV48" s="185"/>
      <c r="BW48" s="192"/>
      <c r="BX48" s="192"/>
      <c r="BY48" s="184"/>
      <c r="BZ48" s="184"/>
      <c r="CA48" s="184">
        <v>-1423174.37</v>
      </c>
      <c r="CB48" s="184"/>
      <c r="CC48" s="184"/>
      <c r="CD48" s="184"/>
      <c r="CE48" s="184"/>
      <c r="CF48" s="184"/>
      <c r="CG48" s="184"/>
      <c r="CH48" s="184"/>
      <c r="CI48" s="184"/>
      <c r="CJ48" s="184"/>
      <c r="CK48" s="185"/>
      <c r="CL48" s="185"/>
    </row>
    <row r="49" spans="1:90" outlineLevel="3" x14ac:dyDescent="0.25">
      <c r="A49" s="141" t="s">
        <v>395</v>
      </c>
      <c r="B49" s="141" t="s">
        <v>422</v>
      </c>
      <c r="C49" s="141" t="s">
        <v>416</v>
      </c>
      <c r="D49" s="141" t="s">
        <v>417</v>
      </c>
      <c r="E49" s="141" t="s">
        <v>211</v>
      </c>
      <c r="F49" s="141" t="s">
        <v>202</v>
      </c>
      <c r="G49" s="141" t="s">
        <v>423</v>
      </c>
      <c r="H49" s="205" t="s">
        <v>360</v>
      </c>
      <c r="I49" s="167" t="s">
        <v>342</v>
      </c>
      <c r="J49" s="168">
        <v>172031</v>
      </c>
      <c r="K49" s="169">
        <v>172031</v>
      </c>
      <c r="L49" s="171">
        <v>0</v>
      </c>
      <c r="M49" s="171">
        <v>0.5</v>
      </c>
      <c r="N49" s="171">
        <v>1</v>
      </c>
      <c r="O49" s="170">
        <v>136.64929576646068</v>
      </c>
      <c r="P49" s="172">
        <v>136.64929576646068</v>
      </c>
      <c r="Q49" s="172">
        <v>0</v>
      </c>
      <c r="R49" s="173" t="s">
        <v>426</v>
      </c>
      <c r="S49" s="173">
        <v>0</v>
      </c>
      <c r="T49" s="173">
        <v>0</v>
      </c>
      <c r="U49" s="249">
        <v>23507915</v>
      </c>
      <c r="V49" s="170" t="s">
        <v>344</v>
      </c>
      <c r="W49" s="170">
        <v>11753957.499999998</v>
      </c>
      <c r="X49" s="170">
        <v>0</v>
      </c>
      <c r="Y49" s="170">
        <v>11753957.499999998</v>
      </c>
      <c r="Z49" s="170">
        <v>0</v>
      </c>
      <c r="AA49" s="170">
        <v>0</v>
      </c>
      <c r="AB49" s="170">
        <v>0</v>
      </c>
      <c r="AC49" s="249">
        <v>23507915</v>
      </c>
      <c r="AD49" s="170">
        <v>0</v>
      </c>
      <c r="AE49" s="170">
        <v>0</v>
      </c>
      <c r="AF49" s="170">
        <v>0</v>
      </c>
      <c r="AG49" s="170">
        <v>0</v>
      </c>
      <c r="AH49" s="250">
        <v>0</v>
      </c>
      <c r="AI49" s="170">
        <v>0</v>
      </c>
      <c r="AJ49" s="170">
        <v>0</v>
      </c>
      <c r="AK49" s="251">
        <v>0</v>
      </c>
      <c r="AL49" s="174">
        <v>0</v>
      </c>
      <c r="AM49" s="170">
        <v>23507915</v>
      </c>
      <c r="AN49" s="174">
        <v>0</v>
      </c>
      <c r="AO49" s="171">
        <v>0</v>
      </c>
      <c r="AP49" s="170">
        <v>23507915</v>
      </c>
      <c r="AQ49" s="175">
        <v>1</v>
      </c>
      <c r="AR49" s="170">
        <v>23507914.999999996</v>
      </c>
      <c r="AS49" s="170">
        <v>136.64929576646068</v>
      </c>
      <c r="AT49" s="170">
        <v>0</v>
      </c>
      <c r="AU49" s="170">
        <v>0</v>
      </c>
      <c r="AV49" s="170">
        <v>0</v>
      </c>
      <c r="AW49" s="170">
        <v>0</v>
      </c>
      <c r="AX49" s="170">
        <v>0</v>
      </c>
      <c r="AY49" s="170">
        <v>0</v>
      </c>
      <c r="AZ49" s="170">
        <v>0</v>
      </c>
      <c r="BA49" s="170">
        <v>0</v>
      </c>
      <c r="BB49" s="170" t="s">
        <v>202</v>
      </c>
      <c r="BC49" s="170" t="s">
        <v>202</v>
      </c>
      <c r="BD49" s="170">
        <v>0</v>
      </c>
      <c r="BE49" s="170">
        <v>0</v>
      </c>
      <c r="BF49" s="170">
        <v>0</v>
      </c>
      <c r="BG49" s="170">
        <v>0</v>
      </c>
      <c r="BH49" s="170">
        <v>0</v>
      </c>
      <c r="BI49" s="170">
        <v>0</v>
      </c>
      <c r="BJ49" s="170">
        <v>0</v>
      </c>
      <c r="BK49" s="170">
        <v>0</v>
      </c>
      <c r="BL49" s="178">
        <v>23507915</v>
      </c>
      <c r="BM49" s="170" t="s">
        <v>345</v>
      </c>
      <c r="BN49" s="170">
        <v>0</v>
      </c>
      <c r="BO49" s="170" t="b">
        <v>0</v>
      </c>
      <c r="BP49" s="170">
        <v>0</v>
      </c>
      <c r="BQ49" s="172">
        <v>89.228099999999998</v>
      </c>
      <c r="BR49" s="171">
        <v>15349999.2711</v>
      </c>
      <c r="BS49" s="177">
        <v>71</v>
      </c>
      <c r="BT49" s="171">
        <v>0</v>
      </c>
      <c r="BU49" s="235">
        <v>0</v>
      </c>
      <c r="BV49" s="171">
        <v>63</v>
      </c>
      <c r="BW49" s="178">
        <v>0</v>
      </c>
      <c r="BX49" s="178">
        <v>0</v>
      </c>
      <c r="BY49" s="170">
        <v>0</v>
      </c>
      <c r="BZ49" s="170">
        <v>0</v>
      </c>
      <c r="CA49" s="170">
        <v>0</v>
      </c>
      <c r="CB49" s="170">
        <v>23507915</v>
      </c>
      <c r="CC49" s="170">
        <v>0</v>
      </c>
      <c r="CD49" s="170">
        <v>0</v>
      </c>
      <c r="CE49" s="170">
        <v>0</v>
      </c>
      <c r="CF49" s="170">
        <v>0</v>
      </c>
      <c r="CG49" s="170">
        <v>0</v>
      </c>
      <c r="CH49" s="170">
        <v>0</v>
      </c>
      <c r="CI49" s="170">
        <v>0</v>
      </c>
      <c r="CJ49" s="170">
        <v>0</v>
      </c>
      <c r="CK49" s="171">
        <v>0.5</v>
      </c>
      <c r="CL49" s="171">
        <v>0</v>
      </c>
    </row>
    <row r="50" spans="1:90" outlineLevel="3" x14ac:dyDescent="0.25">
      <c r="A50" s="141" t="s">
        <v>395</v>
      </c>
      <c r="B50" s="141" t="s">
        <v>422</v>
      </c>
      <c r="C50" s="141" t="s">
        <v>416</v>
      </c>
      <c r="D50" s="141" t="s">
        <v>417</v>
      </c>
      <c r="E50" s="141" t="s">
        <v>478</v>
      </c>
      <c r="F50" s="141" t="s">
        <v>202</v>
      </c>
      <c r="G50" s="205" t="s">
        <v>479</v>
      </c>
      <c r="H50" s="205" t="s">
        <v>360</v>
      </c>
      <c r="I50" s="167" t="s">
        <v>342</v>
      </c>
      <c r="J50" s="168">
        <v>1</v>
      </c>
      <c r="K50" s="169">
        <v>1</v>
      </c>
      <c r="L50" s="171">
        <v>0</v>
      </c>
      <c r="M50" s="171">
        <v>0</v>
      </c>
      <c r="N50" s="171">
        <v>1</v>
      </c>
      <c r="O50" s="170">
        <v>10372212</v>
      </c>
      <c r="P50" s="172">
        <v>10372212</v>
      </c>
      <c r="Q50" s="172">
        <v>0</v>
      </c>
      <c r="R50" s="173" t="s">
        <v>480</v>
      </c>
      <c r="S50" s="173">
        <v>0</v>
      </c>
      <c r="T50" s="173">
        <v>0</v>
      </c>
      <c r="U50" s="249">
        <v>10372212</v>
      </c>
      <c r="V50" s="170" t="s">
        <v>344</v>
      </c>
      <c r="W50" s="170">
        <v>0</v>
      </c>
      <c r="X50" s="170">
        <v>0</v>
      </c>
      <c r="Y50" s="170">
        <v>0</v>
      </c>
      <c r="Z50" s="170">
        <v>0</v>
      </c>
      <c r="AA50" s="170">
        <v>0</v>
      </c>
      <c r="AB50" s="170">
        <v>0</v>
      </c>
      <c r="AC50" s="249">
        <v>10372212</v>
      </c>
      <c r="AD50" s="170">
        <v>0</v>
      </c>
      <c r="AE50" s="170">
        <v>0</v>
      </c>
      <c r="AF50" s="170">
        <v>0</v>
      </c>
      <c r="AG50" s="170">
        <v>0</v>
      </c>
      <c r="AH50" s="250">
        <v>0</v>
      </c>
      <c r="AI50" s="170">
        <v>0</v>
      </c>
      <c r="AJ50" s="170">
        <v>0</v>
      </c>
      <c r="AK50" s="251">
        <v>0</v>
      </c>
      <c r="AL50" s="174">
        <v>0</v>
      </c>
      <c r="AM50" s="170">
        <v>14753533</v>
      </c>
      <c r="AN50" s="174">
        <v>0</v>
      </c>
      <c r="AO50" s="171">
        <v>0</v>
      </c>
      <c r="AP50" s="170">
        <v>14753533</v>
      </c>
      <c r="AQ50" s="175">
        <v>1</v>
      </c>
      <c r="AR50" s="170">
        <v>10372212</v>
      </c>
      <c r="AS50" s="170">
        <v>10372212</v>
      </c>
      <c r="AT50" s="170">
        <v>0</v>
      </c>
      <c r="AU50" s="170">
        <v>0</v>
      </c>
      <c r="AV50" s="170">
        <v>0</v>
      </c>
      <c r="AW50" s="170">
        <v>0</v>
      </c>
      <c r="AX50" s="170">
        <v>0</v>
      </c>
      <c r="AY50" s="170">
        <v>0</v>
      </c>
      <c r="AZ50" s="170">
        <v>0</v>
      </c>
      <c r="BA50" s="170">
        <v>0</v>
      </c>
      <c r="BB50" s="170" t="s">
        <v>202</v>
      </c>
      <c r="BC50" s="170" t="s">
        <v>202</v>
      </c>
      <c r="BD50" s="170">
        <v>0</v>
      </c>
      <c r="BE50" s="170">
        <v>0</v>
      </c>
      <c r="BF50" s="170">
        <v>0</v>
      </c>
      <c r="BG50" s="170">
        <v>0</v>
      </c>
      <c r="BH50" s="170">
        <v>0</v>
      </c>
      <c r="BI50" s="170">
        <v>0</v>
      </c>
      <c r="BJ50" s="170">
        <v>0</v>
      </c>
      <c r="BK50" s="170">
        <v>0</v>
      </c>
      <c r="BL50" s="178">
        <v>14753533</v>
      </c>
      <c r="BM50" s="170" t="s">
        <v>345</v>
      </c>
      <c r="BN50" s="170">
        <v>0</v>
      </c>
      <c r="BO50" s="170" t="b">
        <v>0</v>
      </c>
      <c r="BP50" s="170">
        <v>0</v>
      </c>
      <c r="BQ50" s="172">
        <v>0</v>
      </c>
      <c r="BR50" s="171">
        <v>0</v>
      </c>
      <c r="BS50" s="177">
        <v>71</v>
      </c>
      <c r="BT50" s="171">
        <v>0</v>
      </c>
      <c r="BU50" s="235">
        <v>0</v>
      </c>
      <c r="BV50" s="171">
        <v>65</v>
      </c>
      <c r="BW50" s="178">
        <v>0</v>
      </c>
      <c r="BX50" s="178">
        <v>0</v>
      </c>
      <c r="BY50" s="170">
        <v>0</v>
      </c>
      <c r="BZ50" s="170">
        <v>0</v>
      </c>
      <c r="CA50" s="170">
        <v>-4381321</v>
      </c>
      <c r="CB50" s="170">
        <v>10372212</v>
      </c>
      <c r="CC50" s="170">
        <v>0</v>
      </c>
      <c r="CD50" s="170">
        <v>0</v>
      </c>
      <c r="CE50" s="170">
        <v>0</v>
      </c>
      <c r="CF50" s="170">
        <v>0</v>
      </c>
      <c r="CG50" s="170">
        <v>0</v>
      </c>
      <c r="CH50" s="170">
        <v>0</v>
      </c>
      <c r="CI50" s="170">
        <v>0</v>
      </c>
      <c r="CJ50" s="170">
        <v>0</v>
      </c>
      <c r="CK50" s="171">
        <v>0</v>
      </c>
      <c r="CL50" s="171">
        <v>0</v>
      </c>
    </row>
    <row r="51" spans="1:90" s="193" customFormat="1" ht="20.100000000000001" customHeight="1" outlineLevel="2" x14ac:dyDescent="0.25">
      <c r="A51" s="180" t="s">
        <v>396</v>
      </c>
      <c r="B51" s="180"/>
      <c r="C51" s="180"/>
      <c r="D51" s="180"/>
      <c r="E51" s="180"/>
      <c r="F51" s="180"/>
      <c r="G51" s="206"/>
      <c r="H51" s="206"/>
      <c r="I51" s="181"/>
      <c r="J51" s="182"/>
      <c r="K51" s="183"/>
      <c r="L51" s="185"/>
      <c r="M51" s="185"/>
      <c r="N51" s="185"/>
      <c r="O51" s="184"/>
      <c r="P51" s="186"/>
      <c r="Q51" s="186"/>
      <c r="R51" s="187">
        <v>0</v>
      </c>
      <c r="S51" s="187">
        <v>0</v>
      </c>
      <c r="T51" s="187">
        <v>0</v>
      </c>
      <c r="U51" s="252">
        <v>33880127</v>
      </c>
      <c r="V51" s="184"/>
      <c r="W51" s="184">
        <v>11753957.499999998</v>
      </c>
      <c r="X51" s="184">
        <v>0</v>
      </c>
      <c r="Y51" s="184">
        <v>11753957.499999998</v>
      </c>
      <c r="Z51" s="184">
        <v>0</v>
      </c>
      <c r="AA51" s="184">
        <v>0</v>
      </c>
      <c r="AB51" s="184">
        <v>0</v>
      </c>
      <c r="AC51" s="252">
        <v>33880127</v>
      </c>
      <c r="AD51" s="184">
        <v>0</v>
      </c>
      <c r="AE51" s="184">
        <v>0</v>
      </c>
      <c r="AF51" s="184">
        <v>0</v>
      </c>
      <c r="AG51" s="184">
        <v>0</v>
      </c>
      <c r="AH51" s="253">
        <v>0</v>
      </c>
      <c r="AI51" s="184">
        <v>0</v>
      </c>
      <c r="AJ51" s="184">
        <v>0</v>
      </c>
      <c r="AK51" s="254">
        <v>0</v>
      </c>
      <c r="AL51" s="188"/>
      <c r="AM51" s="184">
        <v>38261448</v>
      </c>
      <c r="AN51" s="188"/>
      <c r="AO51" s="185"/>
      <c r="AP51" s="184">
        <v>38261448</v>
      </c>
      <c r="AQ51" s="189"/>
      <c r="AR51" s="184"/>
      <c r="AS51" s="184"/>
      <c r="AT51" s="184">
        <v>0</v>
      </c>
      <c r="AU51" s="184">
        <v>0</v>
      </c>
      <c r="AV51" s="184">
        <v>0</v>
      </c>
      <c r="AW51" s="184">
        <v>0</v>
      </c>
      <c r="AX51" s="184">
        <v>0</v>
      </c>
      <c r="AY51" s="184">
        <v>0</v>
      </c>
      <c r="AZ51" s="184">
        <v>0</v>
      </c>
      <c r="BA51" s="184">
        <v>0</v>
      </c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92"/>
      <c r="BM51" s="184"/>
      <c r="BN51" s="184"/>
      <c r="BO51" s="184"/>
      <c r="BP51" s="184"/>
      <c r="BQ51" s="186"/>
      <c r="BR51" s="185"/>
      <c r="BS51" s="191"/>
      <c r="BT51" s="185"/>
      <c r="BU51" s="228"/>
      <c r="BV51" s="185"/>
      <c r="BW51" s="192"/>
      <c r="BX51" s="192"/>
      <c r="BY51" s="184"/>
      <c r="BZ51" s="184"/>
      <c r="CA51" s="184">
        <v>-4381321</v>
      </c>
      <c r="CB51" s="184"/>
      <c r="CC51" s="184"/>
      <c r="CD51" s="184"/>
      <c r="CE51" s="184"/>
      <c r="CF51" s="184"/>
      <c r="CG51" s="184"/>
      <c r="CH51" s="184"/>
      <c r="CI51" s="184"/>
      <c r="CJ51" s="184"/>
      <c r="CK51" s="185"/>
      <c r="CL51" s="185"/>
    </row>
    <row r="52" spans="1:90" outlineLevel="3" x14ac:dyDescent="0.25">
      <c r="A52" s="141" t="s">
        <v>369</v>
      </c>
      <c r="B52" s="141" t="s">
        <v>422</v>
      </c>
      <c r="C52" s="141" t="s">
        <v>416</v>
      </c>
      <c r="D52" s="141" t="s">
        <v>417</v>
      </c>
      <c r="E52" s="141" t="s">
        <v>212</v>
      </c>
      <c r="F52" s="141" t="s">
        <v>427</v>
      </c>
      <c r="G52" s="141" t="s">
        <v>423</v>
      </c>
      <c r="H52" s="141" t="s">
        <v>350</v>
      </c>
      <c r="I52" s="167" t="s">
        <v>342</v>
      </c>
      <c r="J52" s="169">
        <v>0</v>
      </c>
      <c r="K52" s="169">
        <v>0</v>
      </c>
      <c r="L52" s="171">
        <v>0</v>
      </c>
      <c r="M52" s="171">
        <v>0.5</v>
      </c>
      <c r="N52" s="171">
        <v>1</v>
      </c>
      <c r="O52" s="170">
        <v>4.3125</v>
      </c>
      <c r="P52" s="172">
        <v>3.625</v>
      </c>
      <c r="Q52" s="172">
        <v>0.6875</v>
      </c>
      <c r="R52" s="173" t="s">
        <v>428</v>
      </c>
      <c r="S52" s="173">
        <v>0</v>
      </c>
      <c r="T52" s="173">
        <v>0</v>
      </c>
      <c r="U52" s="249">
        <v>0</v>
      </c>
      <c r="V52" s="170" t="s">
        <v>344</v>
      </c>
      <c r="W52" s="170">
        <v>0</v>
      </c>
      <c r="X52" s="170">
        <v>0</v>
      </c>
      <c r="Y52" s="170">
        <v>0</v>
      </c>
      <c r="Z52" s="170">
        <v>0</v>
      </c>
      <c r="AA52" s="170">
        <v>0</v>
      </c>
      <c r="AB52" s="170">
        <v>0</v>
      </c>
      <c r="AC52" s="249">
        <v>0</v>
      </c>
      <c r="AD52" s="170">
        <v>0</v>
      </c>
      <c r="AE52" s="170">
        <v>0</v>
      </c>
      <c r="AF52" s="170">
        <v>0</v>
      </c>
      <c r="AG52" s="170">
        <v>0</v>
      </c>
      <c r="AH52" s="250">
        <v>0</v>
      </c>
      <c r="AI52" s="170">
        <v>0</v>
      </c>
      <c r="AJ52" s="170">
        <v>0</v>
      </c>
      <c r="AK52" s="251">
        <v>0</v>
      </c>
      <c r="AL52" s="174">
        <v>0</v>
      </c>
      <c r="AM52" s="170">
        <v>0</v>
      </c>
      <c r="AN52" s="171">
        <v>0</v>
      </c>
      <c r="AO52" s="174">
        <v>0</v>
      </c>
      <c r="AP52" s="170">
        <v>0</v>
      </c>
      <c r="AQ52" s="175">
        <v>1</v>
      </c>
      <c r="AR52" s="170">
        <v>0</v>
      </c>
      <c r="AS52" s="170">
        <v>4.3125</v>
      </c>
      <c r="AT52" s="170">
        <v>0</v>
      </c>
      <c r="AU52" s="170">
        <v>0</v>
      </c>
      <c r="AV52" s="170">
        <v>0</v>
      </c>
      <c r="AW52" s="170">
        <v>0</v>
      </c>
      <c r="AX52" s="170">
        <v>0</v>
      </c>
      <c r="AY52" s="170">
        <v>0</v>
      </c>
      <c r="AZ52" s="170">
        <v>0</v>
      </c>
      <c r="BA52" s="170">
        <v>0</v>
      </c>
      <c r="BB52" s="170">
        <v>4.3125</v>
      </c>
      <c r="BC52" s="170">
        <v>3.625</v>
      </c>
      <c r="BD52" s="170">
        <v>0</v>
      </c>
      <c r="BE52" s="170">
        <v>0</v>
      </c>
      <c r="BF52" s="170">
        <v>0</v>
      </c>
      <c r="BG52" s="170">
        <v>0</v>
      </c>
      <c r="BH52" s="170">
        <v>0</v>
      </c>
      <c r="BI52" s="170">
        <v>0</v>
      </c>
      <c r="BJ52" s="170">
        <v>0</v>
      </c>
      <c r="BK52" s="170">
        <v>0</v>
      </c>
      <c r="BL52" s="170">
        <v>0</v>
      </c>
      <c r="BM52" s="170" t="s">
        <v>352</v>
      </c>
      <c r="BN52" s="170">
        <v>0</v>
      </c>
      <c r="BO52" s="170" t="b">
        <v>0</v>
      </c>
      <c r="BP52" s="170">
        <v>0</v>
      </c>
      <c r="BQ52" s="172">
        <v>9.4999962000015206</v>
      </c>
      <c r="BR52" s="171">
        <v>0</v>
      </c>
      <c r="BS52" s="177">
        <v>70</v>
      </c>
      <c r="BT52" s="171">
        <v>0</v>
      </c>
      <c r="BU52" s="235">
        <v>0</v>
      </c>
      <c r="BV52" s="171">
        <v>1</v>
      </c>
      <c r="BW52" s="178">
        <v>4.3125</v>
      </c>
      <c r="BX52" s="178">
        <v>0</v>
      </c>
      <c r="BY52" s="170">
        <v>0</v>
      </c>
      <c r="BZ52" s="170">
        <v>0</v>
      </c>
      <c r="CA52" s="170">
        <v>0</v>
      </c>
      <c r="CB52" s="170">
        <v>0</v>
      </c>
      <c r="CC52" s="170">
        <v>0</v>
      </c>
      <c r="CD52" s="170">
        <v>0</v>
      </c>
      <c r="CE52" s="170">
        <v>0</v>
      </c>
      <c r="CF52" s="170">
        <v>0</v>
      </c>
      <c r="CG52" s="170">
        <v>0</v>
      </c>
      <c r="CH52" s="170">
        <v>0</v>
      </c>
      <c r="CI52" s="170">
        <v>0</v>
      </c>
      <c r="CJ52" s="170">
        <v>0</v>
      </c>
      <c r="CK52" s="171">
        <v>0.5</v>
      </c>
      <c r="CL52" s="171">
        <v>0</v>
      </c>
    </row>
    <row r="53" spans="1:90" outlineLevel="3" x14ac:dyDescent="0.25">
      <c r="A53" s="141" t="s">
        <v>369</v>
      </c>
      <c r="B53" s="141" t="s">
        <v>422</v>
      </c>
      <c r="C53" s="141" t="s">
        <v>416</v>
      </c>
      <c r="D53" s="141" t="s">
        <v>417</v>
      </c>
      <c r="E53" s="141" t="s">
        <v>213</v>
      </c>
      <c r="F53" s="141" t="s">
        <v>429</v>
      </c>
      <c r="G53" s="141" t="s">
        <v>423</v>
      </c>
      <c r="H53" s="141" t="s">
        <v>350</v>
      </c>
      <c r="I53" s="167" t="s">
        <v>342</v>
      </c>
      <c r="J53" s="169">
        <v>0</v>
      </c>
      <c r="K53" s="169">
        <v>0</v>
      </c>
      <c r="L53" s="171">
        <v>0</v>
      </c>
      <c r="M53" s="171">
        <v>0</v>
      </c>
      <c r="N53" s="171">
        <v>1</v>
      </c>
      <c r="O53" s="170">
        <v>1</v>
      </c>
      <c r="P53" s="172">
        <v>1.0625</v>
      </c>
      <c r="Q53" s="172">
        <v>-6.25E-2</v>
      </c>
      <c r="R53" s="173" t="s">
        <v>430</v>
      </c>
      <c r="S53" s="173">
        <v>0</v>
      </c>
      <c r="T53" s="173">
        <v>0</v>
      </c>
      <c r="U53" s="249">
        <v>0</v>
      </c>
      <c r="V53" s="170" t="s">
        <v>344</v>
      </c>
      <c r="W53" s="170">
        <v>0</v>
      </c>
      <c r="X53" s="170">
        <v>0</v>
      </c>
      <c r="Y53" s="170">
        <v>0</v>
      </c>
      <c r="Z53" s="170">
        <v>0</v>
      </c>
      <c r="AA53" s="170">
        <v>0</v>
      </c>
      <c r="AB53" s="170">
        <v>0</v>
      </c>
      <c r="AC53" s="249">
        <v>0</v>
      </c>
      <c r="AD53" s="170">
        <v>0</v>
      </c>
      <c r="AE53" s="170">
        <v>0</v>
      </c>
      <c r="AF53" s="170">
        <v>0</v>
      </c>
      <c r="AG53" s="170">
        <v>0</v>
      </c>
      <c r="AH53" s="250">
        <v>0</v>
      </c>
      <c r="AI53" s="170">
        <v>0</v>
      </c>
      <c r="AJ53" s="170">
        <v>0</v>
      </c>
      <c r="AK53" s="251">
        <v>0</v>
      </c>
      <c r="AL53" s="174">
        <v>0</v>
      </c>
      <c r="AM53" s="170">
        <v>0</v>
      </c>
      <c r="AN53" s="171">
        <v>0</v>
      </c>
      <c r="AO53" s="174">
        <v>0</v>
      </c>
      <c r="AP53" s="170">
        <v>0</v>
      </c>
      <c r="AQ53" s="175">
        <v>1</v>
      </c>
      <c r="AR53" s="170">
        <v>0</v>
      </c>
      <c r="AS53" s="170">
        <v>1</v>
      </c>
      <c r="AT53" s="170">
        <v>0</v>
      </c>
      <c r="AU53" s="170">
        <v>0</v>
      </c>
      <c r="AV53" s="170">
        <v>0</v>
      </c>
      <c r="AW53" s="170">
        <v>0</v>
      </c>
      <c r="AX53" s="170">
        <v>0</v>
      </c>
      <c r="AY53" s="170">
        <v>0</v>
      </c>
      <c r="AZ53" s="170">
        <v>0</v>
      </c>
      <c r="BA53" s="170">
        <v>0</v>
      </c>
      <c r="BB53" s="170">
        <v>1</v>
      </c>
      <c r="BC53" s="170">
        <v>1.0625</v>
      </c>
      <c r="BD53" s="170">
        <v>0</v>
      </c>
      <c r="BE53" s="170">
        <v>0</v>
      </c>
      <c r="BF53" s="170">
        <v>0</v>
      </c>
      <c r="BG53" s="170">
        <v>0</v>
      </c>
      <c r="BH53" s="170">
        <v>0</v>
      </c>
      <c r="BI53" s="170">
        <v>0</v>
      </c>
      <c r="BJ53" s="170">
        <v>0</v>
      </c>
      <c r="BK53" s="170">
        <v>0</v>
      </c>
      <c r="BL53" s="170">
        <v>0</v>
      </c>
      <c r="BM53" s="170" t="s">
        <v>352</v>
      </c>
      <c r="BN53" s="170">
        <v>0</v>
      </c>
      <c r="BO53" s="170" t="b">
        <v>0</v>
      </c>
      <c r="BP53" s="170">
        <v>0</v>
      </c>
      <c r="BQ53" s="172">
        <v>1.1200000000000001</v>
      </c>
      <c r="BR53" s="171">
        <v>0</v>
      </c>
      <c r="BS53" s="177">
        <v>70</v>
      </c>
      <c r="BT53" s="171">
        <v>0</v>
      </c>
      <c r="BU53" s="235">
        <v>0</v>
      </c>
      <c r="BV53" s="171">
        <v>10</v>
      </c>
      <c r="BW53" s="178">
        <v>1</v>
      </c>
      <c r="BX53" s="178">
        <v>0</v>
      </c>
      <c r="BY53" s="170">
        <v>0</v>
      </c>
      <c r="BZ53" s="170">
        <v>0</v>
      </c>
      <c r="CA53" s="170">
        <v>0</v>
      </c>
      <c r="CB53" s="170">
        <v>0</v>
      </c>
      <c r="CC53" s="170">
        <v>0</v>
      </c>
      <c r="CD53" s="170">
        <v>0</v>
      </c>
      <c r="CE53" s="170">
        <v>0</v>
      </c>
      <c r="CF53" s="170">
        <v>0</v>
      </c>
      <c r="CG53" s="170">
        <v>0</v>
      </c>
      <c r="CH53" s="170">
        <v>0</v>
      </c>
      <c r="CI53" s="170">
        <v>0</v>
      </c>
      <c r="CJ53" s="170">
        <v>0</v>
      </c>
      <c r="CK53" s="171">
        <v>0</v>
      </c>
      <c r="CL53" s="171">
        <v>0</v>
      </c>
    </row>
    <row r="54" spans="1:90" outlineLevel="3" x14ac:dyDescent="0.25">
      <c r="A54" s="141" t="s">
        <v>369</v>
      </c>
      <c r="B54" s="141" t="s">
        <v>422</v>
      </c>
      <c r="C54" s="141" t="s">
        <v>416</v>
      </c>
      <c r="D54" s="141" t="s">
        <v>417</v>
      </c>
      <c r="E54" s="141" t="s">
        <v>555</v>
      </c>
      <c r="F54" s="141" t="s">
        <v>554</v>
      </c>
      <c r="G54" s="141" t="s">
        <v>423</v>
      </c>
      <c r="H54" s="141" t="s">
        <v>350</v>
      </c>
      <c r="I54" s="167" t="s">
        <v>342</v>
      </c>
      <c r="J54" s="169">
        <v>10134.6</v>
      </c>
      <c r="K54" s="169">
        <v>10134.6</v>
      </c>
      <c r="L54" s="171">
        <v>0</v>
      </c>
      <c r="M54" s="171">
        <v>0</v>
      </c>
      <c r="N54" s="171">
        <v>1</v>
      </c>
      <c r="O54" s="170">
        <v>7.75</v>
      </c>
      <c r="P54" s="172">
        <v>7.75</v>
      </c>
      <c r="Q54" s="172">
        <v>0</v>
      </c>
      <c r="R54" s="173" t="s">
        <v>431</v>
      </c>
      <c r="S54" s="173">
        <v>0</v>
      </c>
      <c r="T54" s="173">
        <v>0</v>
      </c>
      <c r="U54" s="249">
        <v>78543.150000000052</v>
      </c>
      <c r="V54" s="170" t="s">
        <v>344</v>
      </c>
      <c r="W54" s="170">
        <v>0</v>
      </c>
      <c r="X54" s="170">
        <v>0</v>
      </c>
      <c r="Y54" s="170">
        <v>0</v>
      </c>
      <c r="Z54" s="170">
        <v>0</v>
      </c>
      <c r="AA54" s="170">
        <v>0</v>
      </c>
      <c r="AB54" s="170">
        <v>0</v>
      </c>
      <c r="AC54" s="249">
        <v>78543.150000000052</v>
      </c>
      <c r="AD54" s="170">
        <v>0</v>
      </c>
      <c r="AE54" s="170">
        <v>0</v>
      </c>
      <c r="AF54" s="170">
        <v>0</v>
      </c>
      <c r="AG54" s="170">
        <v>0</v>
      </c>
      <c r="AH54" s="250">
        <v>567259.73400000134</v>
      </c>
      <c r="AI54" s="170">
        <v>0</v>
      </c>
      <c r="AJ54" s="170">
        <v>-310325.31</v>
      </c>
      <c r="AK54" s="251">
        <v>256934.42400000087</v>
      </c>
      <c r="AL54" s="174">
        <v>0</v>
      </c>
      <c r="AM54" s="170">
        <v>403753.41600000003</v>
      </c>
      <c r="AN54" s="171">
        <v>0</v>
      </c>
      <c r="AO54" s="174">
        <v>0</v>
      </c>
      <c r="AP54" s="170">
        <v>403753.41600000003</v>
      </c>
      <c r="AQ54" s="175">
        <v>1</v>
      </c>
      <c r="AR54" s="170">
        <v>78543.150000000052</v>
      </c>
      <c r="AS54" s="170">
        <v>7.75</v>
      </c>
      <c r="AT54" s="170">
        <v>33377.437500000218</v>
      </c>
      <c r="AU54" s="170">
        <v>0</v>
      </c>
      <c r="AV54" s="170">
        <v>-33377.437500000218</v>
      </c>
      <c r="AW54" s="170">
        <v>0</v>
      </c>
      <c r="AX54" s="170">
        <v>310325.31</v>
      </c>
      <c r="AY54" s="170">
        <v>0</v>
      </c>
      <c r="AZ54" s="170">
        <v>-310325.31</v>
      </c>
      <c r="BA54" s="170">
        <v>0</v>
      </c>
      <c r="BB54" s="170">
        <v>7.75</v>
      </c>
      <c r="BC54" s="170">
        <v>7.75</v>
      </c>
      <c r="BD54" s="170">
        <v>33377.437500000218</v>
      </c>
      <c r="BE54" s="170">
        <v>0</v>
      </c>
      <c r="BF54" s="170">
        <v>-33377.437500000218</v>
      </c>
      <c r="BG54" s="170">
        <v>0</v>
      </c>
      <c r="BH54" s="170">
        <v>310325.31</v>
      </c>
      <c r="BI54" s="170">
        <v>0</v>
      </c>
      <c r="BJ54" s="170">
        <v>-310325.31</v>
      </c>
      <c r="BK54" s="170">
        <v>0</v>
      </c>
      <c r="BL54" s="170">
        <v>403753.41600000003</v>
      </c>
      <c r="BM54" s="170" t="s">
        <v>352</v>
      </c>
      <c r="BN54" s="170">
        <v>0</v>
      </c>
      <c r="BO54" s="170" t="b">
        <v>0</v>
      </c>
      <c r="BP54" s="170">
        <v>-310325.31</v>
      </c>
      <c r="BQ54" s="172">
        <v>1.1200000000000001</v>
      </c>
      <c r="BR54" s="171">
        <v>11350.752000000008</v>
      </c>
      <c r="BS54" s="177">
        <v>70</v>
      </c>
      <c r="BT54" s="171">
        <v>0</v>
      </c>
      <c r="BU54" s="235">
        <v>10134.6</v>
      </c>
      <c r="BV54" s="171">
        <v>14</v>
      </c>
      <c r="BW54" s="178">
        <v>7.75</v>
      </c>
      <c r="BX54" s="178">
        <v>0</v>
      </c>
      <c r="BY54" s="170">
        <v>0</v>
      </c>
      <c r="BZ54" s="170">
        <v>-892470</v>
      </c>
      <c r="CA54" s="170">
        <v>-892470</v>
      </c>
      <c r="CB54" s="170">
        <v>-231782.16</v>
      </c>
      <c r="CC54" s="170">
        <v>0</v>
      </c>
      <c r="CD54" s="170">
        <v>0</v>
      </c>
      <c r="CE54" s="170">
        <v>0</v>
      </c>
      <c r="CF54" s="170">
        <v>0</v>
      </c>
      <c r="CG54" s="170">
        <v>567259.73400000134</v>
      </c>
      <c r="CH54" s="170">
        <v>0</v>
      </c>
      <c r="CI54" s="170">
        <v>-310325.31</v>
      </c>
      <c r="CJ54" s="170">
        <v>256934.42400000087</v>
      </c>
      <c r="CK54" s="171">
        <v>0</v>
      </c>
      <c r="CL54" s="171">
        <v>0</v>
      </c>
    </row>
    <row r="55" spans="1:90" s="193" customFormat="1" ht="20.100000000000001" customHeight="1" outlineLevel="2" x14ac:dyDescent="0.25">
      <c r="A55" s="180" t="s">
        <v>370</v>
      </c>
      <c r="B55" s="180"/>
      <c r="C55" s="180"/>
      <c r="D55" s="180"/>
      <c r="E55" s="180"/>
      <c r="F55" s="180"/>
      <c r="G55" s="180"/>
      <c r="H55" s="180"/>
      <c r="I55" s="181"/>
      <c r="J55" s="183"/>
      <c r="K55" s="183"/>
      <c r="L55" s="185"/>
      <c r="M55" s="185"/>
      <c r="N55" s="185"/>
      <c r="O55" s="184"/>
      <c r="P55" s="186"/>
      <c r="Q55" s="186"/>
      <c r="R55" s="187">
        <v>0</v>
      </c>
      <c r="S55" s="187">
        <v>0</v>
      </c>
      <c r="T55" s="187">
        <v>0</v>
      </c>
      <c r="U55" s="252">
        <v>78543.150000000052</v>
      </c>
      <c r="V55" s="184"/>
      <c r="W55" s="184">
        <v>0</v>
      </c>
      <c r="X55" s="184">
        <v>0</v>
      </c>
      <c r="Y55" s="184">
        <v>0</v>
      </c>
      <c r="Z55" s="184">
        <v>0</v>
      </c>
      <c r="AA55" s="184">
        <v>0</v>
      </c>
      <c r="AB55" s="184">
        <v>0</v>
      </c>
      <c r="AC55" s="252">
        <v>78543.150000000052</v>
      </c>
      <c r="AD55" s="184">
        <v>0</v>
      </c>
      <c r="AE55" s="184">
        <v>0</v>
      </c>
      <c r="AF55" s="184">
        <v>0</v>
      </c>
      <c r="AG55" s="184">
        <v>0</v>
      </c>
      <c r="AH55" s="253">
        <v>567259.73400000134</v>
      </c>
      <c r="AI55" s="184">
        <v>0</v>
      </c>
      <c r="AJ55" s="184">
        <v>-310325.31</v>
      </c>
      <c r="AK55" s="254">
        <v>256934.42400000087</v>
      </c>
      <c r="AL55" s="188"/>
      <c r="AM55" s="184">
        <v>403753.41600000003</v>
      </c>
      <c r="AN55" s="185"/>
      <c r="AO55" s="188"/>
      <c r="AP55" s="184">
        <v>403753.41600000003</v>
      </c>
      <c r="AQ55" s="189"/>
      <c r="AR55" s="184"/>
      <c r="AS55" s="184"/>
      <c r="AT55" s="184">
        <v>33377.437500000218</v>
      </c>
      <c r="AU55" s="184">
        <v>0</v>
      </c>
      <c r="AV55" s="184">
        <v>-33377.437500000218</v>
      </c>
      <c r="AW55" s="184">
        <v>0</v>
      </c>
      <c r="AX55" s="184">
        <v>310325.31</v>
      </c>
      <c r="AY55" s="184">
        <v>0</v>
      </c>
      <c r="AZ55" s="184">
        <v>-310325.31</v>
      </c>
      <c r="BA55" s="184">
        <v>0</v>
      </c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6"/>
      <c r="BR55" s="185"/>
      <c r="BS55" s="191"/>
      <c r="BT55" s="185"/>
      <c r="BU55" s="228"/>
      <c r="BV55" s="185"/>
      <c r="BW55" s="192"/>
      <c r="BX55" s="192"/>
      <c r="BY55" s="184"/>
      <c r="BZ55" s="184"/>
      <c r="CA55" s="184">
        <v>-892470</v>
      </c>
      <c r="CB55" s="184"/>
      <c r="CC55" s="184"/>
      <c r="CD55" s="184"/>
      <c r="CE55" s="184"/>
      <c r="CF55" s="184"/>
      <c r="CG55" s="184"/>
      <c r="CH55" s="184"/>
      <c r="CI55" s="184"/>
      <c r="CJ55" s="184"/>
      <c r="CK55" s="185"/>
      <c r="CL55" s="185"/>
    </row>
    <row r="56" spans="1:90" outlineLevel="3" x14ac:dyDescent="0.25">
      <c r="A56" s="141" t="s">
        <v>432</v>
      </c>
      <c r="B56" s="141" t="s">
        <v>422</v>
      </c>
      <c r="C56" s="141" t="s">
        <v>416</v>
      </c>
      <c r="D56" s="141" t="s">
        <v>417</v>
      </c>
      <c r="E56" s="141" t="s">
        <v>214</v>
      </c>
      <c r="F56" s="141" t="s">
        <v>202</v>
      </c>
      <c r="G56" s="141" t="s">
        <v>423</v>
      </c>
      <c r="H56" s="141" t="s">
        <v>341</v>
      </c>
      <c r="I56" s="167" t="s">
        <v>390</v>
      </c>
      <c r="J56" s="169">
        <v>1</v>
      </c>
      <c r="K56" s="169">
        <v>1</v>
      </c>
      <c r="L56" s="171">
        <v>0</v>
      </c>
      <c r="M56" s="171">
        <v>0</v>
      </c>
      <c r="N56" s="171">
        <v>0</v>
      </c>
      <c r="O56" s="170">
        <v>0</v>
      </c>
      <c r="P56" s="171">
        <v>0</v>
      </c>
      <c r="Q56" s="171">
        <v>0</v>
      </c>
      <c r="R56" s="173" t="s">
        <v>433</v>
      </c>
      <c r="S56" s="173">
        <v>0</v>
      </c>
      <c r="T56" s="173">
        <v>0</v>
      </c>
      <c r="U56" s="249">
        <v>0</v>
      </c>
      <c r="V56" s="170" t="s">
        <v>344</v>
      </c>
      <c r="W56" s="170">
        <v>0</v>
      </c>
      <c r="X56" s="170">
        <v>0</v>
      </c>
      <c r="Y56" s="170">
        <v>0</v>
      </c>
      <c r="Z56" s="170">
        <v>0</v>
      </c>
      <c r="AA56" s="170">
        <v>0</v>
      </c>
      <c r="AB56" s="170">
        <v>0</v>
      </c>
      <c r="AC56" s="249">
        <v>0</v>
      </c>
      <c r="AD56" s="170">
        <v>0</v>
      </c>
      <c r="AE56" s="170">
        <v>0</v>
      </c>
      <c r="AF56" s="170">
        <v>0</v>
      </c>
      <c r="AG56" s="170">
        <v>0</v>
      </c>
      <c r="AH56" s="250">
        <v>65507.429999999702</v>
      </c>
      <c r="AI56" s="170">
        <v>0</v>
      </c>
      <c r="AJ56" s="170">
        <v>-65507.429999999702</v>
      </c>
      <c r="AK56" s="251">
        <v>0</v>
      </c>
      <c r="AL56" s="174">
        <v>1.5285574947483838E-2</v>
      </c>
      <c r="AM56" s="170">
        <v>12536934.66</v>
      </c>
      <c r="AN56" s="171">
        <v>0</v>
      </c>
      <c r="AO56" s="174">
        <v>0</v>
      </c>
      <c r="AP56" s="170">
        <v>0</v>
      </c>
      <c r="AQ56" s="175">
        <v>1</v>
      </c>
      <c r="AR56" s="170">
        <v>0</v>
      </c>
      <c r="AS56" s="170">
        <v>0</v>
      </c>
      <c r="AT56" s="170">
        <v>0</v>
      </c>
      <c r="AU56" s="170">
        <v>0</v>
      </c>
      <c r="AV56" s="170">
        <v>0</v>
      </c>
      <c r="AW56" s="170">
        <v>0</v>
      </c>
      <c r="AX56" s="170">
        <v>65507.429999999702</v>
      </c>
      <c r="AY56" s="170">
        <v>0</v>
      </c>
      <c r="AZ56" s="170">
        <v>-65507.429999999702</v>
      </c>
      <c r="BA56" s="170">
        <v>0</v>
      </c>
      <c r="BB56" s="170">
        <v>0</v>
      </c>
      <c r="BC56" s="170">
        <v>0</v>
      </c>
      <c r="BD56" s="170">
        <v>0</v>
      </c>
      <c r="BE56" s="170">
        <v>0</v>
      </c>
      <c r="BF56" s="170">
        <v>0</v>
      </c>
      <c r="BG56" s="170">
        <v>0</v>
      </c>
      <c r="BH56" s="170">
        <v>65507.429999999702</v>
      </c>
      <c r="BI56" s="170">
        <v>0</v>
      </c>
      <c r="BJ56" s="170">
        <v>-65507.429999999702</v>
      </c>
      <c r="BK56" s="170">
        <v>0</v>
      </c>
      <c r="BL56" s="170">
        <v>0</v>
      </c>
      <c r="BM56" s="170" t="s">
        <v>345</v>
      </c>
      <c r="BN56" s="170">
        <v>0</v>
      </c>
      <c r="BO56" s="170" t="b">
        <v>0</v>
      </c>
      <c r="BP56" s="170">
        <v>-65507.429999999702</v>
      </c>
      <c r="BQ56" s="172">
        <v>0</v>
      </c>
      <c r="BR56" s="171">
        <v>0</v>
      </c>
      <c r="BS56" s="177">
        <v>80</v>
      </c>
      <c r="BT56" s="171">
        <v>0</v>
      </c>
      <c r="BU56" s="235">
        <v>0</v>
      </c>
      <c r="BV56" s="171">
        <v>291</v>
      </c>
      <c r="BW56" s="178">
        <v>0</v>
      </c>
      <c r="BX56" s="178">
        <v>0</v>
      </c>
      <c r="BY56" s="170">
        <v>0</v>
      </c>
      <c r="BZ56" s="170">
        <v>0</v>
      </c>
      <c r="CA56" s="170">
        <v>-12602442.09</v>
      </c>
      <c r="CB56" s="170">
        <v>-65507.429999999702</v>
      </c>
      <c r="CC56" s="170">
        <v>0</v>
      </c>
      <c r="CD56" s="170">
        <v>0</v>
      </c>
      <c r="CE56" s="170">
        <v>0</v>
      </c>
      <c r="CF56" s="170">
        <v>0</v>
      </c>
      <c r="CG56" s="170">
        <v>65507.429999999702</v>
      </c>
      <c r="CH56" s="170">
        <v>0</v>
      </c>
      <c r="CI56" s="170">
        <v>-65507.429999999702</v>
      </c>
      <c r="CJ56" s="170">
        <v>0</v>
      </c>
      <c r="CK56" s="171">
        <v>0</v>
      </c>
      <c r="CL56" s="171">
        <v>0</v>
      </c>
    </row>
    <row r="57" spans="1:90" outlineLevel="3" x14ac:dyDescent="0.25">
      <c r="A57" s="141" t="s">
        <v>432</v>
      </c>
      <c r="B57" s="141" t="s">
        <v>422</v>
      </c>
      <c r="C57" s="141" t="s">
        <v>416</v>
      </c>
      <c r="D57" s="141" t="s">
        <v>417</v>
      </c>
      <c r="E57" s="141" t="s">
        <v>215</v>
      </c>
      <c r="F57" s="141" t="s">
        <v>202</v>
      </c>
      <c r="G57" s="141" t="s">
        <v>423</v>
      </c>
      <c r="H57" s="141" t="s">
        <v>341</v>
      </c>
      <c r="I57" s="167" t="s">
        <v>390</v>
      </c>
      <c r="J57" s="169">
        <v>1</v>
      </c>
      <c r="K57" s="169">
        <v>1</v>
      </c>
      <c r="L57" s="171">
        <v>0</v>
      </c>
      <c r="M57" s="171">
        <v>0</v>
      </c>
      <c r="N57" s="171">
        <v>0</v>
      </c>
      <c r="O57" s="170">
        <v>1233217.29</v>
      </c>
      <c r="P57" s="171">
        <v>1233217.29</v>
      </c>
      <c r="Q57" s="171">
        <v>0</v>
      </c>
      <c r="R57" s="173" t="s">
        <v>434</v>
      </c>
      <c r="S57" s="173">
        <v>0</v>
      </c>
      <c r="T57" s="173">
        <v>0</v>
      </c>
      <c r="U57" s="249">
        <v>1233217.29</v>
      </c>
      <c r="V57" s="170" t="s">
        <v>344</v>
      </c>
      <c r="W57" s="170">
        <v>0</v>
      </c>
      <c r="X57" s="170">
        <v>0</v>
      </c>
      <c r="Y57" s="170">
        <v>0</v>
      </c>
      <c r="Z57" s="170">
        <v>0</v>
      </c>
      <c r="AA57" s="170">
        <v>0</v>
      </c>
      <c r="AB57" s="170">
        <v>0</v>
      </c>
      <c r="AC57" s="249">
        <v>1233217.29</v>
      </c>
      <c r="AD57" s="170">
        <v>0</v>
      </c>
      <c r="AE57" s="170">
        <v>0</v>
      </c>
      <c r="AF57" s="170">
        <v>0</v>
      </c>
      <c r="AG57" s="170">
        <v>0</v>
      </c>
      <c r="AH57" s="250">
        <v>0</v>
      </c>
      <c r="AI57" s="170">
        <v>0</v>
      </c>
      <c r="AJ57" s="170">
        <v>0</v>
      </c>
      <c r="AK57" s="251">
        <v>0</v>
      </c>
      <c r="AL57" s="174">
        <v>0</v>
      </c>
      <c r="AM57" s="170">
        <v>1302980</v>
      </c>
      <c r="AN57" s="171">
        <v>0</v>
      </c>
      <c r="AO57" s="174">
        <v>0</v>
      </c>
      <c r="AP57" s="170">
        <v>1302980</v>
      </c>
      <c r="AQ57" s="175">
        <v>1</v>
      </c>
      <c r="AR57" s="170">
        <v>0</v>
      </c>
      <c r="AS57" s="170">
        <v>1233217.29</v>
      </c>
      <c r="AT57" s="170">
        <v>0</v>
      </c>
      <c r="AU57" s="170">
        <v>0</v>
      </c>
      <c r="AV57" s="170">
        <v>0</v>
      </c>
      <c r="AW57" s="170">
        <v>0</v>
      </c>
      <c r="AX57" s="170">
        <v>0</v>
      </c>
      <c r="AY57" s="170">
        <v>0</v>
      </c>
      <c r="AZ57" s="170">
        <v>0</v>
      </c>
      <c r="BA57" s="170">
        <v>0</v>
      </c>
      <c r="BB57" s="170" t="s">
        <v>202</v>
      </c>
      <c r="BC57" s="170" t="s">
        <v>202</v>
      </c>
      <c r="BD57" s="170">
        <v>0</v>
      </c>
      <c r="BE57" s="170">
        <v>0</v>
      </c>
      <c r="BF57" s="170">
        <v>0</v>
      </c>
      <c r="BG57" s="170">
        <v>0</v>
      </c>
      <c r="BH57" s="170">
        <v>0</v>
      </c>
      <c r="BI57" s="170">
        <v>0</v>
      </c>
      <c r="BJ57" s="170">
        <v>0</v>
      </c>
      <c r="BK57" s="170">
        <v>0</v>
      </c>
      <c r="BL57" s="170">
        <v>1302980</v>
      </c>
      <c r="BM57" s="170" t="s">
        <v>345</v>
      </c>
      <c r="BN57" s="170">
        <v>0</v>
      </c>
      <c r="BO57" s="170" t="b">
        <v>0</v>
      </c>
      <c r="BP57" s="170">
        <v>0</v>
      </c>
      <c r="BQ57" s="172">
        <v>0</v>
      </c>
      <c r="BR57" s="171">
        <v>0</v>
      </c>
      <c r="BS57" s="177">
        <v>80</v>
      </c>
      <c r="BT57" s="171">
        <v>0</v>
      </c>
      <c r="BU57" s="235">
        <v>0</v>
      </c>
      <c r="BV57" s="171">
        <v>293</v>
      </c>
      <c r="BW57" s="178">
        <v>0</v>
      </c>
      <c r="BX57" s="178">
        <v>0</v>
      </c>
      <c r="BY57" s="170">
        <v>0</v>
      </c>
      <c r="BZ57" s="170">
        <v>-69762.710000000006</v>
      </c>
      <c r="CA57" s="170">
        <v>-69762.710000000006</v>
      </c>
      <c r="CB57" s="170">
        <v>1233217.29</v>
      </c>
      <c r="CC57" s="170">
        <v>0</v>
      </c>
      <c r="CD57" s="170">
        <v>0</v>
      </c>
      <c r="CE57" s="170">
        <v>0</v>
      </c>
      <c r="CF57" s="170">
        <v>0</v>
      </c>
      <c r="CG57" s="170">
        <v>0</v>
      </c>
      <c r="CH57" s="170">
        <v>0</v>
      </c>
      <c r="CI57" s="170">
        <v>0</v>
      </c>
      <c r="CJ57" s="170">
        <v>0</v>
      </c>
      <c r="CK57" s="171">
        <v>0</v>
      </c>
      <c r="CL57" s="171">
        <v>0</v>
      </c>
    </row>
    <row r="58" spans="1:90" outlineLevel="3" x14ac:dyDescent="0.25">
      <c r="A58" s="141" t="s">
        <v>432</v>
      </c>
      <c r="B58" s="141" t="s">
        <v>422</v>
      </c>
      <c r="C58" s="141" t="s">
        <v>416</v>
      </c>
      <c r="D58" s="141" t="s">
        <v>417</v>
      </c>
      <c r="E58" s="141" t="s">
        <v>216</v>
      </c>
      <c r="F58" s="141" t="s">
        <v>202</v>
      </c>
      <c r="G58" s="141" t="s">
        <v>423</v>
      </c>
      <c r="H58" s="141" t="s">
        <v>341</v>
      </c>
      <c r="I58" s="167" t="s">
        <v>390</v>
      </c>
      <c r="J58" s="169">
        <v>1</v>
      </c>
      <c r="K58" s="169">
        <v>1</v>
      </c>
      <c r="L58" s="171">
        <v>0</v>
      </c>
      <c r="M58" s="171">
        <v>0</v>
      </c>
      <c r="N58" s="171">
        <v>0</v>
      </c>
      <c r="O58" s="170">
        <v>429210</v>
      </c>
      <c r="P58" s="171">
        <v>429210</v>
      </c>
      <c r="Q58" s="171">
        <v>0</v>
      </c>
      <c r="R58" s="173" t="s">
        <v>435</v>
      </c>
      <c r="S58" s="173">
        <v>0</v>
      </c>
      <c r="T58" s="173">
        <v>0</v>
      </c>
      <c r="U58" s="249">
        <v>429210</v>
      </c>
      <c r="V58" s="170" t="s">
        <v>344</v>
      </c>
      <c r="W58" s="170">
        <v>0</v>
      </c>
      <c r="X58" s="170">
        <v>0</v>
      </c>
      <c r="Y58" s="170">
        <v>0</v>
      </c>
      <c r="Z58" s="170">
        <v>0</v>
      </c>
      <c r="AA58" s="170">
        <v>0</v>
      </c>
      <c r="AB58" s="170">
        <v>0</v>
      </c>
      <c r="AC58" s="249">
        <v>429210</v>
      </c>
      <c r="AD58" s="170">
        <v>0</v>
      </c>
      <c r="AE58" s="170">
        <v>0</v>
      </c>
      <c r="AF58" s="170">
        <v>0</v>
      </c>
      <c r="AG58" s="170">
        <v>0</v>
      </c>
      <c r="AH58" s="250">
        <v>0</v>
      </c>
      <c r="AI58" s="170">
        <v>0</v>
      </c>
      <c r="AJ58" s="170">
        <v>0</v>
      </c>
      <c r="AK58" s="251">
        <v>0</v>
      </c>
      <c r="AL58" s="174">
        <v>0</v>
      </c>
      <c r="AM58" s="170">
        <v>429210</v>
      </c>
      <c r="AN58" s="171">
        <v>0</v>
      </c>
      <c r="AO58" s="174">
        <v>0</v>
      </c>
      <c r="AP58" s="170">
        <v>429210</v>
      </c>
      <c r="AQ58" s="175">
        <v>1</v>
      </c>
      <c r="AR58" s="170">
        <v>0</v>
      </c>
      <c r="AS58" s="170">
        <v>429210</v>
      </c>
      <c r="AT58" s="170">
        <v>0</v>
      </c>
      <c r="AU58" s="170">
        <v>0</v>
      </c>
      <c r="AV58" s="170">
        <v>0</v>
      </c>
      <c r="AW58" s="170">
        <v>0</v>
      </c>
      <c r="AX58" s="170">
        <v>0</v>
      </c>
      <c r="AY58" s="170">
        <v>0</v>
      </c>
      <c r="AZ58" s="170">
        <v>0</v>
      </c>
      <c r="BA58" s="170">
        <v>0</v>
      </c>
      <c r="BB58" s="170" t="s">
        <v>202</v>
      </c>
      <c r="BC58" s="170" t="s">
        <v>202</v>
      </c>
      <c r="BD58" s="170">
        <v>0</v>
      </c>
      <c r="BE58" s="170">
        <v>0</v>
      </c>
      <c r="BF58" s="170">
        <v>0</v>
      </c>
      <c r="BG58" s="170">
        <v>0</v>
      </c>
      <c r="BH58" s="170">
        <v>0</v>
      </c>
      <c r="BI58" s="170">
        <v>0</v>
      </c>
      <c r="BJ58" s="170">
        <v>0</v>
      </c>
      <c r="BK58" s="170">
        <v>0</v>
      </c>
      <c r="BL58" s="170">
        <v>429210</v>
      </c>
      <c r="BM58" s="170" t="s">
        <v>345</v>
      </c>
      <c r="BN58" s="170">
        <v>0</v>
      </c>
      <c r="BO58" s="170" t="b">
        <v>0</v>
      </c>
      <c r="BP58" s="170">
        <v>0</v>
      </c>
      <c r="BQ58" s="172">
        <v>0</v>
      </c>
      <c r="BR58" s="171">
        <v>0</v>
      </c>
      <c r="BS58" s="177">
        <v>80</v>
      </c>
      <c r="BT58" s="171">
        <v>0</v>
      </c>
      <c r="BU58" s="235">
        <v>0</v>
      </c>
      <c r="BV58" s="171">
        <v>309</v>
      </c>
      <c r="BW58" s="178">
        <v>0</v>
      </c>
      <c r="BX58" s="178">
        <v>0</v>
      </c>
      <c r="BY58" s="170">
        <v>0</v>
      </c>
      <c r="BZ58" s="170">
        <v>0</v>
      </c>
      <c r="CA58" s="170">
        <v>0</v>
      </c>
      <c r="CB58" s="170">
        <v>429210</v>
      </c>
      <c r="CC58" s="170">
        <v>0</v>
      </c>
      <c r="CD58" s="170">
        <v>0</v>
      </c>
      <c r="CE58" s="170">
        <v>0</v>
      </c>
      <c r="CF58" s="170">
        <v>0</v>
      </c>
      <c r="CG58" s="170">
        <v>0</v>
      </c>
      <c r="CH58" s="170">
        <v>0</v>
      </c>
      <c r="CI58" s="170">
        <v>0</v>
      </c>
      <c r="CJ58" s="170">
        <v>0</v>
      </c>
      <c r="CK58" s="171">
        <v>0</v>
      </c>
      <c r="CL58" s="171">
        <v>0</v>
      </c>
    </row>
    <row r="59" spans="1:90" outlineLevel="3" x14ac:dyDescent="0.25">
      <c r="A59" s="141" t="s">
        <v>432</v>
      </c>
      <c r="B59" s="141" t="s">
        <v>422</v>
      </c>
      <c r="C59" s="141" t="s">
        <v>416</v>
      </c>
      <c r="D59" s="141" t="s">
        <v>417</v>
      </c>
      <c r="E59" s="141" t="s">
        <v>217</v>
      </c>
      <c r="F59" s="141" t="s">
        <v>202</v>
      </c>
      <c r="G59" s="141" t="s">
        <v>423</v>
      </c>
      <c r="H59" s="141" t="s">
        <v>341</v>
      </c>
      <c r="I59" s="167" t="s">
        <v>390</v>
      </c>
      <c r="J59" s="169">
        <v>1</v>
      </c>
      <c r="K59" s="169">
        <v>1</v>
      </c>
      <c r="L59" s="171">
        <v>0</v>
      </c>
      <c r="M59" s="171">
        <v>0</v>
      </c>
      <c r="N59" s="171">
        <v>0</v>
      </c>
      <c r="O59" s="170">
        <v>470790</v>
      </c>
      <c r="P59" s="171">
        <v>470790</v>
      </c>
      <c r="Q59" s="171">
        <v>0</v>
      </c>
      <c r="R59" s="173" t="s">
        <v>436</v>
      </c>
      <c r="S59" s="173">
        <v>0</v>
      </c>
      <c r="T59" s="173">
        <v>0</v>
      </c>
      <c r="U59" s="249">
        <v>470790</v>
      </c>
      <c r="V59" s="170" t="s">
        <v>344</v>
      </c>
      <c r="W59" s="170">
        <v>0</v>
      </c>
      <c r="X59" s="170">
        <v>0</v>
      </c>
      <c r="Y59" s="170">
        <v>0</v>
      </c>
      <c r="Z59" s="170">
        <v>0</v>
      </c>
      <c r="AA59" s="170">
        <v>0</v>
      </c>
      <c r="AB59" s="170">
        <v>0</v>
      </c>
      <c r="AC59" s="249">
        <v>470790</v>
      </c>
      <c r="AD59" s="170">
        <v>0</v>
      </c>
      <c r="AE59" s="170">
        <v>0</v>
      </c>
      <c r="AF59" s="170">
        <v>0</v>
      </c>
      <c r="AG59" s="170">
        <v>0</v>
      </c>
      <c r="AH59" s="250">
        <v>0</v>
      </c>
      <c r="AI59" s="170">
        <v>0</v>
      </c>
      <c r="AJ59" s="170">
        <v>0</v>
      </c>
      <c r="AK59" s="251">
        <v>0</v>
      </c>
      <c r="AL59" s="174">
        <v>0</v>
      </c>
      <c r="AM59" s="170">
        <v>470790</v>
      </c>
      <c r="AN59" s="171">
        <v>0</v>
      </c>
      <c r="AO59" s="174">
        <v>0</v>
      </c>
      <c r="AP59" s="170">
        <v>470790</v>
      </c>
      <c r="AQ59" s="175">
        <v>1</v>
      </c>
      <c r="AR59" s="170">
        <v>0</v>
      </c>
      <c r="AS59" s="170">
        <v>470790</v>
      </c>
      <c r="AT59" s="170">
        <v>0</v>
      </c>
      <c r="AU59" s="170">
        <v>0</v>
      </c>
      <c r="AV59" s="170">
        <v>0</v>
      </c>
      <c r="AW59" s="170">
        <v>0</v>
      </c>
      <c r="AX59" s="170">
        <v>0</v>
      </c>
      <c r="AY59" s="170">
        <v>0</v>
      </c>
      <c r="AZ59" s="170">
        <v>0</v>
      </c>
      <c r="BA59" s="170">
        <v>0</v>
      </c>
      <c r="BB59" s="170" t="s">
        <v>202</v>
      </c>
      <c r="BC59" s="170" t="s">
        <v>202</v>
      </c>
      <c r="BD59" s="170">
        <v>0</v>
      </c>
      <c r="BE59" s="170">
        <v>0</v>
      </c>
      <c r="BF59" s="170">
        <v>0</v>
      </c>
      <c r="BG59" s="170">
        <v>0</v>
      </c>
      <c r="BH59" s="170">
        <v>0</v>
      </c>
      <c r="BI59" s="170">
        <v>0</v>
      </c>
      <c r="BJ59" s="170">
        <v>0</v>
      </c>
      <c r="BK59" s="170">
        <v>0</v>
      </c>
      <c r="BL59" s="170">
        <v>470790</v>
      </c>
      <c r="BM59" s="170" t="s">
        <v>345</v>
      </c>
      <c r="BN59" s="170">
        <v>0</v>
      </c>
      <c r="BO59" s="170" t="b">
        <v>0</v>
      </c>
      <c r="BP59" s="170">
        <v>0</v>
      </c>
      <c r="BQ59" s="172">
        <v>0</v>
      </c>
      <c r="BR59" s="171">
        <v>0</v>
      </c>
      <c r="BS59" s="177">
        <v>80</v>
      </c>
      <c r="BT59" s="171">
        <v>0</v>
      </c>
      <c r="BU59" s="235">
        <v>0</v>
      </c>
      <c r="BV59" s="171">
        <v>311</v>
      </c>
      <c r="BW59" s="178">
        <v>0</v>
      </c>
      <c r="BX59" s="178">
        <v>0</v>
      </c>
      <c r="BY59" s="170">
        <v>0</v>
      </c>
      <c r="BZ59" s="170">
        <v>0</v>
      </c>
      <c r="CA59" s="170">
        <v>0</v>
      </c>
      <c r="CB59" s="170">
        <v>470790</v>
      </c>
      <c r="CC59" s="170">
        <v>0</v>
      </c>
      <c r="CD59" s="170">
        <v>0</v>
      </c>
      <c r="CE59" s="170">
        <v>0</v>
      </c>
      <c r="CF59" s="170">
        <v>0</v>
      </c>
      <c r="CG59" s="170">
        <v>0</v>
      </c>
      <c r="CH59" s="170">
        <v>0</v>
      </c>
      <c r="CI59" s="170">
        <v>0</v>
      </c>
      <c r="CJ59" s="170">
        <v>0</v>
      </c>
      <c r="CK59" s="171">
        <v>0</v>
      </c>
      <c r="CL59" s="171">
        <v>0</v>
      </c>
    </row>
    <row r="60" spans="1:90" outlineLevel="3" x14ac:dyDescent="0.25">
      <c r="A60" s="141" t="s">
        <v>432</v>
      </c>
      <c r="B60" s="141" t="s">
        <v>422</v>
      </c>
      <c r="C60" s="141" t="s">
        <v>416</v>
      </c>
      <c r="D60" s="141" t="s">
        <v>417</v>
      </c>
      <c r="E60" s="141" t="s">
        <v>218</v>
      </c>
      <c r="F60" s="141" t="s">
        <v>202</v>
      </c>
      <c r="G60" s="141" t="s">
        <v>423</v>
      </c>
      <c r="H60" s="141" t="s">
        <v>341</v>
      </c>
      <c r="I60" s="167" t="s">
        <v>390</v>
      </c>
      <c r="J60" s="169">
        <v>1</v>
      </c>
      <c r="K60" s="169">
        <v>1</v>
      </c>
      <c r="L60" s="171">
        <v>0</v>
      </c>
      <c r="M60" s="171">
        <v>0</v>
      </c>
      <c r="N60" s="171">
        <v>0</v>
      </c>
      <c r="O60" s="170">
        <v>7121810</v>
      </c>
      <c r="P60" s="171">
        <v>7121810</v>
      </c>
      <c r="Q60" s="171">
        <v>0</v>
      </c>
      <c r="R60" s="173" t="s">
        <v>437</v>
      </c>
      <c r="S60" s="173">
        <v>0</v>
      </c>
      <c r="T60" s="173">
        <v>0</v>
      </c>
      <c r="U60" s="249">
        <v>7121810</v>
      </c>
      <c r="V60" s="170" t="s">
        <v>344</v>
      </c>
      <c r="W60" s="170">
        <v>0</v>
      </c>
      <c r="X60" s="170">
        <v>0</v>
      </c>
      <c r="Y60" s="170">
        <v>0</v>
      </c>
      <c r="Z60" s="170">
        <v>0</v>
      </c>
      <c r="AA60" s="170">
        <v>0</v>
      </c>
      <c r="AB60" s="170">
        <v>0</v>
      </c>
      <c r="AC60" s="249">
        <v>7121810</v>
      </c>
      <c r="AD60" s="170">
        <v>0</v>
      </c>
      <c r="AE60" s="170">
        <v>0</v>
      </c>
      <c r="AF60" s="170">
        <v>0</v>
      </c>
      <c r="AG60" s="170">
        <v>0</v>
      </c>
      <c r="AH60" s="250">
        <v>0</v>
      </c>
      <c r="AI60" s="170">
        <v>0</v>
      </c>
      <c r="AJ60" s="170">
        <v>0</v>
      </c>
      <c r="AK60" s="251">
        <v>0</v>
      </c>
      <c r="AL60" s="174">
        <v>0</v>
      </c>
      <c r="AM60" s="170">
        <v>7121810</v>
      </c>
      <c r="AN60" s="171">
        <v>0</v>
      </c>
      <c r="AO60" s="174">
        <v>0</v>
      </c>
      <c r="AP60" s="170">
        <v>7121810</v>
      </c>
      <c r="AQ60" s="175">
        <v>1</v>
      </c>
      <c r="AR60" s="170">
        <v>0</v>
      </c>
      <c r="AS60" s="170">
        <v>7121810</v>
      </c>
      <c r="AT60" s="170">
        <v>0</v>
      </c>
      <c r="AU60" s="170">
        <v>0</v>
      </c>
      <c r="AV60" s="170">
        <v>0</v>
      </c>
      <c r="AW60" s="170">
        <v>0</v>
      </c>
      <c r="AX60" s="170">
        <v>0</v>
      </c>
      <c r="AY60" s="170">
        <v>0</v>
      </c>
      <c r="AZ60" s="170">
        <v>0</v>
      </c>
      <c r="BA60" s="170">
        <v>0</v>
      </c>
      <c r="BB60" s="170" t="s">
        <v>202</v>
      </c>
      <c r="BC60" s="170" t="s">
        <v>202</v>
      </c>
      <c r="BD60" s="170">
        <v>0</v>
      </c>
      <c r="BE60" s="170">
        <v>0</v>
      </c>
      <c r="BF60" s="170">
        <v>0</v>
      </c>
      <c r="BG60" s="170">
        <v>0</v>
      </c>
      <c r="BH60" s="170">
        <v>0</v>
      </c>
      <c r="BI60" s="170">
        <v>0</v>
      </c>
      <c r="BJ60" s="170">
        <v>0</v>
      </c>
      <c r="BK60" s="170">
        <v>0</v>
      </c>
      <c r="BL60" s="170">
        <v>7121810</v>
      </c>
      <c r="BM60" s="170" t="s">
        <v>345</v>
      </c>
      <c r="BN60" s="170">
        <v>0</v>
      </c>
      <c r="BO60" s="170" t="b">
        <v>0</v>
      </c>
      <c r="BP60" s="170">
        <v>0</v>
      </c>
      <c r="BQ60" s="172">
        <v>0</v>
      </c>
      <c r="BR60" s="171">
        <v>0</v>
      </c>
      <c r="BS60" s="177">
        <v>80</v>
      </c>
      <c r="BT60" s="171">
        <v>0</v>
      </c>
      <c r="BU60" s="235">
        <v>0</v>
      </c>
      <c r="BV60" s="171">
        <v>313</v>
      </c>
      <c r="BW60" s="178">
        <v>0</v>
      </c>
      <c r="BX60" s="178">
        <v>0</v>
      </c>
      <c r="BY60" s="170">
        <v>0</v>
      </c>
      <c r="BZ60" s="170">
        <v>0</v>
      </c>
      <c r="CA60" s="170">
        <v>0</v>
      </c>
      <c r="CB60" s="170">
        <v>7121810</v>
      </c>
      <c r="CC60" s="170">
        <v>0</v>
      </c>
      <c r="CD60" s="170">
        <v>0</v>
      </c>
      <c r="CE60" s="170">
        <v>0</v>
      </c>
      <c r="CF60" s="170">
        <v>0</v>
      </c>
      <c r="CG60" s="170">
        <v>0</v>
      </c>
      <c r="CH60" s="170">
        <v>0</v>
      </c>
      <c r="CI60" s="170">
        <v>0</v>
      </c>
      <c r="CJ60" s="170">
        <v>0</v>
      </c>
      <c r="CK60" s="171">
        <v>0</v>
      </c>
      <c r="CL60" s="171">
        <v>0</v>
      </c>
    </row>
    <row r="61" spans="1:90" s="193" customFormat="1" ht="20.100000000000001" customHeight="1" outlineLevel="2" x14ac:dyDescent="0.25">
      <c r="A61" s="180" t="s">
        <v>438</v>
      </c>
      <c r="B61" s="180"/>
      <c r="C61" s="180"/>
      <c r="D61" s="180"/>
      <c r="E61" s="180"/>
      <c r="F61" s="180"/>
      <c r="G61" s="180"/>
      <c r="H61" s="180"/>
      <c r="I61" s="181"/>
      <c r="J61" s="183"/>
      <c r="K61" s="183"/>
      <c r="L61" s="185"/>
      <c r="M61" s="185"/>
      <c r="N61" s="185"/>
      <c r="O61" s="184"/>
      <c r="P61" s="185"/>
      <c r="Q61" s="185"/>
      <c r="R61" s="187">
        <v>0</v>
      </c>
      <c r="S61" s="187">
        <v>0</v>
      </c>
      <c r="T61" s="187">
        <v>0</v>
      </c>
      <c r="U61" s="252">
        <v>9255027.2899999991</v>
      </c>
      <c r="V61" s="184"/>
      <c r="W61" s="184">
        <v>0</v>
      </c>
      <c r="X61" s="184">
        <v>0</v>
      </c>
      <c r="Y61" s="184">
        <v>0</v>
      </c>
      <c r="Z61" s="184">
        <v>0</v>
      </c>
      <c r="AA61" s="184">
        <v>0</v>
      </c>
      <c r="AB61" s="184">
        <v>0</v>
      </c>
      <c r="AC61" s="252">
        <v>9255027.2899999991</v>
      </c>
      <c r="AD61" s="184">
        <v>0</v>
      </c>
      <c r="AE61" s="184">
        <v>0</v>
      </c>
      <c r="AF61" s="184">
        <v>0</v>
      </c>
      <c r="AG61" s="184">
        <v>0</v>
      </c>
      <c r="AH61" s="253">
        <v>65507.429999999702</v>
      </c>
      <c r="AI61" s="184">
        <v>0</v>
      </c>
      <c r="AJ61" s="184">
        <v>-65507.429999999702</v>
      </c>
      <c r="AK61" s="254">
        <v>0</v>
      </c>
      <c r="AL61" s="188"/>
      <c r="AM61" s="184">
        <v>21861724.66</v>
      </c>
      <c r="AN61" s="185"/>
      <c r="AO61" s="188"/>
      <c r="AP61" s="184">
        <v>9324790</v>
      </c>
      <c r="AQ61" s="189"/>
      <c r="AR61" s="184"/>
      <c r="AS61" s="184"/>
      <c r="AT61" s="184">
        <v>0</v>
      </c>
      <c r="AU61" s="184">
        <v>0</v>
      </c>
      <c r="AV61" s="184">
        <v>0</v>
      </c>
      <c r="AW61" s="184">
        <v>0</v>
      </c>
      <c r="AX61" s="184">
        <v>65507.429999999702</v>
      </c>
      <c r="AY61" s="184">
        <v>0</v>
      </c>
      <c r="AZ61" s="184">
        <v>-65507.429999999702</v>
      </c>
      <c r="BA61" s="184">
        <v>0</v>
      </c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6"/>
      <c r="BR61" s="185"/>
      <c r="BS61" s="191"/>
      <c r="BT61" s="185"/>
      <c r="BU61" s="228"/>
      <c r="BV61" s="185"/>
      <c r="BW61" s="192"/>
      <c r="BX61" s="192"/>
      <c r="BY61" s="184"/>
      <c r="BZ61" s="184"/>
      <c r="CA61" s="184">
        <v>-12672204.800000001</v>
      </c>
      <c r="CB61" s="184"/>
      <c r="CC61" s="184"/>
      <c r="CD61" s="184"/>
      <c r="CE61" s="184"/>
      <c r="CF61" s="184"/>
      <c r="CG61" s="184"/>
      <c r="CH61" s="184"/>
      <c r="CI61" s="184"/>
      <c r="CJ61" s="184"/>
      <c r="CK61" s="185"/>
      <c r="CL61" s="185"/>
    </row>
    <row r="62" spans="1:90" outlineLevel="3" x14ac:dyDescent="0.25">
      <c r="A62" s="141" t="s">
        <v>439</v>
      </c>
      <c r="B62" s="141" t="s">
        <v>422</v>
      </c>
      <c r="C62" s="141" t="s">
        <v>416</v>
      </c>
      <c r="D62" s="141" t="s">
        <v>417</v>
      </c>
      <c r="E62" s="141" t="s">
        <v>219</v>
      </c>
      <c r="F62" s="141" t="s">
        <v>440</v>
      </c>
      <c r="G62" s="141" t="s">
        <v>423</v>
      </c>
      <c r="H62" s="141" t="s">
        <v>379</v>
      </c>
      <c r="I62" s="167" t="s">
        <v>379</v>
      </c>
      <c r="J62" s="168">
        <v>1</v>
      </c>
      <c r="K62" s="169">
        <v>1</v>
      </c>
      <c r="L62" s="171">
        <v>0</v>
      </c>
      <c r="M62" s="171">
        <v>0</v>
      </c>
      <c r="N62" s="171">
        <v>1</v>
      </c>
      <c r="O62" s="170">
        <v>3486752</v>
      </c>
      <c r="P62" s="171">
        <v>3486752</v>
      </c>
      <c r="Q62" s="171">
        <v>0</v>
      </c>
      <c r="R62" s="173" t="s">
        <v>441</v>
      </c>
      <c r="S62" s="173">
        <v>0</v>
      </c>
      <c r="T62" s="173">
        <v>0</v>
      </c>
      <c r="U62" s="249">
        <v>3486752</v>
      </c>
      <c r="V62" s="170" t="s">
        <v>344</v>
      </c>
      <c r="W62" s="170">
        <v>0</v>
      </c>
      <c r="X62" s="170">
        <v>0</v>
      </c>
      <c r="Y62" s="170">
        <v>0</v>
      </c>
      <c r="Z62" s="170">
        <v>0</v>
      </c>
      <c r="AA62" s="170">
        <v>0</v>
      </c>
      <c r="AB62" s="170">
        <v>0</v>
      </c>
      <c r="AC62" s="249">
        <v>3486752</v>
      </c>
      <c r="AD62" s="170">
        <v>0</v>
      </c>
      <c r="AE62" s="170">
        <v>0</v>
      </c>
      <c r="AF62" s="170">
        <v>0</v>
      </c>
      <c r="AG62" s="170">
        <v>0</v>
      </c>
      <c r="AH62" s="250">
        <v>0</v>
      </c>
      <c r="AI62" s="170">
        <v>0</v>
      </c>
      <c r="AJ62" s="170">
        <v>0</v>
      </c>
      <c r="AK62" s="251">
        <v>0</v>
      </c>
      <c r="AL62" s="174">
        <v>0</v>
      </c>
      <c r="AM62" s="170">
        <v>3486752</v>
      </c>
      <c r="AN62" s="174">
        <v>0</v>
      </c>
      <c r="AO62" s="174">
        <v>0</v>
      </c>
      <c r="AP62" s="170">
        <v>3486752</v>
      </c>
      <c r="AQ62" s="175">
        <v>1</v>
      </c>
      <c r="AR62" s="170">
        <v>3486752</v>
      </c>
      <c r="AS62" s="170">
        <v>3486752</v>
      </c>
      <c r="AT62" s="170">
        <v>0</v>
      </c>
      <c r="AU62" s="170">
        <v>0</v>
      </c>
      <c r="AV62" s="170">
        <v>0</v>
      </c>
      <c r="AW62" s="170">
        <v>0</v>
      </c>
      <c r="AX62" s="170">
        <v>0</v>
      </c>
      <c r="AY62" s="170">
        <v>0</v>
      </c>
      <c r="AZ62" s="170">
        <v>0</v>
      </c>
      <c r="BA62" s="170">
        <v>0</v>
      </c>
      <c r="BB62" s="170" t="s">
        <v>202</v>
      </c>
      <c r="BC62" s="170" t="s">
        <v>202</v>
      </c>
      <c r="BD62" s="170">
        <v>0</v>
      </c>
      <c r="BE62" s="170">
        <v>0</v>
      </c>
      <c r="BF62" s="170">
        <v>0</v>
      </c>
      <c r="BG62" s="170">
        <v>0</v>
      </c>
      <c r="BH62" s="170">
        <v>0</v>
      </c>
      <c r="BI62" s="170">
        <v>0</v>
      </c>
      <c r="BJ62" s="170">
        <v>0</v>
      </c>
      <c r="BK62" s="170">
        <v>0</v>
      </c>
      <c r="BL62" s="170">
        <v>3486752</v>
      </c>
      <c r="BM62" s="170" t="s">
        <v>345</v>
      </c>
      <c r="BN62" s="170">
        <v>0</v>
      </c>
      <c r="BO62" s="170" t="b">
        <v>0</v>
      </c>
      <c r="BP62" s="170">
        <v>0</v>
      </c>
      <c r="BQ62" s="171">
        <v>0</v>
      </c>
      <c r="BR62" s="171">
        <v>0</v>
      </c>
      <c r="BS62" s="177">
        <v>73</v>
      </c>
      <c r="BT62" s="171">
        <v>0</v>
      </c>
      <c r="BU62" s="235">
        <v>0</v>
      </c>
      <c r="BV62" s="171">
        <v>134</v>
      </c>
      <c r="BW62" s="178">
        <v>0</v>
      </c>
      <c r="BX62" s="178">
        <v>0</v>
      </c>
      <c r="BY62" s="170">
        <v>0</v>
      </c>
      <c r="BZ62" s="170">
        <v>0</v>
      </c>
      <c r="CA62" s="170">
        <v>0</v>
      </c>
      <c r="CB62" s="170">
        <v>3486752</v>
      </c>
      <c r="CC62" s="170">
        <v>0</v>
      </c>
      <c r="CD62" s="170">
        <v>0</v>
      </c>
      <c r="CE62" s="170">
        <v>0</v>
      </c>
      <c r="CF62" s="170">
        <v>0</v>
      </c>
      <c r="CG62" s="170">
        <v>0</v>
      </c>
      <c r="CH62" s="170">
        <v>0</v>
      </c>
      <c r="CI62" s="170">
        <v>0</v>
      </c>
      <c r="CJ62" s="170">
        <v>0</v>
      </c>
      <c r="CK62" s="171">
        <v>0</v>
      </c>
      <c r="CL62" s="171">
        <v>0</v>
      </c>
    </row>
    <row r="63" spans="1:90" s="193" customFormat="1" ht="20.100000000000001" customHeight="1" outlineLevel="2" x14ac:dyDescent="0.25">
      <c r="A63" s="180" t="s">
        <v>442</v>
      </c>
      <c r="B63" s="180"/>
      <c r="C63" s="180"/>
      <c r="D63" s="180"/>
      <c r="E63" s="180"/>
      <c r="F63" s="180"/>
      <c r="G63" s="180"/>
      <c r="H63" s="180"/>
      <c r="I63" s="181"/>
      <c r="J63" s="182"/>
      <c r="K63" s="183"/>
      <c r="L63" s="185"/>
      <c r="M63" s="185"/>
      <c r="N63" s="185"/>
      <c r="O63" s="184"/>
      <c r="P63" s="185"/>
      <c r="Q63" s="185"/>
      <c r="R63" s="187">
        <v>0</v>
      </c>
      <c r="S63" s="187">
        <v>0</v>
      </c>
      <c r="T63" s="187">
        <v>0</v>
      </c>
      <c r="U63" s="252">
        <v>3486752</v>
      </c>
      <c r="V63" s="184"/>
      <c r="W63" s="184">
        <v>0</v>
      </c>
      <c r="X63" s="184">
        <v>0</v>
      </c>
      <c r="Y63" s="184">
        <v>0</v>
      </c>
      <c r="Z63" s="184">
        <v>0</v>
      </c>
      <c r="AA63" s="184">
        <v>0</v>
      </c>
      <c r="AB63" s="184">
        <v>0</v>
      </c>
      <c r="AC63" s="252">
        <v>3486752</v>
      </c>
      <c r="AD63" s="184">
        <v>0</v>
      </c>
      <c r="AE63" s="184">
        <v>0</v>
      </c>
      <c r="AF63" s="184">
        <v>0</v>
      </c>
      <c r="AG63" s="184">
        <v>0</v>
      </c>
      <c r="AH63" s="253">
        <v>0</v>
      </c>
      <c r="AI63" s="184">
        <v>0</v>
      </c>
      <c r="AJ63" s="184">
        <v>0</v>
      </c>
      <c r="AK63" s="254">
        <v>0</v>
      </c>
      <c r="AL63" s="188"/>
      <c r="AM63" s="184">
        <v>3486752</v>
      </c>
      <c r="AN63" s="188"/>
      <c r="AO63" s="188"/>
      <c r="AP63" s="184">
        <v>3486752</v>
      </c>
      <c r="AQ63" s="189"/>
      <c r="AR63" s="184"/>
      <c r="AS63" s="184"/>
      <c r="AT63" s="184">
        <v>0</v>
      </c>
      <c r="AU63" s="184">
        <v>0</v>
      </c>
      <c r="AV63" s="184">
        <v>0</v>
      </c>
      <c r="AW63" s="184">
        <v>0</v>
      </c>
      <c r="AX63" s="184">
        <v>0</v>
      </c>
      <c r="AY63" s="184">
        <v>0</v>
      </c>
      <c r="AZ63" s="184">
        <v>0</v>
      </c>
      <c r="BA63" s="184">
        <v>0</v>
      </c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5"/>
      <c r="BR63" s="185"/>
      <c r="BS63" s="191"/>
      <c r="BT63" s="185"/>
      <c r="BU63" s="228"/>
      <c r="BV63" s="185"/>
      <c r="BW63" s="192"/>
      <c r="BX63" s="192"/>
      <c r="BY63" s="184"/>
      <c r="BZ63" s="184"/>
      <c r="CA63" s="184">
        <v>0</v>
      </c>
      <c r="CB63" s="184"/>
      <c r="CC63" s="184"/>
      <c r="CD63" s="184"/>
      <c r="CE63" s="184"/>
      <c r="CF63" s="184"/>
      <c r="CG63" s="184"/>
      <c r="CH63" s="184"/>
      <c r="CI63" s="184"/>
      <c r="CJ63" s="184"/>
      <c r="CK63" s="185"/>
      <c r="CL63" s="185"/>
    </row>
    <row r="64" spans="1:90" outlineLevel="3" x14ac:dyDescent="0.25">
      <c r="A64" s="141" t="s">
        <v>443</v>
      </c>
      <c r="B64" s="141" t="s">
        <v>422</v>
      </c>
      <c r="C64" s="141" t="s">
        <v>416</v>
      </c>
      <c r="D64" s="141" t="s">
        <v>417</v>
      </c>
      <c r="E64" s="141" t="s">
        <v>220</v>
      </c>
      <c r="F64" s="141" t="s">
        <v>444</v>
      </c>
      <c r="G64" s="141" t="s">
        <v>423</v>
      </c>
      <c r="H64" s="141" t="s">
        <v>379</v>
      </c>
      <c r="I64" s="167" t="s">
        <v>379</v>
      </c>
      <c r="J64" s="169">
        <v>156250</v>
      </c>
      <c r="K64" s="169">
        <v>156250</v>
      </c>
      <c r="L64" s="171">
        <v>1.5118431543223962E-2</v>
      </c>
      <c r="M64" s="171">
        <v>0</v>
      </c>
      <c r="N64" s="171">
        <v>0.94857556936450549</v>
      </c>
      <c r="O64" s="170">
        <v>5.6890813099384818</v>
      </c>
      <c r="P64" s="171">
        <v>6.1581972684112198</v>
      </c>
      <c r="Q64" s="171">
        <v>-0.46911595847273801</v>
      </c>
      <c r="R64" s="173" t="s">
        <v>445</v>
      </c>
      <c r="S64" s="173">
        <v>0</v>
      </c>
      <c r="T64" s="173">
        <v>0</v>
      </c>
      <c r="U64" s="249">
        <v>888918.95467788784</v>
      </c>
      <c r="V64" s="170" t="s">
        <v>344</v>
      </c>
      <c r="W64" s="170">
        <v>0</v>
      </c>
      <c r="X64" s="170">
        <v>0</v>
      </c>
      <c r="Y64" s="170">
        <v>0</v>
      </c>
      <c r="Z64" s="170">
        <v>0</v>
      </c>
      <c r="AA64" s="170">
        <v>0</v>
      </c>
      <c r="AB64" s="170">
        <v>0</v>
      </c>
      <c r="AC64" s="249">
        <v>962218.3231892531</v>
      </c>
      <c r="AD64" s="170">
        <v>-73299.368511365261</v>
      </c>
      <c r="AE64" s="170">
        <v>0</v>
      </c>
      <c r="AF64" s="170">
        <v>73299.368511365261</v>
      </c>
      <c r="AG64" s="170">
        <v>0</v>
      </c>
      <c r="AH64" s="250">
        <v>-822949.43350625981</v>
      </c>
      <c r="AI64" s="170">
        <v>0</v>
      </c>
      <c r="AJ64" s="170">
        <v>-233387.38813240803</v>
      </c>
      <c r="AK64" s="251">
        <v>-1056336.821638668</v>
      </c>
      <c r="AL64" s="174">
        <v>0</v>
      </c>
      <c r="AM64" s="170">
        <v>1711868.3881841477</v>
      </c>
      <c r="AN64" s="174">
        <v>0</v>
      </c>
      <c r="AO64" s="174">
        <v>20669.73062550151</v>
      </c>
      <c r="AP64" s="170">
        <v>1711868.3881841477</v>
      </c>
      <c r="AQ64" s="175">
        <v>1</v>
      </c>
      <c r="AR64" s="170">
        <v>1296880.6612405349</v>
      </c>
      <c r="AS64" s="170">
        <v>8.75</v>
      </c>
      <c r="AT64" s="170">
        <v>101318.06915499701</v>
      </c>
      <c r="AU64" s="170">
        <v>0</v>
      </c>
      <c r="AV64" s="170">
        <v>-101318.06915499701</v>
      </c>
      <c r="AW64" s="170">
        <v>0</v>
      </c>
      <c r="AX64" s="170">
        <v>233387.38813240768</v>
      </c>
      <c r="AY64" s="170">
        <v>0</v>
      </c>
      <c r="AZ64" s="170">
        <v>-233387.38813240803</v>
      </c>
      <c r="BA64" s="170">
        <v>0</v>
      </c>
      <c r="BB64" s="170">
        <v>8.75</v>
      </c>
      <c r="BC64" s="170">
        <v>9.25</v>
      </c>
      <c r="BD64" s="170">
        <v>174617.43766636227</v>
      </c>
      <c r="BE64" s="170">
        <v>0</v>
      </c>
      <c r="BF64" s="170">
        <v>-174617.43766636227</v>
      </c>
      <c r="BG64" s="170">
        <v>0</v>
      </c>
      <c r="BH64" s="170">
        <v>306686.75664377294</v>
      </c>
      <c r="BI64" s="170">
        <v>0</v>
      </c>
      <c r="BJ64" s="170">
        <v>-306686.75664377329</v>
      </c>
      <c r="BK64" s="170">
        <v>0</v>
      </c>
      <c r="BL64" s="170">
        <v>1711868.3881841477</v>
      </c>
      <c r="BM64" s="170" t="s">
        <v>352</v>
      </c>
      <c r="BN64" s="170">
        <v>0</v>
      </c>
      <c r="BO64" s="170" t="b">
        <v>0</v>
      </c>
      <c r="BP64" s="170">
        <v>-306686.75664377329</v>
      </c>
      <c r="BQ64" s="171">
        <v>0</v>
      </c>
      <c r="BR64" s="171">
        <v>0</v>
      </c>
      <c r="BS64" s="177">
        <v>74</v>
      </c>
      <c r="BT64" s="171">
        <v>0</v>
      </c>
      <c r="BU64" s="235">
        <v>148214.93271320398</v>
      </c>
      <c r="BV64" s="171">
        <v>142</v>
      </c>
      <c r="BW64" s="178">
        <v>8.75</v>
      </c>
      <c r="BX64" s="178">
        <v>8.75</v>
      </c>
      <c r="BY64" s="170">
        <v>0</v>
      </c>
      <c r="BZ64" s="170">
        <v>0</v>
      </c>
      <c r="CA64" s="170">
        <v>0</v>
      </c>
      <c r="CB64" s="170">
        <v>655531.56654548016</v>
      </c>
      <c r="CC64" s="170">
        <v>0</v>
      </c>
      <c r="CD64" s="170">
        <v>0</v>
      </c>
      <c r="CE64" s="170">
        <v>0</v>
      </c>
      <c r="CF64" s="170">
        <v>0</v>
      </c>
      <c r="CG64" s="170">
        <v>-749650.06499489455</v>
      </c>
      <c r="CH64" s="170">
        <v>0</v>
      </c>
      <c r="CI64" s="170">
        <v>-306686.75664377329</v>
      </c>
      <c r="CJ64" s="170">
        <v>-1056336.821638668</v>
      </c>
      <c r="CK64" s="171">
        <v>0</v>
      </c>
      <c r="CL64" s="171">
        <v>0</v>
      </c>
    </row>
    <row r="65" spans="1:90" outlineLevel="3" x14ac:dyDescent="0.25">
      <c r="A65" s="141" t="s">
        <v>443</v>
      </c>
      <c r="B65" s="141" t="s">
        <v>422</v>
      </c>
      <c r="C65" s="141" t="s">
        <v>416</v>
      </c>
      <c r="D65" s="141" t="s">
        <v>417</v>
      </c>
      <c r="E65" s="141" t="s">
        <v>221</v>
      </c>
      <c r="F65" s="141" t="s">
        <v>377</v>
      </c>
      <c r="G65" s="141" t="s">
        <v>423</v>
      </c>
      <c r="H65" s="141" t="s">
        <v>379</v>
      </c>
      <c r="I65" s="167" t="s">
        <v>379</v>
      </c>
      <c r="J65" s="169">
        <v>78000</v>
      </c>
      <c r="K65" s="169">
        <v>78000</v>
      </c>
      <c r="L65" s="171">
        <v>3.4463695377512885E-2</v>
      </c>
      <c r="M65" s="171">
        <v>0.5</v>
      </c>
      <c r="N65" s="171">
        <v>0.34421386510018576</v>
      </c>
      <c r="O65" s="170">
        <v>1.7533046970361272</v>
      </c>
      <c r="P65" s="171">
        <v>1.5817003697159118</v>
      </c>
      <c r="Q65" s="171">
        <v>0.17160432732021547</v>
      </c>
      <c r="R65" s="173" t="s">
        <v>446</v>
      </c>
      <c r="S65" s="173">
        <v>0</v>
      </c>
      <c r="T65" s="173">
        <v>0</v>
      </c>
      <c r="U65" s="249">
        <v>136757.76636881792</v>
      </c>
      <c r="V65" s="170" t="s">
        <v>344</v>
      </c>
      <c r="W65" s="170">
        <v>203882.17497215376</v>
      </c>
      <c r="X65" s="170">
        <v>0</v>
      </c>
      <c r="Y65" s="170">
        <v>203882.17497215376</v>
      </c>
      <c r="Z65" s="170">
        <v>0</v>
      </c>
      <c r="AA65" s="170">
        <v>0</v>
      </c>
      <c r="AB65" s="170">
        <v>0</v>
      </c>
      <c r="AC65" s="249">
        <v>123372.62883784111</v>
      </c>
      <c r="AD65" s="170">
        <v>13385.137530976805</v>
      </c>
      <c r="AE65" s="170">
        <v>0</v>
      </c>
      <c r="AF65" s="170">
        <v>-13385.137530976805</v>
      </c>
      <c r="AG65" s="170">
        <v>0</v>
      </c>
      <c r="AH65" s="250">
        <v>-4222.941317295481</v>
      </c>
      <c r="AI65" s="170">
        <v>0</v>
      </c>
      <c r="AJ65" s="170">
        <v>-44820.708167985846</v>
      </c>
      <c r="AK65" s="251">
        <v>-49043.649485281327</v>
      </c>
      <c r="AL65" s="174">
        <v>0</v>
      </c>
      <c r="AM65" s="170">
        <v>140980.7076861134</v>
      </c>
      <c r="AN65" s="174">
        <v>0</v>
      </c>
      <c r="AO65" s="174">
        <v>40826.555136586197</v>
      </c>
      <c r="AP65" s="170">
        <v>140980.7076861134</v>
      </c>
      <c r="AQ65" s="175">
        <v>1</v>
      </c>
      <c r="AR65" s="170">
        <v>407764.34994430753</v>
      </c>
      <c r="AS65" s="170">
        <v>15.1875</v>
      </c>
      <c r="AT65" s="170">
        <v>10213.38517855457</v>
      </c>
      <c r="AU65" s="170">
        <v>0</v>
      </c>
      <c r="AV65" s="170">
        <v>-10213.38517855457</v>
      </c>
      <c r="AW65" s="170">
        <v>0</v>
      </c>
      <c r="AX65" s="170">
        <v>44820.708167985809</v>
      </c>
      <c r="AY65" s="170">
        <v>0</v>
      </c>
      <c r="AZ65" s="170">
        <v>-44820.708167985846</v>
      </c>
      <c r="BA65" s="170">
        <v>0</v>
      </c>
      <c r="BB65" s="170">
        <v>15.1875</v>
      </c>
      <c r="BC65" s="170">
        <v>14.6875</v>
      </c>
      <c r="BD65" s="170">
        <v>-3171.7523524222343</v>
      </c>
      <c r="BE65" s="170">
        <v>0</v>
      </c>
      <c r="BF65" s="170">
        <v>3171.7523524222343</v>
      </c>
      <c r="BG65" s="170">
        <v>0</v>
      </c>
      <c r="BH65" s="170">
        <v>31435.570637009005</v>
      </c>
      <c r="BI65" s="170">
        <v>0</v>
      </c>
      <c r="BJ65" s="170">
        <v>-31435.570637009041</v>
      </c>
      <c r="BK65" s="170">
        <v>0</v>
      </c>
      <c r="BL65" s="170">
        <v>140980.7076861134</v>
      </c>
      <c r="BM65" s="170" t="s">
        <v>352</v>
      </c>
      <c r="BN65" s="170">
        <v>0</v>
      </c>
      <c r="BO65" s="170" t="b">
        <v>0</v>
      </c>
      <c r="BP65" s="170">
        <v>-31435.570637009041</v>
      </c>
      <c r="BQ65" s="171">
        <v>0</v>
      </c>
      <c r="BR65" s="171">
        <v>0</v>
      </c>
      <c r="BS65" s="177">
        <v>74</v>
      </c>
      <c r="BT65" s="171">
        <v>0</v>
      </c>
      <c r="BU65" s="235">
        <v>26848.681477814491</v>
      </c>
      <c r="BV65" s="171">
        <v>146</v>
      </c>
      <c r="BW65" s="178">
        <v>15.1875</v>
      </c>
      <c r="BX65" s="178">
        <v>15.1875</v>
      </c>
      <c r="BY65" s="170">
        <v>0</v>
      </c>
      <c r="BZ65" s="170">
        <v>0</v>
      </c>
      <c r="CA65" s="170">
        <v>0</v>
      </c>
      <c r="CB65" s="170">
        <v>91937.058200832107</v>
      </c>
      <c r="CC65" s="170">
        <v>0</v>
      </c>
      <c r="CD65" s="170">
        <v>0</v>
      </c>
      <c r="CE65" s="170">
        <v>0</v>
      </c>
      <c r="CF65" s="170">
        <v>0</v>
      </c>
      <c r="CG65" s="170">
        <v>-17608.078848272286</v>
      </c>
      <c r="CH65" s="170">
        <v>0</v>
      </c>
      <c r="CI65" s="170">
        <v>-31435.570637009041</v>
      </c>
      <c r="CJ65" s="170">
        <v>-49043.649485281327</v>
      </c>
      <c r="CK65" s="171">
        <v>0.5</v>
      </c>
      <c r="CL65" s="171">
        <v>0</v>
      </c>
    </row>
    <row r="66" spans="1:90" outlineLevel="3" x14ac:dyDescent="0.25">
      <c r="A66" s="141" t="s">
        <v>443</v>
      </c>
      <c r="B66" s="141" t="s">
        <v>422</v>
      </c>
      <c r="C66" s="141" t="s">
        <v>416</v>
      </c>
      <c r="D66" s="141" t="s">
        <v>417</v>
      </c>
      <c r="E66" s="141" t="s">
        <v>222</v>
      </c>
      <c r="F66" s="141" t="s">
        <v>427</v>
      </c>
      <c r="G66" s="141" t="s">
        <v>423</v>
      </c>
      <c r="H66" s="141" t="s">
        <v>379</v>
      </c>
      <c r="I66" s="167" t="s">
        <v>379</v>
      </c>
      <c r="J66" s="169">
        <v>625000</v>
      </c>
      <c r="K66" s="169">
        <v>625000</v>
      </c>
      <c r="L66" s="171">
        <v>0.13928562747405149</v>
      </c>
      <c r="M66" s="171">
        <v>0.5</v>
      </c>
      <c r="N66" s="171">
        <v>0.71584022578764661</v>
      </c>
      <c r="O66" s="170">
        <v>0</v>
      </c>
      <c r="P66" s="171">
        <v>0</v>
      </c>
      <c r="Q66" s="171">
        <v>0</v>
      </c>
      <c r="R66" s="173" t="s">
        <v>447</v>
      </c>
      <c r="S66" s="173">
        <v>0</v>
      </c>
      <c r="T66" s="173">
        <v>0</v>
      </c>
      <c r="U66" s="249">
        <v>0</v>
      </c>
      <c r="V66" s="170" t="s">
        <v>344</v>
      </c>
      <c r="W66" s="170">
        <v>489343.90434702404</v>
      </c>
      <c r="X66" s="170">
        <v>0</v>
      </c>
      <c r="Y66" s="170">
        <v>489343.90434702404</v>
      </c>
      <c r="Z66" s="170">
        <v>0</v>
      </c>
      <c r="AA66" s="170">
        <v>0</v>
      </c>
      <c r="AB66" s="170">
        <v>0</v>
      </c>
      <c r="AC66" s="249">
        <v>0</v>
      </c>
      <c r="AD66" s="170">
        <v>0</v>
      </c>
      <c r="AE66" s="170">
        <v>0</v>
      </c>
      <c r="AF66" s="170">
        <v>0</v>
      </c>
      <c r="AG66" s="170">
        <v>0</v>
      </c>
      <c r="AH66" s="250">
        <v>0</v>
      </c>
      <c r="AI66" s="170">
        <v>0</v>
      </c>
      <c r="AJ66" s="170">
        <v>0</v>
      </c>
      <c r="AK66" s="251">
        <v>0</v>
      </c>
      <c r="AL66" s="174">
        <v>0</v>
      </c>
      <c r="AM66" s="170">
        <v>0</v>
      </c>
      <c r="AN66" s="174">
        <v>0</v>
      </c>
      <c r="AO66" s="174">
        <v>190429.56881217976</v>
      </c>
      <c r="AP66" s="170">
        <v>0</v>
      </c>
      <c r="AQ66" s="175">
        <v>1</v>
      </c>
      <c r="AR66" s="170">
        <v>978687.80869404809</v>
      </c>
      <c r="AS66" s="170">
        <v>2.1875</v>
      </c>
      <c r="AT66" s="170">
        <v>0</v>
      </c>
      <c r="AU66" s="170">
        <v>0</v>
      </c>
      <c r="AV66" s="170">
        <v>0</v>
      </c>
      <c r="AW66" s="170">
        <v>0</v>
      </c>
      <c r="AX66" s="170">
        <v>0</v>
      </c>
      <c r="AY66" s="170">
        <v>0</v>
      </c>
      <c r="AZ66" s="170">
        <v>0</v>
      </c>
      <c r="BA66" s="170">
        <v>0</v>
      </c>
      <c r="BB66" s="170">
        <v>4.3125</v>
      </c>
      <c r="BC66" s="170">
        <v>3.625</v>
      </c>
      <c r="BD66" s="170">
        <v>0</v>
      </c>
      <c r="BE66" s="170">
        <v>0</v>
      </c>
      <c r="BF66" s="170">
        <v>0</v>
      </c>
      <c r="BG66" s="170">
        <v>0</v>
      </c>
      <c r="BH66" s="170">
        <v>0</v>
      </c>
      <c r="BI66" s="170">
        <v>0</v>
      </c>
      <c r="BJ66" s="170">
        <v>0</v>
      </c>
      <c r="BK66" s="170">
        <v>0</v>
      </c>
      <c r="BL66" s="170">
        <v>0</v>
      </c>
      <c r="BM66" s="170" t="s">
        <v>352</v>
      </c>
      <c r="BN66" s="170">
        <v>0</v>
      </c>
      <c r="BO66" s="170" t="b">
        <v>0</v>
      </c>
      <c r="BP66" s="170">
        <v>0</v>
      </c>
      <c r="BQ66" s="171">
        <v>0</v>
      </c>
      <c r="BR66" s="171">
        <v>0</v>
      </c>
      <c r="BS66" s="177">
        <v>74</v>
      </c>
      <c r="BT66" s="171">
        <v>0</v>
      </c>
      <c r="BU66" s="235">
        <v>447400.14111727913</v>
      </c>
      <c r="BV66" s="171">
        <v>148</v>
      </c>
      <c r="BW66" s="178">
        <v>4.3125</v>
      </c>
      <c r="BX66" s="178">
        <v>4.3125</v>
      </c>
      <c r="BY66" s="170">
        <v>0</v>
      </c>
      <c r="BZ66" s="170">
        <v>0</v>
      </c>
      <c r="CA66" s="170">
        <v>0</v>
      </c>
      <c r="CB66" s="170">
        <v>0</v>
      </c>
      <c r="CC66" s="170">
        <v>0</v>
      </c>
      <c r="CD66" s="170">
        <v>0</v>
      </c>
      <c r="CE66" s="170">
        <v>0</v>
      </c>
      <c r="CF66" s="170">
        <v>0</v>
      </c>
      <c r="CG66" s="170">
        <v>0</v>
      </c>
      <c r="CH66" s="170">
        <v>0</v>
      </c>
      <c r="CI66" s="170">
        <v>0</v>
      </c>
      <c r="CJ66" s="170">
        <v>0</v>
      </c>
      <c r="CK66" s="171">
        <v>0.5</v>
      </c>
      <c r="CL66" s="171">
        <v>0</v>
      </c>
    </row>
    <row r="67" spans="1:90" s="193" customFormat="1" ht="20.100000000000001" customHeight="1" outlineLevel="2" x14ac:dyDescent="0.25">
      <c r="A67" s="180" t="s">
        <v>448</v>
      </c>
      <c r="B67" s="180"/>
      <c r="C67" s="180"/>
      <c r="D67" s="180"/>
      <c r="E67" s="180"/>
      <c r="F67" s="180"/>
      <c r="G67" s="180"/>
      <c r="H67" s="180"/>
      <c r="I67" s="181"/>
      <c r="J67" s="183"/>
      <c r="K67" s="183"/>
      <c r="L67" s="185"/>
      <c r="M67" s="185"/>
      <c r="N67" s="185"/>
      <c r="O67" s="184"/>
      <c r="P67" s="185"/>
      <c r="Q67" s="185"/>
      <c r="R67" s="187">
        <v>0</v>
      </c>
      <c r="S67" s="187">
        <v>0</v>
      </c>
      <c r="T67" s="187">
        <v>0</v>
      </c>
      <c r="U67" s="252">
        <v>1025676.7210467057</v>
      </c>
      <c r="V67" s="184"/>
      <c r="W67" s="184">
        <v>693226.07931917778</v>
      </c>
      <c r="X67" s="184">
        <v>0</v>
      </c>
      <c r="Y67" s="184">
        <v>693226.07931917778</v>
      </c>
      <c r="Z67" s="184">
        <v>0</v>
      </c>
      <c r="AA67" s="184">
        <v>0</v>
      </c>
      <c r="AB67" s="184">
        <v>0</v>
      </c>
      <c r="AC67" s="252">
        <v>1085590.9520270943</v>
      </c>
      <c r="AD67" s="184">
        <v>-59914.230980388456</v>
      </c>
      <c r="AE67" s="184">
        <v>0</v>
      </c>
      <c r="AF67" s="184">
        <v>59914.230980388456</v>
      </c>
      <c r="AG67" s="184">
        <v>0</v>
      </c>
      <c r="AH67" s="253">
        <v>-827172.37482355535</v>
      </c>
      <c r="AI67" s="184">
        <v>0</v>
      </c>
      <c r="AJ67" s="184">
        <v>-278208.09630039387</v>
      </c>
      <c r="AK67" s="254">
        <v>-1105380.4711239494</v>
      </c>
      <c r="AL67" s="188"/>
      <c r="AM67" s="184">
        <v>1852849.0958702611</v>
      </c>
      <c r="AN67" s="188"/>
      <c r="AO67" s="188"/>
      <c r="AP67" s="184">
        <v>1852849.0958702611</v>
      </c>
      <c r="AQ67" s="189"/>
      <c r="AR67" s="184"/>
      <c r="AS67" s="184"/>
      <c r="AT67" s="184">
        <v>111531.45433355158</v>
      </c>
      <c r="AU67" s="184">
        <v>0</v>
      </c>
      <c r="AV67" s="184">
        <v>-111531.45433355158</v>
      </c>
      <c r="AW67" s="184">
        <v>0</v>
      </c>
      <c r="AX67" s="184">
        <v>278208.09630039346</v>
      </c>
      <c r="AY67" s="184">
        <v>0</v>
      </c>
      <c r="AZ67" s="184">
        <v>-278208.09630039387</v>
      </c>
      <c r="BA67" s="184">
        <v>0</v>
      </c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5"/>
      <c r="BR67" s="185"/>
      <c r="BS67" s="191"/>
      <c r="BT67" s="185"/>
      <c r="BU67" s="228"/>
      <c r="BV67" s="185"/>
      <c r="BW67" s="192"/>
      <c r="BX67" s="192"/>
      <c r="BY67" s="184"/>
      <c r="BZ67" s="184"/>
      <c r="CA67" s="184">
        <v>0</v>
      </c>
      <c r="CB67" s="184"/>
      <c r="CC67" s="184"/>
      <c r="CD67" s="184"/>
      <c r="CE67" s="184"/>
      <c r="CF67" s="184"/>
      <c r="CG67" s="184"/>
      <c r="CH67" s="184"/>
      <c r="CI67" s="184"/>
      <c r="CJ67" s="184"/>
      <c r="CK67" s="185"/>
      <c r="CL67" s="185"/>
    </row>
    <row r="68" spans="1:90" s="204" customFormat="1" ht="30" customHeight="1" outlineLevel="1" x14ac:dyDescent="0.25">
      <c r="A68" s="180"/>
      <c r="B68" s="180" t="s">
        <v>449</v>
      </c>
      <c r="C68" s="180"/>
      <c r="D68" s="180"/>
      <c r="E68" s="180"/>
      <c r="F68" s="180"/>
      <c r="G68" s="180"/>
      <c r="H68" s="180"/>
      <c r="I68" s="181"/>
      <c r="J68" s="194"/>
      <c r="K68" s="194"/>
      <c r="L68" s="196"/>
      <c r="M68" s="196"/>
      <c r="N68" s="196"/>
      <c r="O68" s="195"/>
      <c r="P68" s="196"/>
      <c r="Q68" s="196"/>
      <c r="R68" s="198">
        <v>0</v>
      </c>
      <c r="S68" s="198">
        <v>0</v>
      </c>
      <c r="T68" s="198">
        <v>0</v>
      </c>
      <c r="U68" s="255">
        <v>47726126.161046706</v>
      </c>
      <c r="V68" s="195"/>
      <c r="W68" s="195">
        <v>12447183.579319177</v>
      </c>
      <c r="X68" s="195">
        <v>0</v>
      </c>
      <c r="Y68" s="195">
        <v>12447183.579319177</v>
      </c>
      <c r="Z68" s="195">
        <v>0</v>
      </c>
      <c r="AA68" s="195">
        <v>0</v>
      </c>
      <c r="AB68" s="195">
        <v>0</v>
      </c>
      <c r="AC68" s="255">
        <v>47786040.392027088</v>
      </c>
      <c r="AD68" s="195">
        <v>-59914.230980388456</v>
      </c>
      <c r="AE68" s="195">
        <v>0</v>
      </c>
      <c r="AF68" s="195">
        <v>59914.230980388456</v>
      </c>
      <c r="AG68" s="195">
        <v>0</v>
      </c>
      <c r="AH68" s="256">
        <v>-907564.8408235542</v>
      </c>
      <c r="AI68" s="195">
        <v>0</v>
      </c>
      <c r="AJ68" s="195">
        <v>59118.793699606431</v>
      </c>
      <c r="AK68" s="257">
        <v>-848446.04712394846</v>
      </c>
      <c r="AL68" s="199"/>
      <c r="AM68" s="195">
        <v>68002861.171870261</v>
      </c>
      <c r="AN68" s="199"/>
      <c r="AO68" s="199"/>
      <c r="AP68" s="195">
        <v>53329592.511870258</v>
      </c>
      <c r="AQ68" s="200"/>
      <c r="AR68" s="195"/>
      <c r="AS68" s="195"/>
      <c r="AT68" s="195">
        <v>-568250.73816644819</v>
      </c>
      <c r="AU68" s="195">
        <v>0</v>
      </c>
      <c r="AV68" s="195">
        <v>568250.73816644819</v>
      </c>
      <c r="AW68" s="195">
        <v>0</v>
      </c>
      <c r="AX68" s="195">
        <v>-59118.793699606817</v>
      </c>
      <c r="AY68" s="195">
        <v>0</v>
      </c>
      <c r="AZ68" s="195">
        <v>59118.793699606431</v>
      </c>
      <c r="BA68" s="195">
        <v>0</v>
      </c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6"/>
      <c r="BR68" s="196"/>
      <c r="BS68" s="202"/>
      <c r="BT68" s="196"/>
      <c r="BU68" s="229"/>
      <c r="BV68" s="196"/>
      <c r="BW68" s="203"/>
      <c r="BX68" s="203"/>
      <c r="BY68" s="195"/>
      <c r="BZ68" s="195"/>
      <c r="CA68" s="195">
        <v>-19369170.170000002</v>
      </c>
      <c r="CB68" s="195"/>
      <c r="CC68" s="195"/>
      <c r="CD68" s="195"/>
      <c r="CE68" s="195"/>
      <c r="CF68" s="195"/>
      <c r="CG68" s="195"/>
      <c r="CH68" s="195"/>
      <c r="CI68" s="195"/>
      <c r="CJ68" s="195"/>
      <c r="CK68" s="196"/>
      <c r="CL68" s="196"/>
    </row>
    <row r="69" spans="1:90" outlineLevel="3" x14ac:dyDescent="0.25">
      <c r="A69" s="141" t="s">
        <v>421</v>
      </c>
      <c r="B69" s="141" t="s">
        <v>450</v>
      </c>
      <c r="C69" s="141" t="s">
        <v>416</v>
      </c>
      <c r="D69" s="141" t="s">
        <v>417</v>
      </c>
      <c r="E69" s="141" t="s">
        <v>223</v>
      </c>
      <c r="F69" s="141" t="s">
        <v>440</v>
      </c>
      <c r="G69" s="141" t="s">
        <v>566</v>
      </c>
      <c r="H69" s="141" t="s">
        <v>452</v>
      </c>
      <c r="I69" s="167" t="s">
        <v>453</v>
      </c>
      <c r="J69" s="168">
        <v>375000</v>
      </c>
      <c r="K69" s="169">
        <v>375000</v>
      </c>
      <c r="L69" s="171">
        <v>0</v>
      </c>
      <c r="M69" s="171">
        <v>0</v>
      </c>
      <c r="N69" s="171">
        <v>0</v>
      </c>
      <c r="O69" s="170">
        <v>217.85526167999998</v>
      </c>
      <c r="P69" s="172">
        <v>217.85526167999998</v>
      </c>
      <c r="Q69" s="172">
        <v>0</v>
      </c>
      <c r="R69" s="173" t="s">
        <v>454</v>
      </c>
      <c r="S69" s="173">
        <v>0</v>
      </c>
      <c r="T69" s="173">
        <v>0</v>
      </c>
      <c r="U69" s="249">
        <v>81695723.129999995</v>
      </c>
      <c r="V69" s="170" t="s">
        <v>344</v>
      </c>
      <c r="W69" s="170">
        <v>0</v>
      </c>
      <c r="X69" s="170">
        <v>0</v>
      </c>
      <c r="Y69" s="170">
        <v>0</v>
      </c>
      <c r="Z69" s="170">
        <v>0</v>
      </c>
      <c r="AA69" s="170">
        <v>0</v>
      </c>
      <c r="AB69" s="170">
        <v>0</v>
      </c>
      <c r="AC69" s="249">
        <v>81695723.129999995</v>
      </c>
      <c r="AD69" s="170">
        <v>0</v>
      </c>
      <c r="AE69" s="170">
        <v>0</v>
      </c>
      <c r="AF69" s="170">
        <v>0</v>
      </c>
      <c r="AG69" s="170">
        <v>0</v>
      </c>
      <c r="AH69" s="250">
        <v>-792415.3900000006</v>
      </c>
      <c r="AI69" s="170">
        <v>0</v>
      </c>
      <c r="AJ69" s="170">
        <v>792415.3900000006</v>
      </c>
      <c r="AK69" s="251">
        <v>0</v>
      </c>
      <c r="AL69" s="174">
        <v>0</v>
      </c>
      <c r="AM69" s="170">
        <v>81480000</v>
      </c>
      <c r="AN69" s="174">
        <v>0</v>
      </c>
      <c r="AO69" s="171">
        <v>0</v>
      </c>
      <c r="AP69" s="170">
        <v>81695723.129999995</v>
      </c>
      <c r="AQ69" s="175">
        <v>1</v>
      </c>
      <c r="AR69" s="170">
        <v>0</v>
      </c>
      <c r="AS69" s="170">
        <v>217.85526167999998</v>
      </c>
      <c r="AT69" s="170">
        <v>-792415.3900000006</v>
      </c>
      <c r="AU69" s="170">
        <v>0</v>
      </c>
      <c r="AV69" s="170">
        <v>792415.3900000006</v>
      </c>
      <c r="AW69" s="170">
        <v>0</v>
      </c>
      <c r="AX69" s="170">
        <v>-792415.3900000006</v>
      </c>
      <c r="AY69" s="170">
        <v>0</v>
      </c>
      <c r="AZ69" s="170">
        <v>792415.3900000006</v>
      </c>
      <c r="BA69" s="170">
        <v>0</v>
      </c>
      <c r="BB69" s="170" t="s">
        <v>202</v>
      </c>
      <c r="BC69" s="170" t="s">
        <v>202</v>
      </c>
      <c r="BD69" s="170">
        <v>-792415.3900000006</v>
      </c>
      <c r="BE69" s="170">
        <v>0</v>
      </c>
      <c r="BF69" s="170">
        <v>792415.3900000006</v>
      </c>
      <c r="BG69" s="170">
        <v>0</v>
      </c>
      <c r="BH69" s="170">
        <v>-792415.3900000006</v>
      </c>
      <c r="BI69" s="170">
        <v>0</v>
      </c>
      <c r="BJ69" s="170">
        <v>792415.3900000006</v>
      </c>
      <c r="BK69" s="170">
        <v>0</v>
      </c>
      <c r="BL69" s="170">
        <v>81695723.129999995</v>
      </c>
      <c r="BM69" s="170" t="s">
        <v>345</v>
      </c>
      <c r="BN69" s="170">
        <v>0</v>
      </c>
      <c r="BO69" s="170" t="b">
        <v>0</v>
      </c>
      <c r="BP69" s="170">
        <v>792415.3900000006</v>
      </c>
      <c r="BQ69" s="171">
        <v>100</v>
      </c>
      <c r="BR69" s="171">
        <v>37500000</v>
      </c>
      <c r="BS69" s="177">
        <v>72</v>
      </c>
      <c r="BT69" s="171">
        <v>0</v>
      </c>
      <c r="BU69" s="235">
        <v>0</v>
      </c>
      <c r="BV69" s="171">
        <v>124</v>
      </c>
      <c r="BW69" s="178">
        <v>0</v>
      </c>
      <c r="BX69" s="178">
        <v>0</v>
      </c>
      <c r="BY69" s="170">
        <v>0</v>
      </c>
      <c r="BZ69" s="170">
        <v>0</v>
      </c>
      <c r="CA69" s="170">
        <v>1008138.52</v>
      </c>
      <c r="CB69" s="170">
        <v>82488138.519999996</v>
      </c>
      <c r="CC69" s="170">
        <v>0</v>
      </c>
      <c r="CD69" s="170">
        <v>0</v>
      </c>
      <c r="CE69" s="170">
        <v>0</v>
      </c>
      <c r="CF69" s="170">
        <v>0</v>
      </c>
      <c r="CG69" s="170">
        <v>-792415.3900000006</v>
      </c>
      <c r="CH69" s="170">
        <v>0</v>
      </c>
      <c r="CI69" s="170">
        <v>792415.3900000006</v>
      </c>
      <c r="CJ69" s="170">
        <v>0</v>
      </c>
      <c r="CK69" s="171">
        <v>0</v>
      </c>
      <c r="CL69" s="171">
        <v>0</v>
      </c>
    </row>
    <row r="70" spans="1:90" s="193" customFormat="1" ht="20.100000000000001" customHeight="1" outlineLevel="2" x14ac:dyDescent="0.25">
      <c r="A70" s="180" t="s">
        <v>425</v>
      </c>
      <c r="B70" s="180"/>
      <c r="C70" s="180"/>
      <c r="D70" s="180"/>
      <c r="E70" s="180"/>
      <c r="F70" s="180"/>
      <c r="G70" s="180"/>
      <c r="H70" s="180"/>
      <c r="I70" s="181"/>
      <c r="J70" s="182"/>
      <c r="K70" s="183"/>
      <c r="L70" s="185"/>
      <c r="M70" s="185"/>
      <c r="N70" s="185"/>
      <c r="O70" s="184"/>
      <c r="P70" s="186"/>
      <c r="Q70" s="186"/>
      <c r="R70" s="187">
        <v>0</v>
      </c>
      <c r="S70" s="187">
        <v>0</v>
      </c>
      <c r="T70" s="187">
        <v>0</v>
      </c>
      <c r="U70" s="252">
        <v>81695723.129999995</v>
      </c>
      <c r="V70" s="184"/>
      <c r="W70" s="184">
        <v>0</v>
      </c>
      <c r="X70" s="184">
        <v>0</v>
      </c>
      <c r="Y70" s="184">
        <v>0</v>
      </c>
      <c r="Z70" s="184">
        <v>0</v>
      </c>
      <c r="AA70" s="184">
        <v>0</v>
      </c>
      <c r="AB70" s="184">
        <v>0</v>
      </c>
      <c r="AC70" s="252">
        <v>81695723.129999995</v>
      </c>
      <c r="AD70" s="184">
        <v>0</v>
      </c>
      <c r="AE70" s="184">
        <v>0</v>
      </c>
      <c r="AF70" s="184">
        <v>0</v>
      </c>
      <c r="AG70" s="184">
        <v>0</v>
      </c>
      <c r="AH70" s="253">
        <v>-792415.3900000006</v>
      </c>
      <c r="AI70" s="184">
        <v>0</v>
      </c>
      <c r="AJ70" s="184">
        <v>792415.3900000006</v>
      </c>
      <c r="AK70" s="254">
        <v>0</v>
      </c>
      <c r="AL70" s="188"/>
      <c r="AM70" s="184">
        <v>81480000</v>
      </c>
      <c r="AN70" s="188"/>
      <c r="AO70" s="185"/>
      <c r="AP70" s="184">
        <v>81695723.129999995</v>
      </c>
      <c r="AQ70" s="189"/>
      <c r="AR70" s="184"/>
      <c r="AS70" s="184"/>
      <c r="AT70" s="184">
        <v>-792415.3900000006</v>
      </c>
      <c r="AU70" s="184">
        <v>0</v>
      </c>
      <c r="AV70" s="184">
        <v>792415.3900000006</v>
      </c>
      <c r="AW70" s="184">
        <v>0</v>
      </c>
      <c r="AX70" s="184">
        <v>-792415.3900000006</v>
      </c>
      <c r="AY70" s="184">
        <v>0</v>
      </c>
      <c r="AZ70" s="184">
        <v>792415.3900000006</v>
      </c>
      <c r="BA70" s="184">
        <v>0</v>
      </c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5"/>
      <c r="BR70" s="185"/>
      <c r="BS70" s="191"/>
      <c r="BT70" s="185"/>
      <c r="BU70" s="228"/>
      <c r="BV70" s="185"/>
      <c r="BW70" s="192"/>
      <c r="BX70" s="192"/>
      <c r="BY70" s="184"/>
      <c r="BZ70" s="184"/>
      <c r="CA70" s="184">
        <v>1008138.52</v>
      </c>
      <c r="CB70" s="184"/>
      <c r="CC70" s="184"/>
      <c r="CD70" s="184"/>
      <c r="CE70" s="184"/>
      <c r="CF70" s="184"/>
      <c r="CG70" s="184"/>
      <c r="CH70" s="184"/>
      <c r="CI70" s="184"/>
      <c r="CJ70" s="184"/>
      <c r="CK70" s="185"/>
      <c r="CL70" s="185"/>
    </row>
    <row r="71" spans="1:90" outlineLevel="3" x14ac:dyDescent="0.25">
      <c r="A71" s="141" t="s">
        <v>355</v>
      </c>
      <c r="B71" s="141" t="s">
        <v>450</v>
      </c>
      <c r="C71" s="141" t="s">
        <v>416</v>
      </c>
      <c r="D71" s="141" t="s">
        <v>417</v>
      </c>
      <c r="E71" s="141" t="s">
        <v>556</v>
      </c>
      <c r="F71" s="141" t="s">
        <v>202</v>
      </c>
      <c r="G71" s="141" t="s">
        <v>451</v>
      </c>
      <c r="H71" s="141" t="s">
        <v>341</v>
      </c>
      <c r="I71" s="167" t="s">
        <v>361</v>
      </c>
      <c r="J71" s="169">
        <v>1</v>
      </c>
      <c r="K71" s="169">
        <v>1</v>
      </c>
      <c r="L71" s="171">
        <v>0</v>
      </c>
      <c r="M71" s="171">
        <v>0</v>
      </c>
      <c r="N71" s="171">
        <v>0</v>
      </c>
      <c r="O71" s="170">
        <v>1250000</v>
      </c>
      <c r="P71" s="171">
        <v>1250000</v>
      </c>
      <c r="Q71" s="171">
        <v>0</v>
      </c>
      <c r="R71" s="173" t="s">
        <v>455</v>
      </c>
      <c r="S71" s="173">
        <v>0</v>
      </c>
      <c r="T71" s="173">
        <v>0</v>
      </c>
      <c r="U71" s="249">
        <v>1250000</v>
      </c>
      <c r="V71" s="170" t="s">
        <v>344</v>
      </c>
      <c r="W71" s="170">
        <v>0</v>
      </c>
      <c r="X71" s="170">
        <v>0</v>
      </c>
      <c r="Y71" s="170">
        <v>0</v>
      </c>
      <c r="Z71" s="170">
        <v>0</v>
      </c>
      <c r="AA71" s="170">
        <v>0</v>
      </c>
      <c r="AB71" s="170">
        <v>0</v>
      </c>
      <c r="AC71" s="249">
        <v>1250000</v>
      </c>
      <c r="AD71" s="170">
        <v>0</v>
      </c>
      <c r="AE71" s="170">
        <v>0</v>
      </c>
      <c r="AF71" s="170">
        <v>0</v>
      </c>
      <c r="AG71" s="170">
        <v>0</v>
      </c>
      <c r="AH71" s="250">
        <v>0</v>
      </c>
      <c r="AI71" s="170">
        <v>0</v>
      </c>
      <c r="AJ71" s="170">
        <v>0</v>
      </c>
      <c r="AK71" s="251">
        <v>0</v>
      </c>
      <c r="AL71" s="174">
        <v>0</v>
      </c>
      <c r="AM71" s="170">
        <v>1250000</v>
      </c>
      <c r="AN71" s="171">
        <v>0</v>
      </c>
      <c r="AO71" s="174">
        <v>0</v>
      </c>
      <c r="AP71" s="170">
        <v>1250000</v>
      </c>
      <c r="AQ71" s="175">
        <v>1</v>
      </c>
      <c r="AR71" s="170">
        <v>0</v>
      </c>
      <c r="AS71" s="170">
        <v>1250000</v>
      </c>
      <c r="AT71" s="170">
        <v>0</v>
      </c>
      <c r="AU71" s="170">
        <v>0</v>
      </c>
      <c r="AV71" s="170">
        <v>0</v>
      </c>
      <c r="AW71" s="170">
        <v>0</v>
      </c>
      <c r="AX71" s="170">
        <v>0</v>
      </c>
      <c r="AY71" s="170">
        <v>0</v>
      </c>
      <c r="AZ71" s="170">
        <v>0</v>
      </c>
      <c r="BA71" s="170">
        <v>0</v>
      </c>
      <c r="BB71" s="170" t="s">
        <v>202</v>
      </c>
      <c r="BC71" s="170" t="s">
        <v>202</v>
      </c>
      <c r="BD71" s="170">
        <v>0</v>
      </c>
      <c r="BE71" s="170">
        <v>0</v>
      </c>
      <c r="BF71" s="170">
        <v>0</v>
      </c>
      <c r="BG71" s="170">
        <v>0</v>
      </c>
      <c r="BH71" s="170">
        <v>0</v>
      </c>
      <c r="BI71" s="170">
        <v>0</v>
      </c>
      <c r="BJ71" s="170">
        <v>0</v>
      </c>
      <c r="BK71" s="170">
        <v>0</v>
      </c>
      <c r="BL71" s="170">
        <v>1250000</v>
      </c>
      <c r="BM71" s="170" t="s">
        <v>345</v>
      </c>
      <c r="BN71" s="170">
        <v>0</v>
      </c>
      <c r="BO71" s="170" t="b">
        <v>0</v>
      </c>
      <c r="BP71" s="170">
        <v>0</v>
      </c>
      <c r="BQ71" s="172">
        <v>0</v>
      </c>
      <c r="BR71" s="171">
        <v>0</v>
      </c>
      <c r="BS71" s="177">
        <v>77</v>
      </c>
      <c r="BT71" s="171">
        <v>0</v>
      </c>
      <c r="BU71" s="235">
        <v>0</v>
      </c>
      <c r="BV71" s="171">
        <v>194</v>
      </c>
      <c r="BW71" s="178">
        <v>0</v>
      </c>
      <c r="BX71" s="178">
        <v>0</v>
      </c>
      <c r="BY71" s="170">
        <v>0</v>
      </c>
      <c r="BZ71" s="170">
        <v>0</v>
      </c>
      <c r="CA71" s="170">
        <v>0</v>
      </c>
      <c r="CB71" s="170">
        <v>1250000</v>
      </c>
      <c r="CC71" s="170">
        <v>0</v>
      </c>
      <c r="CD71" s="170">
        <v>0</v>
      </c>
      <c r="CE71" s="170">
        <v>0</v>
      </c>
      <c r="CF71" s="170">
        <v>0</v>
      </c>
      <c r="CG71" s="170">
        <v>0</v>
      </c>
      <c r="CH71" s="170">
        <v>0</v>
      </c>
      <c r="CI71" s="170">
        <v>0</v>
      </c>
      <c r="CJ71" s="170">
        <v>0</v>
      </c>
      <c r="CK71" s="171">
        <v>0</v>
      </c>
      <c r="CL71" s="171">
        <v>0</v>
      </c>
    </row>
    <row r="72" spans="1:90" outlineLevel="3" x14ac:dyDescent="0.25">
      <c r="A72" s="141" t="s">
        <v>355</v>
      </c>
      <c r="B72" s="141" t="s">
        <v>450</v>
      </c>
      <c r="C72" s="141" t="s">
        <v>416</v>
      </c>
      <c r="D72" s="141" t="s">
        <v>417</v>
      </c>
      <c r="E72" s="141" t="s">
        <v>224</v>
      </c>
      <c r="F72" s="141" t="s">
        <v>202</v>
      </c>
      <c r="G72" s="141" t="s">
        <v>566</v>
      </c>
      <c r="H72" s="205" t="s">
        <v>360</v>
      </c>
      <c r="I72" s="167" t="s">
        <v>456</v>
      </c>
      <c r="J72" s="169">
        <v>1</v>
      </c>
      <c r="K72" s="169">
        <v>1</v>
      </c>
      <c r="L72" s="171">
        <v>0</v>
      </c>
      <c r="M72" s="171">
        <v>0</v>
      </c>
      <c r="N72" s="171">
        <v>0</v>
      </c>
      <c r="O72" s="170">
        <v>240077.87</v>
      </c>
      <c r="P72" s="171">
        <v>240077.87</v>
      </c>
      <c r="Q72" s="171">
        <v>0</v>
      </c>
      <c r="R72" s="173" t="s">
        <v>457</v>
      </c>
      <c r="S72" s="173">
        <v>0</v>
      </c>
      <c r="T72" s="173">
        <v>0</v>
      </c>
      <c r="U72" s="249">
        <v>240077.87</v>
      </c>
      <c r="V72" s="170" t="s">
        <v>344</v>
      </c>
      <c r="W72" s="170">
        <v>0</v>
      </c>
      <c r="X72" s="170">
        <v>0</v>
      </c>
      <c r="Y72" s="170">
        <v>0</v>
      </c>
      <c r="Z72" s="170">
        <v>0</v>
      </c>
      <c r="AA72" s="170">
        <v>0</v>
      </c>
      <c r="AB72" s="170">
        <v>0</v>
      </c>
      <c r="AC72" s="249">
        <v>240077.87</v>
      </c>
      <c r="AD72" s="170">
        <v>0</v>
      </c>
      <c r="AE72" s="170">
        <v>0</v>
      </c>
      <c r="AF72" s="170">
        <v>0</v>
      </c>
      <c r="AG72" s="170">
        <v>0</v>
      </c>
      <c r="AH72" s="250">
        <v>0</v>
      </c>
      <c r="AI72" s="170">
        <v>0</v>
      </c>
      <c r="AJ72" s="170">
        <v>0</v>
      </c>
      <c r="AK72" s="251">
        <v>0</v>
      </c>
      <c r="AL72" s="174">
        <v>0</v>
      </c>
      <c r="AM72" s="170">
        <v>247725</v>
      </c>
      <c r="AN72" s="171">
        <v>0</v>
      </c>
      <c r="AO72" s="174">
        <v>0</v>
      </c>
      <c r="AP72" s="170">
        <v>247725</v>
      </c>
      <c r="AQ72" s="175">
        <v>1</v>
      </c>
      <c r="AR72" s="170">
        <v>0</v>
      </c>
      <c r="AS72" s="170">
        <v>240077.87</v>
      </c>
      <c r="AT72" s="170">
        <v>0</v>
      </c>
      <c r="AU72" s="170">
        <v>0</v>
      </c>
      <c r="AV72" s="170">
        <v>0</v>
      </c>
      <c r="AW72" s="170">
        <v>0</v>
      </c>
      <c r="AX72" s="170">
        <v>0</v>
      </c>
      <c r="AY72" s="170">
        <v>0</v>
      </c>
      <c r="AZ72" s="170">
        <v>0</v>
      </c>
      <c r="BA72" s="170">
        <v>0</v>
      </c>
      <c r="BB72" s="170" t="s">
        <v>202</v>
      </c>
      <c r="BC72" s="170" t="s">
        <v>202</v>
      </c>
      <c r="BD72" s="170">
        <v>0</v>
      </c>
      <c r="BE72" s="170">
        <v>0</v>
      </c>
      <c r="BF72" s="170">
        <v>0</v>
      </c>
      <c r="BG72" s="170">
        <v>0</v>
      </c>
      <c r="BH72" s="170">
        <v>0</v>
      </c>
      <c r="BI72" s="170">
        <v>0</v>
      </c>
      <c r="BJ72" s="170">
        <v>0</v>
      </c>
      <c r="BK72" s="170">
        <v>0</v>
      </c>
      <c r="BL72" s="170">
        <v>247725</v>
      </c>
      <c r="BM72" s="170" t="s">
        <v>345</v>
      </c>
      <c r="BN72" s="170">
        <v>0</v>
      </c>
      <c r="BO72" s="170" t="b">
        <v>0</v>
      </c>
      <c r="BP72" s="170">
        <v>0</v>
      </c>
      <c r="BQ72" s="171">
        <v>0</v>
      </c>
      <c r="BR72" s="171">
        <v>0</v>
      </c>
      <c r="BS72" s="177">
        <v>77</v>
      </c>
      <c r="BT72" s="171">
        <v>0</v>
      </c>
      <c r="BU72" s="235">
        <v>0</v>
      </c>
      <c r="BV72" s="171">
        <v>199</v>
      </c>
      <c r="BW72" s="178">
        <v>0</v>
      </c>
      <c r="BX72" s="178">
        <v>0</v>
      </c>
      <c r="BY72" s="170">
        <v>0</v>
      </c>
      <c r="BZ72" s="170">
        <v>0</v>
      </c>
      <c r="CA72" s="170">
        <v>-7647.13</v>
      </c>
      <c r="CB72" s="170">
        <v>240077.87</v>
      </c>
      <c r="CC72" s="170">
        <v>0</v>
      </c>
      <c r="CD72" s="170">
        <v>0</v>
      </c>
      <c r="CE72" s="170">
        <v>0</v>
      </c>
      <c r="CF72" s="170">
        <v>0</v>
      </c>
      <c r="CG72" s="170">
        <v>0</v>
      </c>
      <c r="CH72" s="170">
        <v>0</v>
      </c>
      <c r="CI72" s="170">
        <v>0</v>
      </c>
      <c r="CJ72" s="170">
        <v>0</v>
      </c>
      <c r="CK72" s="171">
        <v>0</v>
      </c>
      <c r="CL72" s="171">
        <v>0</v>
      </c>
    </row>
    <row r="73" spans="1:90" outlineLevel="3" x14ac:dyDescent="0.25">
      <c r="A73" s="141" t="s">
        <v>355</v>
      </c>
      <c r="B73" s="141" t="s">
        <v>450</v>
      </c>
      <c r="C73" s="141" t="s">
        <v>416</v>
      </c>
      <c r="D73" s="141" t="s">
        <v>417</v>
      </c>
      <c r="E73" s="141" t="s">
        <v>225</v>
      </c>
      <c r="F73" s="141" t="s">
        <v>202</v>
      </c>
      <c r="G73" s="141" t="s">
        <v>566</v>
      </c>
      <c r="H73" s="205" t="s">
        <v>360</v>
      </c>
      <c r="I73" s="167" t="s">
        <v>456</v>
      </c>
      <c r="J73" s="169">
        <v>1</v>
      </c>
      <c r="K73" s="169">
        <v>1</v>
      </c>
      <c r="L73" s="171">
        <v>0</v>
      </c>
      <c r="M73" s="171">
        <v>0</v>
      </c>
      <c r="N73" s="171">
        <v>0</v>
      </c>
      <c r="O73" s="170">
        <v>1663000</v>
      </c>
      <c r="P73" s="171">
        <v>1663000</v>
      </c>
      <c r="Q73" s="171">
        <v>0</v>
      </c>
      <c r="R73" s="173" t="s">
        <v>458</v>
      </c>
      <c r="S73" s="173">
        <v>0</v>
      </c>
      <c r="T73" s="173">
        <v>0</v>
      </c>
      <c r="U73" s="249">
        <v>1663000</v>
      </c>
      <c r="V73" s="170" t="s">
        <v>344</v>
      </c>
      <c r="W73" s="170">
        <v>0</v>
      </c>
      <c r="X73" s="170">
        <v>0</v>
      </c>
      <c r="Y73" s="170">
        <v>0</v>
      </c>
      <c r="Z73" s="170">
        <v>0</v>
      </c>
      <c r="AA73" s="170">
        <v>0</v>
      </c>
      <c r="AB73" s="170">
        <v>0</v>
      </c>
      <c r="AC73" s="249">
        <v>1663000</v>
      </c>
      <c r="AD73" s="170">
        <v>0</v>
      </c>
      <c r="AE73" s="170">
        <v>0</v>
      </c>
      <c r="AF73" s="170">
        <v>0</v>
      </c>
      <c r="AG73" s="170">
        <v>0</v>
      </c>
      <c r="AH73" s="250">
        <v>0</v>
      </c>
      <c r="AI73" s="170">
        <v>0</v>
      </c>
      <c r="AJ73" s="170">
        <v>0</v>
      </c>
      <c r="AK73" s="251">
        <v>0</v>
      </c>
      <c r="AL73" s="174">
        <v>0</v>
      </c>
      <c r="AM73" s="170">
        <v>1663000</v>
      </c>
      <c r="AN73" s="171">
        <v>0</v>
      </c>
      <c r="AO73" s="174">
        <v>0</v>
      </c>
      <c r="AP73" s="170">
        <v>1663000</v>
      </c>
      <c r="AQ73" s="175">
        <v>1</v>
      </c>
      <c r="AR73" s="170">
        <v>0</v>
      </c>
      <c r="AS73" s="170">
        <v>1663000</v>
      </c>
      <c r="AT73" s="170">
        <v>0</v>
      </c>
      <c r="AU73" s="170">
        <v>0</v>
      </c>
      <c r="AV73" s="170">
        <v>0</v>
      </c>
      <c r="AW73" s="170">
        <v>0</v>
      </c>
      <c r="AX73" s="170">
        <v>0</v>
      </c>
      <c r="AY73" s="170">
        <v>0</v>
      </c>
      <c r="AZ73" s="170">
        <v>0</v>
      </c>
      <c r="BA73" s="170">
        <v>0</v>
      </c>
      <c r="BB73" s="170" t="s">
        <v>202</v>
      </c>
      <c r="BC73" s="170" t="s">
        <v>202</v>
      </c>
      <c r="BD73" s="170">
        <v>0</v>
      </c>
      <c r="BE73" s="170">
        <v>0</v>
      </c>
      <c r="BF73" s="170">
        <v>0</v>
      </c>
      <c r="BG73" s="170">
        <v>0</v>
      </c>
      <c r="BH73" s="170">
        <v>0</v>
      </c>
      <c r="BI73" s="170">
        <v>0</v>
      </c>
      <c r="BJ73" s="170">
        <v>0</v>
      </c>
      <c r="BK73" s="170">
        <v>0</v>
      </c>
      <c r="BL73" s="170">
        <v>1663000</v>
      </c>
      <c r="BM73" s="170" t="s">
        <v>345</v>
      </c>
      <c r="BN73" s="170">
        <v>0</v>
      </c>
      <c r="BO73" s="170" t="b">
        <v>0</v>
      </c>
      <c r="BP73" s="170">
        <v>0</v>
      </c>
      <c r="BQ73" s="171">
        <v>0</v>
      </c>
      <c r="BR73" s="171">
        <v>0</v>
      </c>
      <c r="BS73" s="177">
        <v>77</v>
      </c>
      <c r="BT73" s="171">
        <v>0</v>
      </c>
      <c r="BU73" s="235">
        <v>0</v>
      </c>
      <c r="BV73" s="171">
        <v>204</v>
      </c>
      <c r="BW73" s="178">
        <v>0</v>
      </c>
      <c r="BX73" s="178">
        <v>0</v>
      </c>
      <c r="BY73" s="170">
        <v>0</v>
      </c>
      <c r="BZ73" s="170">
        <v>0</v>
      </c>
      <c r="CA73" s="170">
        <v>0</v>
      </c>
      <c r="CB73" s="170">
        <v>1663000</v>
      </c>
      <c r="CC73" s="170">
        <v>0</v>
      </c>
      <c r="CD73" s="170">
        <v>0</v>
      </c>
      <c r="CE73" s="170">
        <v>0</v>
      </c>
      <c r="CF73" s="170">
        <v>0</v>
      </c>
      <c r="CG73" s="170">
        <v>0</v>
      </c>
      <c r="CH73" s="170">
        <v>0</v>
      </c>
      <c r="CI73" s="170">
        <v>0</v>
      </c>
      <c r="CJ73" s="170">
        <v>0</v>
      </c>
      <c r="CK73" s="171">
        <v>0</v>
      </c>
      <c r="CL73" s="171">
        <v>0</v>
      </c>
    </row>
    <row r="74" spans="1:90" outlineLevel="3" x14ac:dyDescent="0.25">
      <c r="A74" s="141" t="s">
        <v>355</v>
      </c>
      <c r="B74" s="141" t="s">
        <v>450</v>
      </c>
      <c r="C74" s="141" t="s">
        <v>416</v>
      </c>
      <c r="D74" s="141" t="s">
        <v>417</v>
      </c>
      <c r="E74" s="141" t="s">
        <v>226</v>
      </c>
      <c r="F74" s="141" t="s">
        <v>202</v>
      </c>
      <c r="G74" s="141" t="s">
        <v>451</v>
      </c>
      <c r="H74" s="141" t="s">
        <v>341</v>
      </c>
      <c r="I74" s="167" t="s">
        <v>361</v>
      </c>
      <c r="J74" s="169">
        <v>1</v>
      </c>
      <c r="K74" s="169">
        <v>1</v>
      </c>
      <c r="L74" s="171">
        <v>0</v>
      </c>
      <c r="M74" s="171">
        <v>0</v>
      </c>
      <c r="N74" s="171">
        <v>0</v>
      </c>
      <c r="O74" s="170">
        <v>1012500</v>
      </c>
      <c r="P74" s="171">
        <v>1012500</v>
      </c>
      <c r="Q74" s="171">
        <v>0</v>
      </c>
      <c r="R74" s="173" t="s">
        <v>459</v>
      </c>
      <c r="S74" s="173">
        <v>0</v>
      </c>
      <c r="T74" s="173">
        <v>0</v>
      </c>
      <c r="U74" s="249">
        <v>1012500</v>
      </c>
      <c r="V74" s="170" t="s">
        <v>344</v>
      </c>
      <c r="W74" s="170">
        <v>0</v>
      </c>
      <c r="X74" s="170">
        <v>0</v>
      </c>
      <c r="Y74" s="170">
        <v>0</v>
      </c>
      <c r="Z74" s="170">
        <v>0</v>
      </c>
      <c r="AA74" s="170">
        <v>0</v>
      </c>
      <c r="AB74" s="170">
        <v>0</v>
      </c>
      <c r="AC74" s="249">
        <v>1012500</v>
      </c>
      <c r="AD74" s="170">
        <v>0</v>
      </c>
      <c r="AE74" s="170">
        <v>0</v>
      </c>
      <c r="AF74" s="170">
        <v>0</v>
      </c>
      <c r="AG74" s="170">
        <v>0</v>
      </c>
      <c r="AH74" s="250">
        <v>0</v>
      </c>
      <c r="AI74" s="170">
        <v>0</v>
      </c>
      <c r="AJ74" s="170">
        <v>0</v>
      </c>
      <c r="AK74" s="251">
        <v>0</v>
      </c>
      <c r="AL74" s="174">
        <v>0</v>
      </c>
      <c r="AM74" s="170">
        <v>1012500</v>
      </c>
      <c r="AN74" s="171">
        <v>0</v>
      </c>
      <c r="AO74" s="174">
        <v>0</v>
      </c>
      <c r="AP74" s="170">
        <v>1012500</v>
      </c>
      <c r="AQ74" s="175">
        <v>1</v>
      </c>
      <c r="AR74" s="170">
        <v>0</v>
      </c>
      <c r="AS74" s="170">
        <v>1012500</v>
      </c>
      <c r="AT74" s="170">
        <v>0</v>
      </c>
      <c r="AU74" s="170">
        <v>0</v>
      </c>
      <c r="AV74" s="170">
        <v>0</v>
      </c>
      <c r="AW74" s="170">
        <v>0</v>
      </c>
      <c r="AX74" s="170">
        <v>0</v>
      </c>
      <c r="AY74" s="170">
        <v>0</v>
      </c>
      <c r="AZ74" s="170">
        <v>0</v>
      </c>
      <c r="BA74" s="170">
        <v>0</v>
      </c>
      <c r="BB74" s="170" t="s">
        <v>202</v>
      </c>
      <c r="BC74" s="170" t="s">
        <v>202</v>
      </c>
      <c r="BD74" s="170">
        <v>0</v>
      </c>
      <c r="BE74" s="170">
        <v>0</v>
      </c>
      <c r="BF74" s="170">
        <v>0</v>
      </c>
      <c r="BG74" s="170">
        <v>0</v>
      </c>
      <c r="BH74" s="170">
        <v>0</v>
      </c>
      <c r="BI74" s="170">
        <v>0</v>
      </c>
      <c r="BJ74" s="170">
        <v>0</v>
      </c>
      <c r="BK74" s="170">
        <v>0</v>
      </c>
      <c r="BL74" s="170">
        <v>1012500</v>
      </c>
      <c r="BM74" s="170" t="s">
        <v>345</v>
      </c>
      <c r="BN74" s="170">
        <v>0</v>
      </c>
      <c r="BO74" s="170" t="b">
        <v>0</v>
      </c>
      <c r="BP74" s="170">
        <v>0</v>
      </c>
      <c r="BQ74" s="172">
        <v>0</v>
      </c>
      <c r="BR74" s="171">
        <v>0</v>
      </c>
      <c r="BS74" s="177">
        <v>77</v>
      </c>
      <c r="BT74" s="171">
        <v>0</v>
      </c>
      <c r="BU74" s="235">
        <v>0</v>
      </c>
      <c r="BV74" s="171">
        <v>223</v>
      </c>
      <c r="BW74" s="178">
        <v>0</v>
      </c>
      <c r="BX74" s="178">
        <v>0</v>
      </c>
      <c r="BY74" s="170">
        <v>0</v>
      </c>
      <c r="BZ74" s="170">
        <v>0</v>
      </c>
      <c r="CA74" s="170">
        <v>0</v>
      </c>
      <c r="CB74" s="170">
        <v>1012500</v>
      </c>
      <c r="CC74" s="170">
        <v>0</v>
      </c>
      <c r="CD74" s="170">
        <v>0</v>
      </c>
      <c r="CE74" s="170">
        <v>0</v>
      </c>
      <c r="CF74" s="170">
        <v>0</v>
      </c>
      <c r="CG74" s="170">
        <v>0</v>
      </c>
      <c r="CH74" s="170">
        <v>0</v>
      </c>
      <c r="CI74" s="170">
        <v>0</v>
      </c>
      <c r="CJ74" s="170">
        <v>0</v>
      </c>
      <c r="CK74" s="171">
        <v>0</v>
      </c>
      <c r="CL74" s="171">
        <v>0</v>
      </c>
    </row>
    <row r="75" spans="1:90" outlineLevel="3" x14ac:dyDescent="0.25">
      <c r="A75" s="141" t="s">
        <v>355</v>
      </c>
      <c r="B75" s="141" t="s">
        <v>450</v>
      </c>
      <c r="C75" s="141" t="s">
        <v>416</v>
      </c>
      <c r="D75" s="141" t="s">
        <v>417</v>
      </c>
      <c r="E75" s="141" t="s">
        <v>227</v>
      </c>
      <c r="F75" s="141" t="s">
        <v>202</v>
      </c>
      <c r="G75" s="141" t="s">
        <v>566</v>
      </c>
      <c r="H75" s="141" t="s">
        <v>341</v>
      </c>
      <c r="I75" s="167" t="s">
        <v>361</v>
      </c>
      <c r="J75" s="169">
        <v>1</v>
      </c>
      <c r="K75" s="169">
        <v>1</v>
      </c>
      <c r="L75" s="171">
        <v>0</v>
      </c>
      <c r="M75" s="171">
        <v>0</v>
      </c>
      <c r="N75" s="171">
        <v>0</v>
      </c>
      <c r="O75" s="170">
        <v>4600376.78</v>
      </c>
      <c r="P75" s="171">
        <v>4600376.78</v>
      </c>
      <c r="Q75" s="171">
        <v>0</v>
      </c>
      <c r="R75" s="173" t="s">
        <v>460</v>
      </c>
      <c r="S75" s="173">
        <v>0</v>
      </c>
      <c r="T75" s="173">
        <v>0</v>
      </c>
      <c r="U75" s="249">
        <v>4600376.78</v>
      </c>
      <c r="V75" s="170" t="s">
        <v>344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0</v>
      </c>
      <c r="AC75" s="249">
        <v>4600376.78</v>
      </c>
      <c r="AD75" s="170">
        <v>0</v>
      </c>
      <c r="AE75" s="170">
        <v>0</v>
      </c>
      <c r="AF75" s="170">
        <v>0</v>
      </c>
      <c r="AG75" s="170">
        <v>0</v>
      </c>
      <c r="AH75" s="250">
        <v>148525.66</v>
      </c>
      <c r="AI75" s="170">
        <v>0</v>
      </c>
      <c r="AJ75" s="170">
        <v>-148525.66</v>
      </c>
      <c r="AK75" s="251">
        <v>0</v>
      </c>
      <c r="AL75" s="174">
        <v>0</v>
      </c>
      <c r="AM75" s="170">
        <v>4471200</v>
      </c>
      <c r="AN75" s="171">
        <v>0</v>
      </c>
      <c r="AO75" s="174">
        <v>0</v>
      </c>
      <c r="AP75" s="170">
        <v>4600376.78</v>
      </c>
      <c r="AQ75" s="175">
        <v>1</v>
      </c>
      <c r="AR75" s="170">
        <v>0</v>
      </c>
      <c r="AS75" s="170">
        <v>4600376.78</v>
      </c>
      <c r="AT75" s="170">
        <v>148525.66</v>
      </c>
      <c r="AU75" s="170">
        <v>0</v>
      </c>
      <c r="AV75" s="170">
        <v>-148525.66</v>
      </c>
      <c r="AW75" s="170">
        <v>0</v>
      </c>
      <c r="AX75" s="170">
        <v>148525.66</v>
      </c>
      <c r="AY75" s="170">
        <v>0</v>
      </c>
      <c r="AZ75" s="170">
        <v>-148525.66</v>
      </c>
      <c r="BA75" s="170">
        <v>0</v>
      </c>
      <c r="BB75" s="170" t="s">
        <v>202</v>
      </c>
      <c r="BC75" s="170" t="s">
        <v>202</v>
      </c>
      <c r="BD75" s="170">
        <v>148525.66</v>
      </c>
      <c r="BE75" s="170">
        <v>0</v>
      </c>
      <c r="BF75" s="170">
        <v>-148525.66</v>
      </c>
      <c r="BG75" s="170">
        <v>0</v>
      </c>
      <c r="BH75" s="170">
        <v>148525.66</v>
      </c>
      <c r="BI75" s="170">
        <v>0</v>
      </c>
      <c r="BJ75" s="170">
        <v>-148525.66</v>
      </c>
      <c r="BK75" s="170">
        <v>0</v>
      </c>
      <c r="BL75" s="170">
        <v>4600376.78</v>
      </c>
      <c r="BM75" s="170" t="s">
        <v>345</v>
      </c>
      <c r="BN75" s="170">
        <v>0</v>
      </c>
      <c r="BO75" s="170" t="b">
        <v>0</v>
      </c>
      <c r="BP75" s="170">
        <v>-148525.66</v>
      </c>
      <c r="BQ75" s="172">
        <v>0</v>
      </c>
      <c r="BR75" s="171">
        <v>0</v>
      </c>
      <c r="BS75" s="177">
        <v>77</v>
      </c>
      <c r="BT75" s="171">
        <v>0</v>
      </c>
      <c r="BU75" s="235">
        <v>0</v>
      </c>
      <c r="BV75" s="171">
        <v>236</v>
      </c>
      <c r="BW75" s="178">
        <v>0</v>
      </c>
      <c r="BX75" s="178">
        <v>0</v>
      </c>
      <c r="BY75" s="170">
        <v>0</v>
      </c>
      <c r="BZ75" s="170">
        <v>0</v>
      </c>
      <c r="CA75" s="170">
        <v>-19348.88</v>
      </c>
      <c r="CB75" s="170">
        <v>4451851.12</v>
      </c>
      <c r="CC75" s="170">
        <v>0</v>
      </c>
      <c r="CD75" s="170">
        <v>0</v>
      </c>
      <c r="CE75" s="170">
        <v>0</v>
      </c>
      <c r="CF75" s="170">
        <v>0</v>
      </c>
      <c r="CG75" s="170">
        <v>148525.66</v>
      </c>
      <c r="CH75" s="170">
        <v>0</v>
      </c>
      <c r="CI75" s="170">
        <v>-148525.66</v>
      </c>
      <c r="CJ75" s="170">
        <v>0</v>
      </c>
      <c r="CK75" s="171">
        <v>0</v>
      </c>
      <c r="CL75" s="171">
        <v>0</v>
      </c>
    </row>
    <row r="76" spans="1:90" s="193" customFormat="1" ht="20.100000000000001" customHeight="1" outlineLevel="2" x14ac:dyDescent="0.25">
      <c r="A76" s="180" t="s">
        <v>368</v>
      </c>
      <c r="B76" s="180"/>
      <c r="C76" s="180"/>
      <c r="D76" s="180"/>
      <c r="E76" s="180"/>
      <c r="F76" s="180"/>
      <c r="G76" s="180"/>
      <c r="H76" s="180"/>
      <c r="I76" s="181"/>
      <c r="J76" s="183"/>
      <c r="K76" s="183"/>
      <c r="L76" s="185"/>
      <c r="M76" s="185"/>
      <c r="N76" s="185"/>
      <c r="O76" s="184"/>
      <c r="P76" s="185"/>
      <c r="Q76" s="185"/>
      <c r="R76" s="187">
        <v>0</v>
      </c>
      <c r="S76" s="187">
        <v>0</v>
      </c>
      <c r="T76" s="187">
        <v>0</v>
      </c>
      <c r="U76" s="252">
        <v>8765954.6500000004</v>
      </c>
      <c r="V76" s="184"/>
      <c r="W76" s="184">
        <v>0</v>
      </c>
      <c r="X76" s="184">
        <v>0</v>
      </c>
      <c r="Y76" s="184">
        <v>0</v>
      </c>
      <c r="Z76" s="184">
        <v>0</v>
      </c>
      <c r="AA76" s="184">
        <v>0</v>
      </c>
      <c r="AB76" s="184">
        <v>0</v>
      </c>
      <c r="AC76" s="252">
        <v>8765954.6500000004</v>
      </c>
      <c r="AD76" s="184">
        <v>0</v>
      </c>
      <c r="AE76" s="184">
        <v>0</v>
      </c>
      <c r="AF76" s="184">
        <v>0</v>
      </c>
      <c r="AG76" s="184">
        <v>0</v>
      </c>
      <c r="AH76" s="253">
        <v>148525.66</v>
      </c>
      <c r="AI76" s="184">
        <v>0</v>
      </c>
      <c r="AJ76" s="184">
        <v>-148525.66</v>
      </c>
      <c r="AK76" s="254">
        <v>0</v>
      </c>
      <c r="AL76" s="188"/>
      <c r="AM76" s="184">
        <v>8644425</v>
      </c>
      <c r="AN76" s="185"/>
      <c r="AO76" s="188"/>
      <c r="AP76" s="184">
        <v>8773601.7800000012</v>
      </c>
      <c r="AQ76" s="189"/>
      <c r="AR76" s="184"/>
      <c r="AS76" s="184"/>
      <c r="AT76" s="184">
        <v>148525.66</v>
      </c>
      <c r="AU76" s="184">
        <v>0</v>
      </c>
      <c r="AV76" s="184">
        <v>-148525.66</v>
      </c>
      <c r="AW76" s="184">
        <v>0</v>
      </c>
      <c r="AX76" s="184">
        <v>148525.66</v>
      </c>
      <c r="AY76" s="184">
        <v>0</v>
      </c>
      <c r="AZ76" s="184">
        <v>-148525.66</v>
      </c>
      <c r="BA76" s="184">
        <v>0</v>
      </c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6"/>
      <c r="BR76" s="185"/>
      <c r="BS76" s="191"/>
      <c r="BT76" s="185"/>
      <c r="BU76" s="228"/>
      <c r="BV76" s="185"/>
      <c r="BW76" s="192"/>
      <c r="BX76" s="192"/>
      <c r="BY76" s="184"/>
      <c r="BZ76" s="184"/>
      <c r="CA76" s="184">
        <v>-26996.01</v>
      </c>
      <c r="CB76" s="184"/>
      <c r="CC76" s="184"/>
      <c r="CD76" s="184"/>
      <c r="CE76" s="184"/>
      <c r="CF76" s="184"/>
      <c r="CG76" s="184"/>
      <c r="CH76" s="184"/>
      <c r="CI76" s="184"/>
      <c r="CJ76" s="184"/>
      <c r="CK76" s="185"/>
      <c r="CL76" s="185"/>
    </row>
    <row r="77" spans="1:90" outlineLevel="3" x14ac:dyDescent="0.25">
      <c r="A77" s="141" t="s">
        <v>395</v>
      </c>
      <c r="B77" s="141" t="s">
        <v>450</v>
      </c>
      <c r="C77" s="141" t="s">
        <v>416</v>
      </c>
      <c r="D77" s="141" t="s">
        <v>417</v>
      </c>
      <c r="E77" s="141" t="s">
        <v>228</v>
      </c>
      <c r="F77" s="141" t="s">
        <v>202</v>
      </c>
      <c r="G77" s="141" t="s">
        <v>566</v>
      </c>
      <c r="H77" s="205" t="s">
        <v>360</v>
      </c>
      <c r="I77" s="167" t="s">
        <v>342</v>
      </c>
      <c r="J77" s="168">
        <v>1000</v>
      </c>
      <c r="K77" s="169">
        <v>1000</v>
      </c>
      <c r="L77" s="171">
        <v>0</v>
      </c>
      <c r="M77" s="171">
        <v>0</v>
      </c>
      <c r="N77" s="171">
        <v>1</v>
      </c>
      <c r="O77" s="170">
        <v>1360</v>
      </c>
      <c r="P77" s="172">
        <v>1360</v>
      </c>
      <c r="Q77" s="172">
        <v>0</v>
      </c>
      <c r="R77" s="173" t="s">
        <v>461</v>
      </c>
      <c r="S77" s="173">
        <v>0</v>
      </c>
      <c r="T77" s="173">
        <v>0</v>
      </c>
      <c r="U77" s="249">
        <v>1360000</v>
      </c>
      <c r="V77" s="170" t="s">
        <v>344</v>
      </c>
      <c r="W77" s="170">
        <v>0</v>
      </c>
      <c r="X77" s="170">
        <v>0</v>
      </c>
      <c r="Y77" s="170">
        <v>0</v>
      </c>
      <c r="Z77" s="170">
        <v>0</v>
      </c>
      <c r="AA77" s="170">
        <v>0</v>
      </c>
      <c r="AB77" s="170">
        <v>0</v>
      </c>
      <c r="AC77" s="249">
        <v>1360000</v>
      </c>
      <c r="AD77" s="170">
        <v>0</v>
      </c>
      <c r="AE77" s="170">
        <v>0</v>
      </c>
      <c r="AF77" s="170">
        <v>0</v>
      </c>
      <c r="AG77" s="170">
        <v>0</v>
      </c>
      <c r="AH77" s="250">
        <v>0</v>
      </c>
      <c r="AI77" s="170">
        <v>0</v>
      </c>
      <c r="AJ77" s="170">
        <v>0</v>
      </c>
      <c r="AK77" s="251">
        <v>0</v>
      </c>
      <c r="AL77" s="174">
        <v>0</v>
      </c>
      <c r="AM77" s="170">
        <v>1360000</v>
      </c>
      <c r="AN77" s="174">
        <v>0</v>
      </c>
      <c r="AO77" s="171">
        <v>0</v>
      </c>
      <c r="AP77" s="170">
        <v>1360000</v>
      </c>
      <c r="AQ77" s="175">
        <v>1</v>
      </c>
      <c r="AR77" s="170">
        <v>1360000</v>
      </c>
      <c r="AS77" s="170">
        <v>1360</v>
      </c>
      <c r="AT77" s="170">
        <v>0</v>
      </c>
      <c r="AU77" s="170">
        <v>0</v>
      </c>
      <c r="AV77" s="170">
        <v>0</v>
      </c>
      <c r="AW77" s="170">
        <v>0</v>
      </c>
      <c r="AX77" s="170">
        <v>0</v>
      </c>
      <c r="AY77" s="170">
        <v>0</v>
      </c>
      <c r="AZ77" s="170">
        <v>0</v>
      </c>
      <c r="BA77" s="170">
        <v>0</v>
      </c>
      <c r="BB77" s="170" t="s">
        <v>202</v>
      </c>
      <c r="BC77" s="170" t="s">
        <v>202</v>
      </c>
      <c r="BD77" s="170">
        <v>0</v>
      </c>
      <c r="BE77" s="170">
        <v>0</v>
      </c>
      <c r="BF77" s="170">
        <v>0</v>
      </c>
      <c r="BG77" s="170">
        <v>0</v>
      </c>
      <c r="BH77" s="170">
        <v>0</v>
      </c>
      <c r="BI77" s="170">
        <v>0</v>
      </c>
      <c r="BJ77" s="170">
        <v>0</v>
      </c>
      <c r="BK77" s="170">
        <v>0</v>
      </c>
      <c r="BL77" s="178">
        <v>1360000</v>
      </c>
      <c r="BM77" s="170" t="s">
        <v>345</v>
      </c>
      <c r="BN77" s="170">
        <v>0</v>
      </c>
      <c r="BO77" s="170" t="b">
        <v>0</v>
      </c>
      <c r="BP77" s="170">
        <v>0</v>
      </c>
      <c r="BQ77" s="171">
        <v>2360</v>
      </c>
      <c r="BR77" s="171">
        <v>2360000</v>
      </c>
      <c r="BS77" s="177">
        <v>71</v>
      </c>
      <c r="BT77" s="171">
        <v>0</v>
      </c>
      <c r="BU77" s="235">
        <v>0</v>
      </c>
      <c r="BV77" s="171">
        <v>57</v>
      </c>
      <c r="BW77" s="178">
        <v>0</v>
      </c>
      <c r="BX77" s="178">
        <v>0</v>
      </c>
      <c r="BY77" s="170">
        <v>0</v>
      </c>
      <c r="BZ77" s="170">
        <v>0</v>
      </c>
      <c r="CA77" s="170">
        <v>0</v>
      </c>
      <c r="CB77" s="170">
        <v>1360000</v>
      </c>
      <c r="CC77" s="170">
        <v>0</v>
      </c>
      <c r="CD77" s="170">
        <v>0</v>
      </c>
      <c r="CE77" s="170">
        <v>0</v>
      </c>
      <c r="CF77" s="170">
        <v>0</v>
      </c>
      <c r="CG77" s="170">
        <v>0</v>
      </c>
      <c r="CH77" s="170">
        <v>0</v>
      </c>
      <c r="CI77" s="170">
        <v>0</v>
      </c>
      <c r="CJ77" s="170">
        <v>0</v>
      </c>
      <c r="CK77" s="171">
        <v>0</v>
      </c>
      <c r="CL77" s="171">
        <v>0</v>
      </c>
    </row>
    <row r="78" spans="1:90" outlineLevel="3" x14ac:dyDescent="0.25">
      <c r="A78" s="141" t="s">
        <v>395</v>
      </c>
      <c r="B78" s="141" t="s">
        <v>450</v>
      </c>
      <c r="C78" s="141" t="s">
        <v>416</v>
      </c>
      <c r="D78" s="141" t="s">
        <v>417</v>
      </c>
      <c r="E78" s="141" t="s">
        <v>229</v>
      </c>
      <c r="F78" s="141" t="s">
        <v>202</v>
      </c>
      <c r="G78" s="141" t="s">
        <v>451</v>
      </c>
      <c r="H78" s="205" t="s">
        <v>360</v>
      </c>
      <c r="I78" s="167" t="s">
        <v>462</v>
      </c>
      <c r="J78" s="168">
        <v>30000</v>
      </c>
      <c r="K78" s="169">
        <v>30000</v>
      </c>
      <c r="L78" s="171">
        <v>0</v>
      </c>
      <c r="M78" s="171">
        <v>0</v>
      </c>
      <c r="N78" s="171">
        <v>1</v>
      </c>
      <c r="O78" s="170">
        <v>0</v>
      </c>
      <c r="P78" s="172">
        <v>0</v>
      </c>
      <c r="Q78" s="172">
        <v>0</v>
      </c>
      <c r="R78" s="173" t="s">
        <v>463</v>
      </c>
      <c r="S78" s="173">
        <v>0</v>
      </c>
      <c r="T78" s="173">
        <v>0</v>
      </c>
      <c r="U78" s="249">
        <v>0</v>
      </c>
      <c r="V78" s="170" t="s">
        <v>344</v>
      </c>
      <c r="W78" s="170">
        <v>0</v>
      </c>
      <c r="X78" s="170">
        <v>0</v>
      </c>
      <c r="Y78" s="170">
        <v>0</v>
      </c>
      <c r="Z78" s="170">
        <v>0</v>
      </c>
      <c r="AA78" s="170">
        <v>0</v>
      </c>
      <c r="AB78" s="170">
        <v>0</v>
      </c>
      <c r="AC78" s="249">
        <v>0</v>
      </c>
      <c r="AD78" s="170">
        <v>0</v>
      </c>
      <c r="AE78" s="170">
        <v>0</v>
      </c>
      <c r="AF78" s="170">
        <v>0</v>
      </c>
      <c r="AG78" s="170">
        <v>0</v>
      </c>
      <c r="AH78" s="250">
        <v>-55514979</v>
      </c>
      <c r="AI78" s="170">
        <v>0</v>
      </c>
      <c r="AJ78" s="170">
        <v>55514979</v>
      </c>
      <c r="AK78" s="251">
        <v>0</v>
      </c>
      <c r="AL78" s="174">
        <v>0</v>
      </c>
      <c r="AM78" s="170">
        <v>116115000</v>
      </c>
      <c r="AN78" s="174">
        <v>0</v>
      </c>
      <c r="AO78" s="171">
        <v>0</v>
      </c>
      <c r="AP78" s="170">
        <v>60600021</v>
      </c>
      <c r="AQ78" s="175">
        <v>1</v>
      </c>
      <c r="AR78" s="170">
        <v>0</v>
      </c>
      <c r="AS78" s="170">
        <v>0</v>
      </c>
      <c r="AT78" s="170">
        <v>-55514979</v>
      </c>
      <c r="AU78" s="170">
        <v>0</v>
      </c>
      <c r="AV78" s="170">
        <v>55514979</v>
      </c>
      <c r="AW78" s="170">
        <v>0</v>
      </c>
      <c r="AX78" s="170">
        <v>-55514979</v>
      </c>
      <c r="AY78" s="170">
        <v>0</v>
      </c>
      <c r="AZ78" s="170">
        <v>55514979</v>
      </c>
      <c r="BA78" s="170">
        <v>0</v>
      </c>
      <c r="BB78" s="170" t="s">
        <v>202</v>
      </c>
      <c r="BC78" s="170" t="s">
        <v>202</v>
      </c>
      <c r="BD78" s="170">
        <v>-55514979</v>
      </c>
      <c r="BE78" s="170">
        <v>0</v>
      </c>
      <c r="BF78" s="170">
        <v>55514979</v>
      </c>
      <c r="BG78" s="170">
        <v>0</v>
      </c>
      <c r="BH78" s="170">
        <v>-55514979</v>
      </c>
      <c r="BI78" s="170">
        <v>0</v>
      </c>
      <c r="BJ78" s="170">
        <v>55514979</v>
      </c>
      <c r="BK78" s="170">
        <v>0</v>
      </c>
      <c r="BL78" s="178">
        <v>60600021</v>
      </c>
      <c r="BM78" s="170" t="s">
        <v>345</v>
      </c>
      <c r="BN78" s="170">
        <v>0</v>
      </c>
      <c r="BO78" s="170" t="b">
        <v>0</v>
      </c>
      <c r="BP78" s="170">
        <v>55514979</v>
      </c>
      <c r="BQ78" s="171">
        <v>1000</v>
      </c>
      <c r="BR78" s="171">
        <v>30000000</v>
      </c>
      <c r="BS78" s="177">
        <v>71</v>
      </c>
      <c r="BT78" s="171">
        <v>0</v>
      </c>
      <c r="BU78" s="235">
        <v>0</v>
      </c>
      <c r="BV78" s="171">
        <v>70</v>
      </c>
      <c r="BW78" s="178">
        <v>0</v>
      </c>
      <c r="BX78" s="178">
        <v>0</v>
      </c>
      <c r="BY78" s="170">
        <v>0</v>
      </c>
      <c r="BZ78" s="170">
        <v>-60600021</v>
      </c>
      <c r="CA78" s="170">
        <v>-60600021</v>
      </c>
      <c r="CB78" s="170">
        <v>55514979</v>
      </c>
      <c r="CC78" s="170">
        <v>0</v>
      </c>
      <c r="CD78" s="170">
        <v>0</v>
      </c>
      <c r="CE78" s="170">
        <v>0</v>
      </c>
      <c r="CF78" s="170">
        <v>0</v>
      </c>
      <c r="CG78" s="170">
        <v>-55514979</v>
      </c>
      <c r="CH78" s="170">
        <v>0</v>
      </c>
      <c r="CI78" s="170">
        <v>55514979</v>
      </c>
      <c r="CJ78" s="170">
        <v>0</v>
      </c>
      <c r="CK78" s="171">
        <v>0</v>
      </c>
      <c r="CL78" s="171">
        <v>0</v>
      </c>
    </row>
    <row r="79" spans="1:90" s="193" customFormat="1" ht="20.100000000000001" customHeight="1" outlineLevel="2" x14ac:dyDescent="0.25">
      <c r="A79" s="180" t="s">
        <v>396</v>
      </c>
      <c r="B79" s="180"/>
      <c r="C79" s="180"/>
      <c r="D79" s="180"/>
      <c r="E79" s="180"/>
      <c r="F79" s="180"/>
      <c r="G79" s="180"/>
      <c r="H79" s="206"/>
      <c r="I79" s="181"/>
      <c r="J79" s="182"/>
      <c r="K79" s="183"/>
      <c r="L79" s="185"/>
      <c r="M79" s="185"/>
      <c r="N79" s="185"/>
      <c r="O79" s="184"/>
      <c r="P79" s="186"/>
      <c r="Q79" s="186"/>
      <c r="R79" s="187">
        <v>0</v>
      </c>
      <c r="S79" s="187">
        <v>0</v>
      </c>
      <c r="T79" s="187">
        <v>0</v>
      </c>
      <c r="U79" s="252">
        <v>1360000</v>
      </c>
      <c r="V79" s="184"/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252">
        <v>1360000</v>
      </c>
      <c r="AD79" s="184">
        <v>0</v>
      </c>
      <c r="AE79" s="184">
        <v>0</v>
      </c>
      <c r="AF79" s="184">
        <v>0</v>
      </c>
      <c r="AG79" s="184">
        <v>0</v>
      </c>
      <c r="AH79" s="253">
        <v>-55514979</v>
      </c>
      <c r="AI79" s="184">
        <v>0</v>
      </c>
      <c r="AJ79" s="184">
        <v>55514979</v>
      </c>
      <c r="AK79" s="254">
        <v>0</v>
      </c>
      <c r="AL79" s="188"/>
      <c r="AM79" s="184">
        <v>117475000</v>
      </c>
      <c r="AN79" s="188"/>
      <c r="AO79" s="185"/>
      <c r="AP79" s="184">
        <v>61960021</v>
      </c>
      <c r="AQ79" s="189"/>
      <c r="AR79" s="184"/>
      <c r="AS79" s="184"/>
      <c r="AT79" s="184">
        <v>-55514979</v>
      </c>
      <c r="AU79" s="184">
        <v>0</v>
      </c>
      <c r="AV79" s="184">
        <v>55514979</v>
      </c>
      <c r="AW79" s="184">
        <v>0</v>
      </c>
      <c r="AX79" s="184">
        <v>-55514979</v>
      </c>
      <c r="AY79" s="184">
        <v>0</v>
      </c>
      <c r="AZ79" s="184">
        <v>55514979</v>
      </c>
      <c r="BA79" s="184">
        <v>0</v>
      </c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92"/>
      <c r="BM79" s="184"/>
      <c r="BN79" s="184"/>
      <c r="BO79" s="184"/>
      <c r="BP79" s="184"/>
      <c r="BQ79" s="185"/>
      <c r="BR79" s="185"/>
      <c r="BS79" s="191"/>
      <c r="BT79" s="185"/>
      <c r="BU79" s="228"/>
      <c r="BV79" s="185"/>
      <c r="BW79" s="192"/>
      <c r="BX79" s="192"/>
      <c r="BY79" s="184"/>
      <c r="BZ79" s="184"/>
      <c r="CA79" s="184">
        <v>-60600021</v>
      </c>
      <c r="CB79" s="184"/>
      <c r="CC79" s="184"/>
      <c r="CD79" s="184"/>
      <c r="CE79" s="184"/>
      <c r="CF79" s="184"/>
      <c r="CG79" s="184"/>
      <c r="CH79" s="184"/>
      <c r="CI79" s="184"/>
      <c r="CJ79" s="184"/>
      <c r="CK79" s="185"/>
      <c r="CL79" s="185"/>
    </row>
    <row r="80" spans="1:90" outlineLevel="3" x14ac:dyDescent="0.25">
      <c r="A80" s="141" t="s">
        <v>369</v>
      </c>
      <c r="B80" s="141" t="s">
        <v>450</v>
      </c>
      <c r="C80" s="141" t="s">
        <v>416</v>
      </c>
      <c r="D80" s="141" t="s">
        <v>417</v>
      </c>
      <c r="E80" s="141" t="s">
        <v>230</v>
      </c>
      <c r="F80" s="141" t="s">
        <v>464</v>
      </c>
      <c r="G80" s="141" t="s">
        <v>423</v>
      </c>
      <c r="H80" s="141" t="s">
        <v>350</v>
      </c>
      <c r="I80" s="167" t="s">
        <v>342</v>
      </c>
      <c r="J80" s="169">
        <v>0</v>
      </c>
      <c r="K80" s="169">
        <v>0</v>
      </c>
      <c r="L80" s="171">
        <v>0</v>
      </c>
      <c r="M80" s="171">
        <v>0</v>
      </c>
      <c r="N80" s="171">
        <v>1</v>
      </c>
      <c r="O80" s="170">
        <v>1.9834710743801653</v>
      </c>
      <c r="P80" s="172">
        <v>1.975633849193283</v>
      </c>
      <c r="Q80" s="172">
        <v>7.8372251868823462E-3</v>
      </c>
      <c r="R80" s="173" t="s">
        <v>465</v>
      </c>
      <c r="S80" s="173">
        <v>0</v>
      </c>
      <c r="T80" s="173">
        <v>0</v>
      </c>
      <c r="U80" s="249">
        <v>0</v>
      </c>
      <c r="V80" s="170" t="s">
        <v>344</v>
      </c>
      <c r="W80" s="170">
        <v>0</v>
      </c>
      <c r="X80" s="170">
        <v>0</v>
      </c>
      <c r="Y80" s="170">
        <v>0</v>
      </c>
      <c r="Z80" s="170">
        <v>0</v>
      </c>
      <c r="AA80" s="170">
        <v>0</v>
      </c>
      <c r="AB80" s="170">
        <v>0</v>
      </c>
      <c r="AC80" s="249">
        <v>0</v>
      </c>
      <c r="AD80" s="170">
        <v>0</v>
      </c>
      <c r="AE80" s="170">
        <v>0</v>
      </c>
      <c r="AF80" s="170">
        <v>0</v>
      </c>
      <c r="AG80" s="170">
        <v>0</v>
      </c>
      <c r="AH80" s="250">
        <v>0</v>
      </c>
      <c r="AI80" s="170">
        <v>0</v>
      </c>
      <c r="AJ80" s="170">
        <v>0</v>
      </c>
      <c r="AK80" s="251">
        <v>0</v>
      </c>
      <c r="AL80" s="174">
        <v>0</v>
      </c>
      <c r="AM80" s="170">
        <v>0</v>
      </c>
      <c r="AN80" s="171">
        <v>0</v>
      </c>
      <c r="AO80" s="174">
        <v>0</v>
      </c>
      <c r="AP80" s="170">
        <v>0</v>
      </c>
      <c r="AQ80" s="175">
        <v>1</v>
      </c>
      <c r="AR80" s="170">
        <v>0</v>
      </c>
      <c r="AS80" s="170">
        <v>1.9834710743801653</v>
      </c>
      <c r="AT80" s="170">
        <v>0</v>
      </c>
      <c r="AU80" s="170">
        <v>0</v>
      </c>
      <c r="AV80" s="170">
        <v>0</v>
      </c>
      <c r="AW80" s="170">
        <v>0</v>
      </c>
      <c r="AX80" s="170">
        <v>0</v>
      </c>
      <c r="AY80" s="170">
        <v>0</v>
      </c>
      <c r="AZ80" s="170">
        <v>0</v>
      </c>
      <c r="BA80" s="170">
        <v>0</v>
      </c>
      <c r="BB80" s="170">
        <v>1.9834710743801653</v>
      </c>
      <c r="BC80" s="170">
        <v>1.975633849193283</v>
      </c>
      <c r="BD80" s="170">
        <v>0</v>
      </c>
      <c r="BE80" s="170">
        <v>0</v>
      </c>
      <c r="BF80" s="170">
        <v>0</v>
      </c>
      <c r="BG80" s="170">
        <v>0</v>
      </c>
      <c r="BH80" s="170">
        <v>0</v>
      </c>
      <c r="BI80" s="170">
        <v>0</v>
      </c>
      <c r="BJ80" s="170">
        <v>0</v>
      </c>
      <c r="BK80" s="170">
        <v>0</v>
      </c>
      <c r="BL80" s="170">
        <v>0</v>
      </c>
      <c r="BM80" s="170" t="s">
        <v>352</v>
      </c>
      <c r="BN80" s="170">
        <v>0</v>
      </c>
      <c r="BO80" s="170" t="b">
        <v>0</v>
      </c>
      <c r="BP80" s="170">
        <v>0</v>
      </c>
      <c r="BQ80" s="172">
        <v>9.4999962000015206</v>
      </c>
      <c r="BR80" s="171">
        <v>0</v>
      </c>
      <c r="BS80" s="177">
        <v>70</v>
      </c>
      <c r="BT80" s="171">
        <v>0</v>
      </c>
      <c r="BU80" s="235">
        <v>0</v>
      </c>
      <c r="BV80" s="171">
        <v>4</v>
      </c>
      <c r="BW80" s="178">
        <v>1.9834710743801653</v>
      </c>
      <c r="BX80" s="178">
        <v>0</v>
      </c>
      <c r="BY80" s="170">
        <v>0</v>
      </c>
      <c r="BZ80" s="170">
        <v>0</v>
      </c>
      <c r="CA80" s="170">
        <v>0</v>
      </c>
      <c r="CB80" s="170">
        <v>0</v>
      </c>
      <c r="CC80" s="170">
        <v>0</v>
      </c>
      <c r="CD80" s="170">
        <v>0</v>
      </c>
      <c r="CE80" s="170">
        <v>0</v>
      </c>
      <c r="CF80" s="170">
        <v>0</v>
      </c>
      <c r="CG80" s="170">
        <v>0</v>
      </c>
      <c r="CH80" s="170">
        <v>0</v>
      </c>
      <c r="CI80" s="170">
        <v>0</v>
      </c>
      <c r="CJ80" s="170">
        <v>0</v>
      </c>
      <c r="CK80" s="171">
        <v>0</v>
      </c>
      <c r="CL80" s="171">
        <v>0</v>
      </c>
    </row>
    <row r="81" spans="1:90" outlineLevel="3" x14ac:dyDescent="0.25">
      <c r="A81" s="141" t="s">
        <v>369</v>
      </c>
      <c r="B81" s="141" t="s">
        <v>450</v>
      </c>
      <c r="C81" s="141" t="s">
        <v>416</v>
      </c>
      <c r="D81" s="141" t="s">
        <v>417</v>
      </c>
      <c r="E81" s="141" t="s">
        <v>231</v>
      </c>
      <c r="F81" s="141" t="s">
        <v>466</v>
      </c>
      <c r="G81" s="141" t="s">
        <v>451</v>
      </c>
      <c r="H81" s="141" t="s">
        <v>350</v>
      </c>
      <c r="I81" s="167" t="s">
        <v>342</v>
      </c>
      <c r="J81" s="169">
        <v>59891</v>
      </c>
      <c r="K81" s="169">
        <v>59891</v>
      </c>
      <c r="L81" s="171">
        <v>0</v>
      </c>
      <c r="M81" s="171">
        <v>0</v>
      </c>
      <c r="N81" s="171">
        <v>1</v>
      </c>
      <c r="O81" s="170">
        <v>4.25</v>
      </c>
      <c r="P81" s="172">
        <v>4.75</v>
      </c>
      <c r="Q81" s="172">
        <v>-0.5</v>
      </c>
      <c r="R81" s="173" t="s">
        <v>467</v>
      </c>
      <c r="S81" s="173">
        <v>0</v>
      </c>
      <c r="T81" s="173">
        <v>0</v>
      </c>
      <c r="U81" s="249">
        <v>254536.75</v>
      </c>
      <c r="V81" s="170" t="s">
        <v>344</v>
      </c>
      <c r="W81" s="170">
        <v>0</v>
      </c>
      <c r="X81" s="170">
        <v>0</v>
      </c>
      <c r="Y81" s="170">
        <v>0</v>
      </c>
      <c r="Z81" s="170">
        <v>0</v>
      </c>
      <c r="AA81" s="170">
        <v>0</v>
      </c>
      <c r="AB81" s="170">
        <v>0</v>
      </c>
      <c r="AC81" s="249">
        <v>284482.25</v>
      </c>
      <c r="AD81" s="170">
        <v>-29945.5</v>
      </c>
      <c r="AE81" s="170">
        <v>0</v>
      </c>
      <c r="AF81" s="170">
        <v>29945.5</v>
      </c>
      <c r="AG81" s="170">
        <v>0</v>
      </c>
      <c r="AH81" s="250">
        <v>-131011.5625</v>
      </c>
      <c r="AI81" s="170">
        <v>0</v>
      </c>
      <c r="AJ81" s="170">
        <v>97323.5</v>
      </c>
      <c r="AK81" s="251">
        <v>-33688.0625</v>
      </c>
      <c r="AL81" s="174">
        <v>0</v>
      </c>
      <c r="AM81" s="170">
        <v>385548.3125</v>
      </c>
      <c r="AN81" s="171">
        <v>0</v>
      </c>
      <c r="AO81" s="174">
        <v>0</v>
      </c>
      <c r="AP81" s="170">
        <v>385548.3125</v>
      </c>
      <c r="AQ81" s="175">
        <v>1</v>
      </c>
      <c r="AR81" s="170">
        <v>254536.75</v>
      </c>
      <c r="AS81" s="170">
        <v>4.25</v>
      </c>
      <c r="AT81" s="170">
        <v>-18715.9375</v>
      </c>
      <c r="AU81" s="170">
        <v>0</v>
      </c>
      <c r="AV81" s="170">
        <v>18715.9375</v>
      </c>
      <c r="AW81" s="170">
        <v>0</v>
      </c>
      <c r="AX81" s="170">
        <v>-97323.5</v>
      </c>
      <c r="AY81" s="170">
        <v>0</v>
      </c>
      <c r="AZ81" s="170">
        <v>97323.5</v>
      </c>
      <c r="BA81" s="170">
        <v>0</v>
      </c>
      <c r="BB81" s="170">
        <v>4.25</v>
      </c>
      <c r="BC81" s="170">
        <v>4.75</v>
      </c>
      <c r="BD81" s="170">
        <v>11229.5625</v>
      </c>
      <c r="BE81" s="170">
        <v>0</v>
      </c>
      <c r="BF81" s="170">
        <v>-11229.5625</v>
      </c>
      <c r="BG81" s="170">
        <v>0</v>
      </c>
      <c r="BH81" s="170">
        <v>-67378</v>
      </c>
      <c r="BI81" s="170">
        <v>0</v>
      </c>
      <c r="BJ81" s="170">
        <v>67378</v>
      </c>
      <c r="BK81" s="170">
        <v>0</v>
      </c>
      <c r="BL81" s="170">
        <v>385548.3125</v>
      </c>
      <c r="BM81" s="170" t="s">
        <v>352</v>
      </c>
      <c r="BN81" s="170">
        <v>0</v>
      </c>
      <c r="BO81" s="170" t="b">
        <v>0</v>
      </c>
      <c r="BP81" s="170">
        <v>67378</v>
      </c>
      <c r="BQ81" s="172">
        <v>1.1200000000000001</v>
      </c>
      <c r="BR81" s="171">
        <v>67077.919999999998</v>
      </c>
      <c r="BS81" s="177">
        <v>70</v>
      </c>
      <c r="BT81" s="171">
        <v>-29945.5</v>
      </c>
      <c r="BU81" s="235">
        <v>59891</v>
      </c>
      <c r="BV81" s="171">
        <v>12</v>
      </c>
      <c r="BW81" s="178">
        <v>4.25</v>
      </c>
      <c r="BX81" s="178">
        <v>0</v>
      </c>
      <c r="BY81" s="170">
        <v>0</v>
      </c>
      <c r="BZ81" s="170">
        <v>0</v>
      </c>
      <c r="CA81" s="170">
        <v>0</v>
      </c>
      <c r="CB81" s="170">
        <v>351860.25</v>
      </c>
      <c r="CC81" s="170">
        <v>0</v>
      </c>
      <c r="CD81" s="170">
        <v>0</v>
      </c>
      <c r="CE81" s="170">
        <v>0</v>
      </c>
      <c r="CF81" s="170">
        <v>0</v>
      </c>
      <c r="CG81" s="170">
        <v>-101066.0625</v>
      </c>
      <c r="CH81" s="170">
        <v>0</v>
      </c>
      <c r="CI81" s="170">
        <v>67378</v>
      </c>
      <c r="CJ81" s="170">
        <v>-33688.0625</v>
      </c>
      <c r="CK81" s="171">
        <v>0</v>
      </c>
      <c r="CL81" s="171">
        <v>0</v>
      </c>
    </row>
    <row r="82" spans="1:90" outlineLevel="3" x14ac:dyDescent="0.25">
      <c r="A82" s="141" t="s">
        <v>369</v>
      </c>
      <c r="B82" s="141" t="s">
        <v>450</v>
      </c>
      <c r="C82" s="141" t="s">
        <v>416</v>
      </c>
      <c r="D82" s="141" t="s">
        <v>417</v>
      </c>
      <c r="E82" s="141" t="s">
        <v>232</v>
      </c>
      <c r="F82" s="141" t="s">
        <v>468</v>
      </c>
      <c r="G82" s="141" t="s">
        <v>451</v>
      </c>
      <c r="H82" s="141" t="s">
        <v>350</v>
      </c>
      <c r="I82" s="167" t="s">
        <v>342</v>
      </c>
      <c r="J82" s="169">
        <v>0</v>
      </c>
      <c r="K82" s="169">
        <v>0</v>
      </c>
      <c r="L82" s="171">
        <v>0</v>
      </c>
      <c r="M82" s="171">
        <v>0</v>
      </c>
      <c r="N82" s="171">
        <v>1</v>
      </c>
      <c r="O82" s="170">
        <v>3.1704949854416049</v>
      </c>
      <c r="P82" s="172">
        <v>3.1704949854416049</v>
      </c>
      <c r="Q82" s="172">
        <v>0</v>
      </c>
      <c r="R82" s="173" t="s">
        <v>469</v>
      </c>
      <c r="S82" s="173">
        <v>0</v>
      </c>
      <c r="T82" s="173">
        <v>0</v>
      </c>
      <c r="U82" s="249">
        <v>0</v>
      </c>
      <c r="V82" s="170" t="s">
        <v>344</v>
      </c>
      <c r="W82" s="170">
        <v>0</v>
      </c>
      <c r="X82" s="170">
        <v>0</v>
      </c>
      <c r="Y82" s="170">
        <v>0</v>
      </c>
      <c r="Z82" s="170">
        <v>0</v>
      </c>
      <c r="AA82" s="170">
        <v>0</v>
      </c>
      <c r="AB82" s="170">
        <v>0</v>
      </c>
      <c r="AC82" s="249">
        <v>0</v>
      </c>
      <c r="AD82" s="170">
        <v>0</v>
      </c>
      <c r="AE82" s="170">
        <v>0</v>
      </c>
      <c r="AF82" s="170">
        <v>0</v>
      </c>
      <c r="AG82" s="170">
        <v>0</v>
      </c>
      <c r="AH82" s="250">
        <v>0</v>
      </c>
      <c r="AI82" s="170">
        <v>0</v>
      </c>
      <c r="AJ82" s="170">
        <v>0</v>
      </c>
      <c r="AK82" s="251">
        <v>0</v>
      </c>
      <c r="AL82" s="174">
        <v>0</v>
      </c>
      <c r="AM82" s="170">
        <v>0</v>
      </c>
      <c r="AN82" s="171">
        <v>0</v>
      </c>
      <c r="AO82" s="174">
        <v>0</v>
      </c>
      <c r="AP82" s="170">
        <v>0</v>
      </c>
      <c r="AQ82" s="175">
        <v>1</v>
      </c>
      <c r="AR82" s="170">
        <v>0</v>
      </c>
      <c r="AS82" s="170">
        <v>3.1704949854416049</v>
      </c>
      <c r="AT82" s="170">
        <v>0</v>
      </c>
      <c r="AU82" s="170">
        <v>0</v>
      </c>
      <c r="AV82" s="170">
        <v>0</v>
      </c>
      <c r="AW82" s="170">
        <v>0</v>
      </c>
      <c r="AX82" s="170">
        <v>0</v>
      </c>
      <c r="AY82" s="170">
        <v>0</v>
      </c>
      <c r="AZ82" s="170">
        <v>0</v>
      </c>
      <c r="BA82" s="170">
        <v>0</v>
      </c>
      <c r="BB82" s="170">
        <v>3.1704949854416049</v>
      </c>
      <c r="BC82" s="170">
        <v>3.1704949854416049</v>
      </c>
      <c r="BD82" s="170">
        <v>0</v>
      </c>
      <c r="BE82" s="170">
        <v>0</v>
      </c>
      <c r="BF82" s="170">
        <v>0</v>
      </c>
      <c r="BG82" s="170">
        <v>0</v>
      </c>
      <c r="BH82" s="170">
        <v>0</v>
      </c>
      <c r="BI82" s="170">
        <v>0</v>
      </c>
      <c r="BJ82" s="170">
        <v>0</v>
      </c>
      <c r="BK82" s="170">
        <v>0</v>
      </c>
      <c r="BL82" s="170">
        <v>0</v>
      </c>
      <c r="BM82" s="170" t="s">
        <v>352</v>
      </c>
      <c r="BN82" s="170">
        <v>0</v>
      </c>
      <c r="BO82" s="170" t="b">
        <v>0</v>
      </c>
      <c r="BP82" s="170">
        <v>0</v>
      </c>
      <c r="BQ82" s="172">
        <v>2.92</v>
      </c>
      <c r="BR82" s="171">
        <v>0</v>
      </c>
      <c r="BS82" s="177">
        <v>70</v>
      </c>
      <c r="BT82" s="171">
        <v>0</v>
      </c>
      <c r="BU82" s="235">
        <v>0</v>
      </c>
      <c r="BV82" s="171">
        <v>17</v>
      </c>
      <c r="BW82" s="178">
        <v>0</v>
      </c>
      <c r="BX82" s="178">
        <v>0</v>
      </c>
      <c r="BY82" s="170">
        <v>0</v>
      </c>
      <c r="BZ82" s="170">
        <v>0</v>
      </c>
      <c r="CA82" s="170">
        <v>0</v>
      </c>
      <c r="CB82" s="170">
        <v>0</v>
      </c>
      <c r="CC82" s="170">
        <v>0</v>
      </c>
      <c r="CD82" s="170">
        <v>0</v>
      </c>
      <c r="CE82" s="170">
        <v>0</v>
      </c>
      <c r="CF82" s="170">
        <v>0</v>
      </c>
      <c r="CG82" s="170">
        <v>0</v>
      </c>
      <c r="CH82" s="170">
        <v>0</v>
      </c>
      <c r="CI82" s="170">
        <v>0</v>
      </c>
      <c r="CJ82" s="170">
        <v>0</v>
      </c>
      <c r="CK82" s="171">
        <v>0</v>
      </c>
      <c r="CL82" s="171">
        <v>0</v>
      </c>
    </row>
    <row r="83" spans="1:90" outlineLevel="3" x14ac:dyDescent="0.25">
      <c r="A83" s="141" t="s">
        <v>369</v>
      </c>
      <c r="B83" s="141" t="s">
        <v>450</v>
      </c>
      <c r="C83" s="141" t="s">
        <v>416</v>
      </c>
      <c r="D83" s="141" t="s">
        <v>417</v>
      </c>
      <c r="E83" s="141" t="s">
        <v>567</v>
      </c>
      <c r="F83" s="141" t="s">
        <v>578</v>
      </c>
      <c r="G83" s="141" t="s">
        <v>451</v>
      </c>
      <c r="H83" s="141" t="s">
        <v>350</v>
      </c>
      <c r="I83" s="167" t="s">
        <v>342</v>
      </c>
      <c r="J83" s="169">
        <v>1339286</v>
      </c>
      <c r="K83" s="169">
        <v>1339286</v>
      </c>
      <c r="L83" s="171">
        <v>0</v>
      </c>
      <c r="M83" s="171">
        <v>0.03</v>
      </c>
      <c r="N83" s="171">
        <v>1</v>
      </c>
      <c r="O83" s="170">
        <v>17.25</v>
      </c>
      <c r="P83" s="172">
        <v>16.25</v>
      </c>
      <c r="Q83" s="172">
        <v>1</v>
      </c>
      <c r="R83" s="173">
        <v>0</v>
      </c>
      <c r="S83" s="173">
        <v>0</v>
      </c>
      <c r="T83" s="173">
        <v>0</v>
      </c>
      <c r="U83" s="249">
        <v>23102683.5</v>
      </c>
      <c r="V83" s="170" t="s">
        <v>344</v>
      </c>
      <c r="W83" s="170">
        <v>693080.505</v>
      </c>
      <c r="X83" s="170">
        <v>0</v>
      </c>
      <c r="Y83" s="170">
        <v>693080.505</v>
      </c>
      <c r="Z83" s="170">
        <v>0</v>
      </c>
      <c r="AA83" s="170">
        <v>0</v>
      </c>
      <c r="AB83" s="170">
        <v>0</v>
      </c>
      <c r="AC83" s="249">
        <v>21763397.5</v>
      </c>
      <c r="AD83" s="170">
        <v>1339286</v>
      </c>
      <c r="AE83" s="170">
        <v>0</v>
      </c>
      <c r="AF83" s="170">
        <v>-1339286</v>
      </c>
      <c r="AG83" s="170">
        <v>0</v>
      </c>
      <c r="AH83" s="250">
        <v>-37497337.5</v>
      </c>
      <c r="AI83" s="170">
        <v>0</v>
      </c>
      <c r="AJ83" s="170">
        <v>37497337.5</v>
      </c>
      <c r="AK83" s="251">
        <v>0</v>
      </c>
      <c r="AL83" s="174">
        <v>0</v>
      </c>
      <c r="AM83" s="170">
        <v>0</v>
      </c>
      <c r="AN83" s="171">
        <v>0</v>
      </c>
      <c r="AO83" s="174">
        <v>0</v>
      </c>
      <c r="AP83" s="170">
        <v>0</v>
      </c>
      <c r="AQ83" s="175">
        <v>1</v>
      </c>
      <c r="AR83" s="170">
        <v>23102683.5</v>
      </c>
      <c r="AS83" s="170">
        <v>17.25</v>
      </c>
      <c r="AT83" s="170">
        <v>-37497337.5</v>
      </c>
      <c r="AU83" s="170">
        <v>0</v>
      </c>
      <c r="AV83" s="170">
        <v>37497337.5</v>
      </c>
      <c r="AW83" s="170">
        <v>0</v>
      </c>
      <c r="AX83" s="170">
        <v>-37497337.5</v>
      </c>
      <c r="AY83" s="170">
        <v>0</v>
      </c>
      <c r="AZ83" s="170">
        <v>37497337.5</v>
      </c>
      <c r="BA83" s="170">
        <v>0</v>
      </c>
      <c r="BB83" s="170">
        <v>17.25</v>
      </c>
      <c r="BC83" s="170">
        <v>16.25</v>
      </c>
      <c r="BD83" s="170">
        <v>-38836623.5</v>
      </c>
      <c r="BE83" s="170">
        <v>0</v>
      </c>
      <c r="BF83" s="170">
        <v>38836623.5</v>
      </c>
      <c r="BG83" s="170">
        <v>0</v>
      </c>
      <c r="BH83" s="170">
        <v>-38836623.5</v>
      </c>
      <c r="BI83" s="170">
        <v>0</v>
      </c>
      <c r="BJ83" s="170">
        <v>38836623.5</v>
      </c>
      <c r="BK83" s="170">
        <v>0</v>
      </c>
      <c r="BL83" s="170">
        <v>0</v>
      </c>
      <c r="BM83" s="170" t="s">
        <v>352</v>
      </c>
      <c r="BN83" s="170">
        <v>0</v>
      </c>
      <c r="BO83" s="170" t="b">
        <v>0</v>
      </c>
      <c r="BP83" s="170">
        <v>38836623.5</v>
      </c>
      <c r="BQ83" s="172">
        <v>0</v>
      </c>
      <c r="BR83" s="171">
        <v>0</v>
      </c>
      <c r="BS83" s="177">
        <v>70</v>
      </c>
      <c r="BT83" s="171">
        <v>1339286</v>
      </c>
      <c r="BU83" s="235">
        <v>1339286</v>
      </c>
      <c r="BV83" s="171">
        <v>38</v>
      </c>
      <c r="BW83" s="178">
        <v>17.25</v>
      </c>
      <c r="BX83" s="178">
        <v>0</v>
      </c>
      <c r="BY83" s="170">
        <v>0</v>
      </c>
      <c r="BZ83" s="170">
        <v>60600021</v>
      </c>
      <c r="CA83" s="170">
        <v>60600021</v>
      </c>
      <c r="CB83" s="170">
        <v>60600021</v>
      </c>
      <c r="CC83" s="170">
        <v>0</v>
      </c>
      <c r="CD83" s="170">
        <v>0</v>
      </c>
      <c r="CE83" s="170">
        <v>0</v>
      </c>
      <c r="CF83" s="170">
        <v>0</v>
      </c>
      <c r="CG83" s="170">
        <v>-38836623.5</v>
      </c>
      <c r="CH83" s="170">
        <v>0</v>
      </c>
      <c r="CI83" s="170">
        <v>38836623.5</v>
      </c>
      <c r="CJ83" s="170">
        <v>0</v>
      </c>
      <c r="CK83" s="171">
        <v>0.03</v>
      </c>
      <c r="CL83" s="171">
        <v>0</v>
      </c>
    </row>
    <row r="84" spans="1:90" outlineLevel="3" x14ac:dyDescent="0.25">
      <c r="A84" s="141" t="s">
        <v>369</v>
      </c>
      <c r="B84" s="141" t="s">
        <v>450</v>
      </c>
      <c r="C84" s="141" t="s">
        <v>416</v>
      </c>
      <c r="D84" s="141" t="s">
        <v>417</v>
      </c>
      <c r="E84" s="141" t="s">
        <v>233</v>
      </c>
      <c r="F84" s="141" t="s">
        <v>413</v>
      </c>
      <c r="G84" s="141" t="s">
        <v>451</v>
      </c>
      <c r="H84" s="141" t="s">
        <v>350</v>
      </c>
      <c r="I84" s="167" t="s">
        <v>342</v>
      </c>
      <c r="J84" s="169">
        <v>0</v>
      </c>
      <c r="K84" s="169">
        <v>0</v>
      </c>
      <c r="L84" s="171">
        <v>0</v>
      </c>
      <c r="M84" s="171">
        <v>0.03</v>
      </c>
      <c r="N84" s="171">
        <v>1</v>
      </c>
      <c r="O84" s="170">
        <v>8.4375</v>
      </c>
      <c r="P84" s="172">
        <v>8.375</v>
      </c>
      <c r="Q84" s="172">
        <v>6.25E-2</v>
      </c>
      <c r="R84" s="173" t="s">
        <v>470</v>
      </c>
      <c r="S84" s="173">
        <v>0</v>
      </c>
      <c r="T84" s="173">
        <v>0</v>
      </c>
      <c r="U84" s="249">
        <v>0</v>
      </c>
      <c r="V84" s="170" t="s">
        <v>344</v>
      </c>
      <c r="W84" s="170">
        <v>0</v>
      </c>
      <c r="X84" s="170">
        <v>0</v>
      </c>
      <c r="Y84" s="170">
        <v>0</v>
      </c>
      <c r="Z84" s="170">
        <v>0</v>
      </c>
      <c r="AA84" s="170">
        <v>0</v>
      </c>
      <c r="AB84" s="170">
        <v>0</v>
      </c>
      <c r="AC84" s="249">
        <v>0</v>
      </c>
      <c r="AD84" s="170">
        <v>0</v>
      </c>
      <c r="AE84" s="170">
        <v>0</v>
      </c>
      <c r="AF84" s="170">
        <v>0</v>
      </c>
      <c r="AG84" s="170">
        <v>0</v>
      </c>
      <c r="AH84" s="250">
        <v>-2436856.65</v>
      </c>
      <c r="AI84" s="170">
        <v>0</v>
      </c>
      <c r="AJ84" s="170">
        <v>727840.46250000037</v>
      </c>
      <c r="AK84" s="251">
        <v>-1709016.1875</v>
      </c>
      <c r="AL84" s="174">
        <v>0</v>
      </c>
      <c r="AM84" s="170">
        <v>7841369.25</v>
      </c>
      <c r="AN84" s="171">
        <v>0</v>
      </c>
      <c r="AO84" s="174">
        <v>0</v>
      </c>
      <c r="AP84" s="170">
        <v>7841369.25</v>
      </c>
      <c r="AQ84" s="175">
        <v>1</v>
      </c>
      <c r="AR84" s="170">
        <v>0</v>
      </c>
      <c r="AS84" s="170">
        <v>8.4375</v>
      </c>
      <c r="AT84" s="170">
        <v>-1180226.9625000004</v>
      </c>
      <c r="AU84" s="170">
        <v>0</v>
      </c>
      <c r="AV84" s="170">
        <v>1180226.9625000004</v>
      </c>
      <c r="AW84" s="170">
        <v>0</v>
      </c>
      <c r="AX84" s="170">
        <v>-727840.46250000037</v>
      </c>
      <c r="AY84" s="170">
        <v>0</v>
      </c>
      <c r="AZ84" s="170">
        <v>727840.46250000037</v>
      </c>
      <c r="BA84" s="170">
        <v>0</v>
      </c>
      <c r="BB84" s="170">
        <v>8.4375</v>
      </c>
      <c r="BC84" s="170">
        <v>8.375</v>
      </c>
      <c r="BD84" s="170">
        <v>-1180226.9625000004</v>
      </c>
      <c r="BE84" s="170">
        <v>0</v>
      </c>
      <c r="BF84" s="170">
        <v>1180226.9625000004</v>
      </c>
      <c r="BG84" s="170">
        <v>0</v>
      </c>
      <c r="BH84" s="170">
        <v>-727840.46250000037</v>
      </c>
      <c r="BI84" s="170">
        <v>0</v>
      </c>
      <c r="BJ84" s="170">
        <v>727840.46250000037</v>
      </c>
      <c r="BK84" s="170">
        <v>0</v>
      </c>
      <c r="BL84" s="170">
        <v>7841369.25</v>
      </c>
      <c r="BM84" s="170" t="s">
        <v>352</v>
      </c>
      <c r="BN84" s="170">
        <v>0</v>
      </c>
      <c r="BO84" s="170" t="b">
        <v>0</v>
      </c>
      <c r="BP84" s="170">
        <v>727840.46250000037</v>
      </c>
      <c r="BQ84" s="172">
        <v>7.5</v>
      </c>
      <c r="BR84" s="171">
        <v>0</v>
      </c>
      <c r="BS84" s="177">
        <v>70</v>
      </c>
      <c r="BT84" s="171">
        <v>0</v>
      </c>
      <c r="BU84" s="235">
        <v>0</v>
      </c>
      <c r="BV84" s="171">
        <v>40</v>
      </c>
      <c r="BW84" s="178">
        <v>8.4375</v>
      </c>
      <c r="BX84" s="178">
        <v>0</v>
      </c>
      <c r="BY84" s="170">
        <v>0</v>
      </c>
      <c r="BZ84" s="170">
        <v>-5404512.5999999996</v>
      </c>
      <c r="CA84" s="170">
        <v>-5404512.5999999996</v>
      </c>
      <c r="CB84" s="170">
        <v>727840.46250000037</v>
      </c>
      <c r="CC84" s="170">
        <v>0</v>
      </c>
      <c r="CD84" s="170">
        <v>0</v>
      </c>
      <c r="CE84" s="170">
        <v>0</v>
      </c>
      <c r="CF84" s="170">
        <v>0</v>
      </c>
      <c r="CG84" s="170">
        <v>-2436856.65</v>
      </c>
      <c r="CH84" s="170">
        <v>0</v>
      </c>
      <c r="CI84" s="170">
        <v>727840.46250000037</v>
      </c>
      <c r="CJ84" s="170">
        <v>-1709016.1875</v>
      </c>
      <c r="CK84" s="171">
        <v>0.03</v>
      </c>
      <c r="CL84" s="171">
        <v>0</v>
      </c>
    </row>
    <row r="85" spans="1:90" s="193" customFormat="1" ht="20.100000000000001" customHeight="1" outlineLevel="2" x14ac:dyDescent="0.25">
      <c r="A85" s="180" t="s">
        <v>370</v>
      </c>
      <c r="B85" s="180"/>
      <c r="C85" s="180"/>
      <c r="D85" s="180"/>
      <c r="E85" s="180"/>
      <c r="F85" s="180"/>
      <c r="G85" s="180"/>
      <c r="H85" s="180"/>
      <c r="I85" s="181"/>
      <c r="J85" s="183"/>
      <c r="K85" s="183"/>
      <c r="L85" s="185"/>
      <c r="M85" s="185"/>
      <c r="N85" s="185"/>
      <c r="O85" s="184"/>
      <c r="P85" s="186"/>
      <c r="Q85" s="186"/>
      <c r="R85" s="187">
        <v>0</v>
      </c>
      <c r="S85" s="187">
        <v>0</v>
      </c>
      <c r="T85" s="187">
        <v>0</v>
      </c>
      <c r="U85" s="252">
        <v>23357220.25</v>
      </c>
      <c r="V85" s="184"/>
      <c r="W85" s="184">
        <v>693080.505</v>
      </c>
      <c r="X85" s="184">
        <v>0</v>
      </c>
      <c r="Y85" s="184">
        <v>693080.505</v>
      </c>
      <c r="Z85" s="184">
        <v>0</v>
      </c>
      <c r="AA85" s="184">
        <v>0</v>
      </c>
      <c r="AB85" s="184">
        <v>0</v>
      </c>
      <c r="AC85" s="252">
        <v>22047879.75</v>
      </c>
      <c r="AD85" s="184">
        <v>1309340.5</v>
      </c>
      <c r="AE85" s="184">
        <v>0</v>
      </c>
      <c r="AF85" s="184">
        <v>-1309340.5</v>
      </c>
      <c r="AG85" s="184">
        <v>0</v>
      </c>
      <c r="AH85" s="253">
        <v>-40065205.712499999</v>
      </c>
      <c r="AI85" s="184">
        <v>0</v>
      </c>
      <c r="AJ85" s="184">
        <v>38322501.462499999</v>
      </c>
      <c r="AK85" s="254">
        <v>-1742704.25</v>
      </c>
      <c r="AL85" s="188"/>
      <c r="AM85" s="184">
        <v>8226917.5625</v>
      </c>
      <c r="AN85" s="185"/>
      <c r="AO85" s="188"/>
      <c r="AP85" s="184">
        <v>8226917.5625</v>
      </c>
      <c r="AQ85" s="189"/>
      <c r="AR85" s="184"/>
      <c r="AS85" s="184"/>
      <c r="AT85" s="184">
        <v>-38696280.399999999</v>
      </c>
      <c r="AU85" s="184">
        <v>0</v>
      </c>
      <c r="AV85" s="184">
        <v>38696280.399999999</v>
      </c>
      <c r="AW85" s="184">
        <v>0</v>
      </c>
      <c r="AX85" s="184">
        <v>-38322501.462499999</v>
      </c>
      <c r="AY85" s="184">
        <v>0</v>
      </c>
      <c r="AZ85" s="184">
        <v>38322501.462499999</v>
      </c>
      <c r="BA85" s="184">
        <v>0</v>
      </c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6"/>
      <c r="BR85" s="185"/>
      <c r="BS85" s="191"/>
      <c r="BT85" s="185"/>
      <c r="BU85" s="228"/>
      <c r="BV85" s="185"/>
      <c r="BW85" s="192"/>
      <c r="BX85" s="192"/>
      <c r="BY85" s="184"/>
      <c r="BZ85" s="184"/>
      <c r="CA85" s="184">
        <v>55195508.399999999</v>
      </c>
      <c r="CB85" s="184"/>
      <c r="CC85" s="184"/>
      <c r="CD85" s="184"/>
      <c r="CE85" s="184"/>
      <c r="CF85" s="184"/>
      <c r="CG85" s="184"/>
      <c r="CH85" s="184"/>
      <c r="CI85" s="184"/>
      <c r="CJ85" s="184"/>
      <c r="CK85" s="185"/>
      <c r="CL85" s="185"/>
    </row>
    <row r="86" spans="1:90" outlineLevel="3" x14ac:dyDescent="0.25">
      <c r="A86" s="141" t="s">
        <v>389</v>
      </c>
      <c r="B86" s="141" t="s">
        <v>450</v>
      </c>
      <c r="C86" s="141" t="s">
        <v>416</v>
      </c>
      <c r="D86" s="141" t="s">
        <v>417</v>
      </c>
      <c r="E86" s="141" t="s">
        <v>234</v>
      </c>
      <c r="F86" s="141" t="s">
        <v>202</v>
      </c>
      <c r="G86" s="141" t="s">
        <v>451</v>
      </c>
      <c r="H86" s="141" t="s">
        <v>341</v>
      </c>
      <c r="I86" s="167" t="s">
        <v>390</v>
      </c>
      <c r="J86" s="169">
        <v>1</v>
      </c>
      <c r="K86" s="169">
        <v>1</v>
      </c>
      <c r="L86" s="171">
        <v>0</v>
      </c>
      <c r="M86" s="171">
        <v>0</v>
      </c>
      <c r="N86" s="171">
        <v>0</v>
      </c>
      <c r="O86" s="170">
        <v>2013591.6599838899</v>
      </c>
      <c r="P86" s="171">
        <v>2013591.6599838899</v>
      </c>
      <c r="Q86" s="171">
        <v>0</v>
      </c>
      <c r="R86" s="173" t="s">
        <v>471</v>
      </c>
      <c r="S86" s="173">
        <v>0</v>
      </c>
      <c r="T86" s="173">
        <v>0</v>
      </c>
      <c r="U86" s="249">
        <v>2013591.6599838899</v>
      </c>
      <c r="V86" s="170" t="s">
        <v>344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249">
        <v>2013591.6599838899</v>
      </c>
      <c r="AD86" s="170">
        <v>0</v>
      </c>
      <c r="AE86" s="170">
        <v>0</v>
      </c>
      <c r="AF86" s="170">
        <v>0</v>
      </c>
      <c r="AG86" s="170">
        <v>0</v>
      </c>
      <c r="AH86" s="250">
        <v>10892.84846088686</v>
      </c>
      <c r="AI86" s="170">
        <v>0</v>
      </c>
      <c r="AJ86" s="170">
        <v>-191227.664359366</v>
      </c>
      <c r="AK86" s="251">
        <v>-180334.81589847914</v>
      </c>
      <c r="AL86" s="174">
        <v>0</v>
      </c>
      <c r="AM86" s="170">
        <v>2002698.811523003</v>
      </c>
      <c r="AN86" s="171">
        <v>0</v>
      </c>
      <c r="AO86" s="174">
        <v>0</v>
      </c>
      <c r="AP86" s="170">
        <v>2002698.811523003</v>
      </c>
      <c r="AQ86" s="175">
        <v>1</v>
      </c>
      <c r="AR86" s="170">
        <v>0</v>
      </c>
      <c r="AS86" s="170">
        <v>2013591.6599838899</v>
      </c>
      <c r="AT86" s="170">
        <v>0</v>
      </c>
      <c r="AU86" s="170">
        <v>0</v>
      </c>
      <c r="AV86" s="170">
        <v>0</v>
      </c>
      <c r="AW86" s="170">
        <v>0</v>
      </c>
      <c r="AX86" s="170">
        <v>191227.66435936629</v>
      </c>
      <c r="AY86" s="170">
        <v>0</v>
      </c>
      <c r="AZ86" s="170">
        <v>-191227.664359366</v>
      </c>
      <c r="BA86" s="170">
        <v>2.9103830456733704E-10</v>
      </c>
      <c r="BB86" s="170" t="s">
        <v>202</v>
      </c>
      <c r="BC86" s="170" t="s">
        <v>202</v>
      </c>
      <c r="BD86" s="170">
        <v>0</v>
      </c>
      <c r="BE86" s="170">
        <v>0</v>
      </c>
      <c r="BF86" s="170">
        <v>0</v>
      </c>
      <c r="BG86" s="170">
        <v>0</v>
      </c>
      <c r="BH86" s="170">
        <v>191227.66435936629</v>
      </c>
      <c r="BI86" s="170">
        <v>0</v>
      </c>
      <c r="BJ86" s="170">
        <v>-191227.664359366</v>
      </c>
      <c r="BK86" s="170">
        <v>2.9103830456733704E-10</v>
      </c>
      <c r="BL86" s="170">
        <v>2002698.811523003</v>
      </c>
      <c r="BM86" s="170" t="s">
        <v>352</v>
      </c>
      <c r="BN86" s="170">
        <v>0</v>
      </c>
      <c r="BO86" s="170" t="b">
        <v>0</v>
      </c>
      <c r="BP86" s="170">
        <v>-191227.664359366</v>
      </c>
      <c r="BQ86" s="172">
        <v>0</v>
      </c>
      <c r="BR86" s="171">
        <v>0</v>
      </c>
      <c r="BS86" s="177">
        <v>78</v>
      </c>
      <c r="BT86" s="171">
        <v>0</v>
      </c>
      <c r="BU86" s="235">
        <v>0</v>
      </c>
      <c r="BV86" s="171">
        <v>277</v>
      </c>
      <c r="BW86" s="178">
        <v>0</v>
      </c>
      <c r="BX86" s="178">
        <v>0</v>
      </c>
      <c r="BY86" s="170">
        <v>0</v>
      </c>
      <c r="BZ86" s="170">
        <v>0</v>
      </c>
      <c r="CA86" s="170">
        <v>0</v>
      </c>
      <c r="CB86" s="170">
        <v>1822363.9956245236</v>
      </c>
      <c r="CC86" s="170">
        <v>0</v>
      </c>
      <c r="CD86" s="170">
        <v>0</v>
      </c>
      <c r="CE86" s="170">
        <v>0</v>
      </c>
      <c r="CF86" s="170">
        <v>0</v>
      </c>
      <c r="CG86" s="170">
        <v>10892.84846088686</v>
      </c>
      <c r="CH86" s="170">
        <v>0</v>
      </c>
      <c r="CI86" s="170">
        <v>-191227.664359366</v>
      </c>
      <c r="CJ86" s="170">
        <v>-180334.81589847914</v>
      </c>
      <c r="CK86" s="171">
        <v>0</v>
      </c>
      <c r="CL86" s="171">
        <v>0</v>
      </c>
    </row>
    <row r="87" spans="1:90" s="193" customFormat="1" ht="20.100000000000001" customHeight="1" outlineLevel="2" x14ac:dyDescent="0.25">
      <c r="A87" s="180" t="s">
        <v>392</v>
      </c>
      <c r="B87" s="180"/>
      <c r="C87" s="180"/>
      <c r="D87" s="180"/>
      <c r="E87" s="180"/>
      <c r="F87" s="180"/>
      <c r="G87" s="180"/>
      <c r="H87" s="180"/>
      <c r="I87" s="181"/>
      <c r="J87" s="183"/>
      <c r="K87" s="183"/>
      <c r="L87" s="185"/>
      <c r="M87" s="185"/>
      <c r="N87" s="185"/>
      <c r="O87" s="184"/>
      <c r="P87" s="185"/>
      <c r="Q87" s="185"/>
      <c r="R87" s="187">
        <v>0</v>
      </c>
      <c r="S87" s="187">
        <v>0</v>
      </c>
      <c r="T87" s="187">
        <v>0</v>
      </c>
      <c r="U87" s="252">
        <v>2013591.6599838899</v>
      </c>
      <c r="V87" s="184"/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252">
        <v>2013591.6599838899</v>
      </c>
      <c r="AD87" s="184">
        <v>0</v>
      </c>
      <c r="AE87" s="184">
        <v>0</v>
      </c>
      <c r="AF87" s="184">
        <v>0</v>
      </c>
      <c r="AG87" s="184">
        <v>0</v>
      </c>
      <c r="AH87" s="253">
        <v>10892.84846088686</v>
      </c>
      <c r="AI87" s="184">
        <v>0</v>
      </c>
      <c r="AJ87" s="184">
        <v>-191227.664359366</v>
      </c>
      <c r="AK87" s="254">
        <v>-180334.81589847914</v>
      </c>
      <c r="AL87" s="188"/>
      <c r="AM87" s="184">
        <v>2002698.811523003</v>
      </c>
      <c r="AN87" s="185"/>
      <c r="AO87" s="188"/>
      <c r="AP87" s="184">
        <v>2002698.811523003</v>
      </c>
      <c r="AQ87" s="189"/>
      <c r="AR87" s="184"/>
      <c r="AS87" s="184"/>
      <c r="AT87" s="184">
        <v>0</v>
      </c>
      <c r="AU87" s="184">
        <v>0</v>
      </c>
      <c r="AV87" s="184">
        <v>0</v>
      </c>
      <c r="AW87" s="184">
        <v>0</v>
      </c>
      <c r="AX87" s="184">
        <v>191227.66435936629</v>
      </c>
      <c r="AY87" s="184">
        <v>0</v>
      </c>
      <c r="AZ87" s="184">
        <v>-191227.664359366</v>
      </c>
      <c r="BA87" s="184">
        <v>2.9103830456733704E-10</v>
      </c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6"/>
      <c r="BR87" s="185"/>
      <c r="BS87" s="191"/>
      <c r="BT87" s="185"/>
      <c r="BU87" s="228"/>
      <c r="BV87" s="185"/>
      <c r="BW87" s="192"/>
      <c r="BX87" s="192"/>
      <c r="BY87" s="184"/>
      <c r="BZ87" s="184"/>
      <c r="CA87" s="184">
        <v>0</v>
      </c>
      <c r="CB87" s="184"/>
      <c r="CC87" s="184"/>
      <c r="CD87" s="184"/>
      <c r="CE87" s="184"/>
      <c r="CF87" s="184"/>
      <c r="CG87" s="184"/>
      <c r="CH87" s="184"/>
      <c r="CI87" s="184"/>
      <c r="CJ87" s="184"/>
      <c r="CK87" s="185"/>
      <c r="CL87" s="185"/>
    </row>
    <row r="88" spans="1:90" outlineLevel="3" x14ac:dyDescent="0.25">
      <c r="A88" s="141" t="s">
        <v>439</v>
      </c>
      <c r="B88" s="141" t="s">
        <v>450</v>
      </c>
      <c r="C88" s="141" t="s">
        <v>416</v>
      </c>
      <c r="D88" s="141" t="s">
        <v>417</v>
      </c>
      <c r="E88" s="141" t="s">
        <v>235</v>
      </c>
      <c r="F88" s="141" t="s">
        <v>440</v>
      </c>
      <c r="G88" s="141" t="s">
        <v>566</v>
      </c>
      <c r="H88" s="141" t="s">
        <v>379</v>
      </c>
      <c r="I88" s="167" t="s">
        <v>379</v>
      </c>
      <c r="J88" s="168">
        <v>1</v>
      </c>
      <c r="K88" s="169">
        <v>1</v>
      </c>
      <c r="L88" s="171">
        <v>0</v>
      </c>
      <c r="M88" s="171">
        <v>0</v>
      </c>
      <c r="N88" s="171">
        <v>1</v>
      </c>
      <c r="O88" s="170">
        <v>26054801.25</v>
      </c>
      <c r="P88" s="171">
        <v>26054801.25</v>
      </c>
      <c r="Q88" s="171">
        <v>0</v>
      </c>
      <c r="R88" s="173" t="s">
        <v>472</v>
      </c>
      <c r="S88" s="173">
        <v>0</v>
      </c>
      <c r="T88" s="173">
        <v>0</v>
      </c>
      <c r="U88" s="249">
        <v>26054801.25</v>
      </c>
      <c r="V88" s="170" t="s">
        <v>344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249">
        <v>26054801.25</v>
      </c>
      <c r="AD88" s="170">
        <v>0</v>
      </c>
      <c r="AE88" s="170">
        <v>0</v>
      </c>
      <c r="AF88" s="170">
        <v>0</v>
      </c>
      <c r="AG88" s="170">
        <v>0</v>
      </c>
      <c r="AH88" s="250">
        <v>-1027698.75</v>
      </c>
      <c r="AI88" s="170">
        <v>0</v>
      </c>
      <c r="AJ88" s="170">
        <v>1027698.75</v>
      </c>
      <c r="AK88" s="251">
        <v>0</v>
      </c>
      <c r="AL88" s="174">
        <v>0</v>
      </c>
      <c r="AM88" s="170">
        <v>27082500</v>
      </c>
      <c r="AN88" s="174">
        <v>0</v>
      </c>
      <c r="AO88" s="174">
        <v>0</v>
      </c>
      <c r="AP88" s="170">
        <v>26054801.25</v>
      </c>
      <c r="AQ88" s="175">
        <v>1</v>
      </c>
      <c r="AR88" s="170">
        <v>26054801.25</v>
      </c>
      <c r="AS88" s="170">
        <v>26054801.25</v>
      </c>
      <c r="AT88" s="170">
        <v>-1027698.75</v>
      </c>
      <c r="AU88" s="170">
        <v>0</v>
      </c>
      <c r="AV88" s="170">
        <v>1027698.75</v>
      </c>
      <c r="AW88" s="170">
        <v>0</v>
      </c>
      <c r="AX88" s="170">
        <v>-1027698.75</v>
      </c>
      <c r="AY88" s="170">
        <v>0</v>
      </c>
      <c r="AZ88" s="170">
        <v>1027698.75</v>
      </c>
      <c r="BA88" s="170">
        <v>0</v>
      </c>
      <c r="BB88" s="170" t="s">
        <v>202</v>
      </c>
      <c r="BC88" s="170" t="s">
        <v>202</v>
      </c>
      <c r="BD88" s="170">
        <v>-1027698.75</v>
      </c>
      <c r="BE88" s="170">
        <v>0</v>
      </c>
      <c r="BF88" s="170">
        <v>1027698.75</v>
      </c>
      <c r="BG88" s="170">
        <v>0</v>
      </c>
      <c r="BH88" s="170">
        <v>-1027698.75</v>
      </c>
      <c r="BI88" s="170">
        <v>0</v>
      </c>
      <c r="BJ88" s="170">
        <v>1027698.75</v>
      </c>
      <c r="BK88" s="170">
        <v>0</v>
      </c>
      <c r="BL88" s="170">
        <v>26054801.25</v>
      </c>
      <c r="BM88" s="170" t="s">
        <v>345</v>
      </c>
      <c r="BN88" s="170">
        <v>0</v>
      </c>
      <c r="BO88" s="170" t="b">
        <v>0</v>
      </c>
      <c r="BP88" s="170">
        <v>1027698.75</v>
      </c>
      <c r="BQ88" s="171">
        <v>0</v>
      </c>
      <c r="BR88" s="171">
        <v>0</v>
      </c>
      <c r="BS88" s="177">
        <v>73</v>
      </c>
      <c r="BT88" s="171">
        <v>0</v>
      </c>
      <c r="BU88" s="235">
        <v>0</v>
      </c>
      <c r="BV88" s="171">
        <v>132</v>
      </c>
      <c r="BW88" s="178">
        <v>0</v>
      </c>
      <c r="BX88" s="178">
        <v>0</v>
      </c>
      <c r="BY88" s="170">
        <v>0</v>
      </c>
      <c r="BZ88" s="170">
        <v>0</v>
      </c>
      <c r="CA88" s="170">
        <v>0</v>
      </c>
      <c r="CB88" s="170">
        <v>27082500</v>
      </c>
      <c r="CC88" s="170">
        <v>0</v>
      </c>
      <c r="CD88" s="170">
        <v>0</v>
      </c>
      <c r="CE88" s="170">
        <v>0</v>
      </c>
      <c r="CF88" s="170">
        <v>0</v>
      </c>
      <c r="CG88" s="170">
        <v>-1027698.75</v>
      </c>
      <c r="CH88" s="170">
        <v>0</v>
      </c>
      <c r="CI88" s="170">
        <v>1027698.75</v>
      </c>
      <c r="CJ88" s="170">
        <v>0</v>
      </c>
      <c r="CK88" s="171">
        <v>0</v>
      </c>
      <c r="CL88" s="171">
        <v>0</v>
      </c>
    </row>
    <row r="89" spans="1:90" outlineLevel="3" x14ac:dyDescent="0.25">
      <c r="A89" s="141" t="s">
        <v>439</v>
      </c>
      <c r="B89" s="141" t="s">
        <v>450</v>
      </c>
      <c r="C89" s="141" t="s">
        <v>416</v>
      </c>
      <c r="D89" s="141" t="s">
        <v>417</v>
      </c>
      <c r="E89" s="141" t="s">
        <v>236</v>
      </c>
      <c r="F89" s="141" t="s">
        <v>440</v>
      </c>
      <c r="G89" s="141" t="s">
        <v>451</v>
      </c>
      <c r="H89" s="141" t="s">
        <v>379</v>
      </c>
      <c r="I89" s="167" t="s">
        <v>379</v>
      </c>
      <c r="J89" s="168">
        <v>1</v>
      </c>
      <c r="K89" s="169">
        <v>1</v>
      </c>
      <c r="L89" s="171">
        <v>0</v>
      </c>
      <c r="M89" s="171">
        <v>0</v>
      </c>
      <c r="N89" s="171">
        <v>1</v>
      </c>
      <c r="O89" s="170">
        <v>1374750</v>
      </c>
      <c r="P89" s="171">
        <v>1374750</v>
      </c>
      <c r="Q89" s="171">
        <v>0</v>
      </c>
      <c r="R89" s="173" t="s">
        <v>473</v>
      </c>
      <c r="S89" s="173">
        <v>0</v>
      </c>
      <c r="T89" s="173">
        <v>0</v>
      </c>
      <c r="U89" s="249">
        <v>1374750</v>
      </c>
      <c r="V89" s="170" t="s">
        <v>344</v>
      </c>
      <c r="W89" s="170">
        <v>0</v>
      </c>
      <c r="X89" s="170">
        <v>0</v>
      </c>
      <c r="Y89" s="170">
        <v>0</v>
      </c>
      <c r="Z89" s="170">
        <v>0</v>
      </c>
      <c r="AA89" s="170">
        <v>0</v>
      </c>
      <c r="AB89" s="170">
        <v>0</v>
      </c>
      <c r="AC89" s="249">
        <v>1374750</v>
      </c>
      <c r="AD89" s="170">
        <v>0</v>
      </c>
      <c r="AE89" s="170">
        <v>0</v>
      </c>
      <c r="AF89" s="170">
        <v>0</v>
      </c>
      <c r="AG89" s="170">
        <v>0</v>
      </c>
      <c r="AH89" s="250">
        <v>0</v>
      </c>
      <c r="AI89" s="170">
        <v>0</v>
      </c>
      <c r="AJ89" s="170">
        <v>0</v>
      </c>
      <c r="AK89" s="251">
        <v>0</v>
      </c>
      <c r="AL89" s="174">
        <v>0</v>
      </c>
      <c r="AM89" s="170">
        <v>1374750</v>
      </c>
      <c r="AN89" s="174">
        <v>0</v>
      </c>
      <c r="AO89" s="174">
        <v>0</v>
      </c>
      <c r="AP89" s="170">
        <v>1374750</v>
      </c>
      <c r="AQ89" s="175">
        <v>1</v>
      </c>
      <c r="AR89" s="170">
        <v>1374750</v>
      </c>
      <c r="AS89" s="170">
        <v>1374750</v>
      </c>
      <c r="AT89" s="170">
        <v>0</v>
      </c>
      <c r="AU89" s="170">
        <v>0</v>
      </c>
      <c r="AV89" s="170">
        <v>0</v>
      </c>
      <c r="AW89" s="170">
        <v>0</v>
      </c>
      <c r="AX89" s="170">
        <v>0</v>
      </c>
      <c r="AY89" s="170">
        <v>0</v>
      </c>
      <c r="AZ89" s="170">
        <v>0</v>
      </c>
      <c r="BA89" s="170">
        <v>0</v>
      </c>
      <c r="BB89" s="170" t="s">
        <v>202</v>
      </c>
      <c r="BC89" s="170" t="s">
        <v>202</v>
      </c>
      <c r="BD89" s="170">
        <v>0</v>
      </c>
      <c r="BE89" s="170">
        <v>0</v>
      </c>
      <c r="BF89" s="170">
        <v>0</v>
      </c>
      <c r="BG89" s="170">
        <v>0</v>
      </c>
      <c r="BH89" s="170">
        <v>0</v>
      </c>
      <c r="BI89" s="170">
        <v>0</v>
      </c>
      <c r="BJ89" s="170">
        <v>0</v>
      </c>
      <c r="BK89" s="170">
        <v>0</v>
      </c>
      <c r="BL89" s="170">
        <v>1374750</v>
      </c>
      <c r="BM89" s="170" t="s">
        <v>345</v>
      </c>
      <c r="BN89" s="170">
        <v>0</v>
      </c>
      <c r="BO89" s="170" t="b">
        <v>0</v>
      </c>
      <c r="BP89" s="170">
        <v>0</v>
      </c>
      <c r="BQ89" s="171">
        <v>0</v>
      </c>
      <c r="BR89" s="171">
        <v>0</v>
      </c>
      <c r="BS89" s="177">
        <v>73</v>
      </c>
      <c r="BT89" s="171">
        <v>0</v>
      </c>
      <c r="BU89" s="235">
        <v>0</v>
      </c>
      <c r="BV89" s="171">
        <v>136</v>
      </c>
      <c r="BW89" s="178">
        <v>0</v>
      </c>
      <c r="BX89" s="178">
        <v>0</v>
      </c>
      <c r="BY89" s="170">
        <v>0</v>
      </c>
      <c r="BZ89" s="170">
        <v>0</v>
      </c>
      <c r="CA89" s="170">
        <v>0</v>
      </c>
      <c r="CB89" s="170">
        <v>1374750</v>
      </c>
      <c r="CC89" s="170">
        <v>0</v>
      </c>
      <c r="CD89" s="170">
        <v>0</v>
      </c>
      <c r="CE89" s="170">
        <v>0</v>
      </c>
      <c r="CF89" s="170">
        <v>0</v>
      </c>
      <c r="CG89" s="170">
        <v>0</v>
      </c>
      <c r="CH89" s="170">
        <v>0</v>
      </c>
      <c r="CI89" s="170">
        <v>0</v>
      </c>
      <c r="CJ89" s="170">
        <v>0</v>
      </c>
      <c r="CK89" s="171">
        <v>0</v>
      </c>
      <c r="CL89" s="171">
        <v>0</v>
      </c>
    </row>
    <row r="90" spans="1:90" s="193" customFormat="1" ht="20.100000000000001" customHeight="1" outlineLevel="2" x14ac:dyDescent="0.25">
      <c r="A90" s="180" t="s">
        <v>442</v>
      </c>
      <c r="B90" s="180"/>
      <c r="C90" s="180"/>
      <c r="D90" s="180"/>
      <c r="E90" s="180"/>
      <c r="F90" s="180"/>
      <c r="G90" s="180"/>
      <c r="H90" s="180"/>
      <c r="I90" s="181"/>
      <c r="J90" s="182"/>
      <c r="K90" s="183"/>
      <c r="L90" s="185"/>
      <c r="M90" s="185"/>
      <c r="N90" s="185"/>
      <c r="O90" s="184"/>
      <c r="P90" s="185"/>
      <c r="Q90" s="185"/>
      <c r="R90" s="187">
        <v>0</v>
      </c>
      <c r="S90" s="187">
        <v>0</v>
      </c>
      <c r="T90" s="187">
        <v>0</v>
      </c>
      <c r="U90" s="252">
        <v>27429551.25</v>
      </c>
      <c r="V90" s="184"/>
      <c r="W90" s="184">
        <v>0</v>
      </c>
      <c r="X90" s="184">
        <v>0</v>
      </c>
      <c r="Y90" s="184">
        <v>0</v>
      </c>
      <c r="Z90" s="184">
        <v>0</v>
      </c>
      <c r="AA90" s="184">
        <v>0</v>
      </c>
      <c r="AB90" s="184">
        <v>0</v>
      </c>
      <c r="AC90" s="252">
        <v>27429551.25</v>
      </c>
      <c r="AD90" s="184">
        <v>0</v>
      </c>
      <c r="AE90" s="184">
        <v>0</v>
      </c>
      <c r="AF90" s="184">
        <v>0</v>
      </c>
      <c r="AG90" s="184">
        <v>0</v>
      </c>
      <c r="AH90" s="253">
        <v>-1027698.75</v>
      </c>
      <c r="AI90" s="184">
        <v>0</v>
      </c>
      <c r="AJ90" s="184">
        <v>1027698.75</v>
      </c>
      <c r="AK90" s="254">
        <v>0</v>
      </c>
      <c r="AL90" s="188"/>
      <c r="AM90" s="184">
        <v>28457250</v>
      </c>
      <c r="AN90" s="188"/>
      <c r="AO90" s="188"/>
      <c r="AP90" s="184">
        <v>27429551.25</v>
      </c>
      <c r="AQ90" s="189"/>
      <c r="AR90" s="184"/>
      <c r="AS90" s="184"/>
      <c r="AT90" s="184">
        <v>-1027698.75</v>
      </c>
      <c r="AU90" s="184">
        <v>0</v>
      </c>
      <c r="AV90" s="184">
        <v>1027698.75</v>
      </c>
      <c r="AW90" s="184">
        <v>0</v>
      </c>
      <c r="AX90" s="184">
        <v>-1027698.75</v>
      </c>
      <c r="AY90" s="184">
        <v>0</v>
      </c>
      <c r="AZ90" s="184">
        <v>1027698.75</v>
      </c>
      <c r="BA90" s="184">
        <v>0</v>
      </c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5"/>
      <c r="BR90" s="185"/>
      <c r="BS90" s="191"/>
      <c r="BT90" s="185"/>
      <c r="BU90" s="228"/>
      <c r="BV90" s="185"/>
      <c r="BW90" s="192"/>
      <c r="BX90" s="192"/>
      <c r="BY90" s="184"/>
      <c r="BZ90" s="184"/>
      <c r="CA90" s="184">
        <v>0</v>
      </c>
      <c r="CB90" s="184"/>
      <c r="CC90" s="184"/>
      <c r="CD90" s="184"/>
      <c r="CE90" s="184"/>
      <c r="CF90" s="184"/>
      <c r="CG90" s="184"/>
      <c r="CH90" s="184"/>
      <c r="CI90" s="184"/>
      <c r="CJ90" s="184"/>
      <c r="CK90" s="185"/>
      <c r="CL90" s="185"/>
    </row>
    <row r="91" spans="1:90" s="204" customFormat="1" ht="30" customHeight="1" outlineLevel="1" x14ac:dyDescent="0.25">
      <c r="A91" s="180"/>
      <c r="B91" s="180" t="s">
        <v>474</v>
      </c>
      <c r="C91" s="180"/>
      <c r="D91" s="180"/>
      <c r="E91" s="180"/>
      <c r="F91" s="180"/>
      <c r="G91" s="180"/>
      <c r="H91" s="180"/>
      <c r="I91" s="181"/>
      <c r="J91" s="194"/>
      <c r="K91" s="194"/>
      <c r="L91" s="196"/>
      <c r="M91" s="196"/>
      <c r="N91" s="196"/>
      <c r="O91" s="195"/>
      <c r="P91" s="196"/>
      <c r="Q91" s="196"/>
      <c r="R91" s="198">
        <v>0</v>
      </c>
      <c r="S91" s="198">
        <v>0</v>
      </c>
      <c r="T91" s="198">
        <v>0</v>
      </c>
      <c r="U91" s="255">
        <v>144622040.9399839</v>
      </c>
      <c r="V91" s="195"/>
      <c r="W91" s="195">
        <v>693080.505</v>
      </c>
      <c r="X91" s="195">
        <v>0</v>
      </c>
      <c r="Y91" s="195">
        <v>693080.505</v>
      </c>
      <c r="Z91" s="195">
        <v>0</v>
      </c>
      <c r="AA91" s="195">
        <v>0</v>
      </c>
      <c r="AB91" s="195">
        <v>0</v>
      </c>
      <c r="AC91" s="255">
        <v>143312700.4399839</v>
      </c>
      <c r="AD91" s="195">
        <v>1309340.5</v>
      </c>
      <c r="AE91" s="195">
        <v>0</v>
      </c>
      <c r="AF91" s="195">
        <v>-1309340.5</v>
      </c>
      <c r="AG91" s="195">
        <v>0</v>
      </c>
      <c r="AH91" s="256">
        <v>-97240880.344039127</v>
      </c>
      <c r="AI91" s="195">
        <v>0</v>
      </c>
      <c r="AJ91" s="195">
        <v>95317841.278140649</v>
      </c>
      <c r="AK91" s="257">
        <v>-1923039.0658984792</v>
      </c>
      <c r="AL91" s="199"/>
      <c r="AM91" s="195">
        <v>246286291.37402299</v>
      </c>
      <c r="AN91" s="199"/>
      <c r="AO91" s="199"/>
      <c r="AP91" s="195">
        <v>190088513.53402299</v>
      </c>
      <c r="AQ91" s="200"/>
      <c r="AR91" s="195"/>
      <c r="AS91" s="195"/>
      <c r="AT91" s="195">
        <v>-95882847.88000001</v>
      </c>
      <c r="AU91" s="195">
        <v>0</v>
      </c>
      <c r="AV91" s="195">
        <v>95882847.88000001</v>
      </c>
      <c r="AW91" s="195">
        <v>0</v>
      </c>
      <c r="AX91" s="195">
        <v>-95317841.278140649</v>
      </c>
      <c r="AY91" s="195">
        <v>0</v>
      </c>
      <c r="AZ91" s="195">
        <v>95317841.278140649</v>
      </c>
      <c r="BA91" s="195">
        <v>2.9103830456733704E-10</v>
      </c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6"/>
      <c r="BR91" s="196"/>
      <c r="BS91" s="202"/>
      <c r="BT91" s="196"/>
      <c r="BU91" s="229"/>
      <c r="BV91" s="196"/>
      <c r="BW91" s="203"/>
      <c r="BX91" s="203"/>
      <c r="BY91" s="195"/>
      <c r="BZ91" s="195"/>
      <c r="CA91" s="195">
        <v>-4423370.09</v>
      </c>
      <c r="CB91" s="195"/>
      <c r="CC91" s="195"/>
      <c r="CD91" s="195"/>
      <c r="CE91" s="195"/>
      <c r="CF91" s="195"/>
      <c r="CG91" s="195"/>
      <c r="CH91" s="195"/>
      <c r="CI91" s="195"/>
      <c r="CJ91" s="195"/>
      <c r="CK91" s="196"/>
      <c r="CL91" s="196"/>
    </row>
    <row r="92" spans="1:90" s="193" customFormat="1" ht="20.100000000000001" hidden="1" customHeight="1" x14ac:dyDescent="0.25">
      <c r="A92" s="180" t="s">
        <v>475</v>
      </c>
      <c r="B92" s="180"/>
      <c r="C92" s="180"/>
      <c r="D92" s="180"/>
      <c r="E92" s="180"/>
      <c r="F92" s="180"/>
      <c r="G92" s="180"/>
      <c r="H92" s="180"/>
      <c r="I92" s="181"/>
      <c r="J92" s="183"/>
      <c r="K92" s="183"/>
      <c r="L92" s="185"/>
      <c r="M92" s="185"/>
      <c r="N92" s="185"/>
      <c r="O92" s="184"/>
      <c r="P92" s="185"/>
      <c r="Q92" s="185"/>
      <c r="R92" s="187">
        <v>0</v>
      </c>
      <c r="S92" s="187">
        <v>0</v>
      </c>
      <c r="T92" s="187">
        <v>0</v>
      </c>
      <c r="U92" s="252">
        <v>392678918.31466258</v>
      </c>
      <c r="V92" s="184"/>
      <c r="W92" s="184">
        <v>13140264.084319178</v>
      </c>
      <c r="X92" s="184">
        <v>0</v>
      </c>
      <c r="Y92" s="184">
        <v>13140264.084319178</v>
      </c>
      <c r="Z92" s="184">
        <v>0</v>
      </c>
      <c r="AA92" s="184">
        <v>0</v>
      </c>
      <c r="AB92" s="184">
        <v>0</v>
      </c>
      <c r="AC92" s="252">
        <v>391876668.69284934</v>
      </c>
      <c r="AD92" s="184">
        <v>802249.62181325967</v>
      </c>
      <c r="AE92" s="184">
        <v>0</v>
      </c>
      <c r="AF92" s="184">
        <v>-802249.62181325967</v>
      </c>
      <c r="AG92" s="184">
        <v>0</v>
      </c>
      <c r="AH92" s="253">
        <v>-240852146.93500081</v>
      </c>
      <c r="AI92" s="184">
        <v>0</v>
      </c>
      <c r="AJ92" s="184">
        <v>299560688.18674237</v>
      </c>
      <c r="AK92" s="254">
        <v>58708541.25174161</v>
      </c>
      <c r="AL92" s="188"/>
      <c r="AM92" s="184">
        <v>677383818.49901462</v>
      </c>
      <c r="AN92" s="188"/>
      <c r="AO92" s="188"/>
      <c r="AP92" s="184">
        <v>594617605.52901459</v>
      </c>
      <c r="AQ92" s="189"/>
      <c r="AR92" s="184"/>
      <c r="AS92" s="184"/>
      <c r="AT92" s="184">
        <v>-96631551.721838966</v>
      </c>
      <c r="AU92" s="184">
        <v>0</v>
      </c>
      <c r="AV92" s="184">
        <v>96631551.721838966</v>
      </c>
      <c r="AW92" s="184">
        <v>0</v>
      </c>
      <c r="AX92" s="184">
        <v>-299559315.51598591</v>
      </c>
      <c r="AY92" s="184">
        <v>-1372.6707564118635</v>
      </c>
      <c r="AZ92" s="184">
        <v>299560688.18674237</v>
      </c>
      <c r="BA92" s="184">
        <v>3.8562575355172157E-10</v>
      </c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4"/>
      <c r="BN92" s="184"/>
      <c r="BO92" s="184"/>
      <c r="BP92" s="184"/>
      <c r="BQ92" s="185"/>
      <c r="BR92" s="185"/>
      <c r="BS92" s="191"/>
      <c r="BT92" s="185"/>
      <c r="BU92" s="228"/>
      <c r="BV92" s="185"/>
      <c r="BW92" s="192"/>
      <c r="BX92" s="192"/>
      <c r="BY92" s="184"/>
      <c r="BZ92" s="184"/>
      <c r="CA92" s="184">
        <v>-43852753.249351166</v>
      </c>
      <c r="CB92" s="184"/>
      <c r="CC92" s="184"/>
      <c r="CD92" s="184"/>
      <c r="CE92" s="184"/>
      <c r="CF92" s="184"/>
      <c r="CG92" s="184"/>
      <c r="CH92" s="184"/>
      <c r="CI92" s="184"/>
      <c r="CJ92" s="184"/>
      <c r="CK92" s="185"/>
      <c r="CL92" s="185"/>
    </row>
    <row r="93" spans="1:90" s="204" customFormat="1" ht="30" customHeight="1" thickBot="1" x14ac:dyDescent="0.3">
      <c r="A93" s="207"/>
      <c r="B93" s="207" t="s">
        <v>475</v>
      </c>
      <c r="C93" s="207"/>
      <c r="D93" s="207"/>
      <c r="E93" s="207"/>
      <c r="F93" s="207"/>
      <c r="G93" s="207"/>
      <c r="H93" s="207"/>
      <c r="I93" s="208"/>
      <c r="J93" s="209"/>
      <c r="K93" s="209"/>
      <c r="L93" s="210"/>
      <c r="M93" s="210"/>
      <c r="N93" s="210"/>
      <c r="O93" s="211"/>
      <c r="P93" s="210"/>
      <c r="Q93" s="210"/>
      <c r="R93" s="212">
        <v>0</v>
      </c>
      <c r="S93" s="212">
        <v>0</v>
      </c>
      <c r="T93" s="212">
        <v>0</v>
      </c>
      <c r="U93" s="258">
        <v>392678918.31466258</v>
      </c>
      <c r="V93" s="211"/>
      <c r="W93" s="211">
        <v>13140264.084319178</v>
      </c>
      <c r="X93" s="211">
        <v>0</v>
      </c>
      <c r="Y93" s="211">
        <v>13140264.084319178</v>
      </c>
      <c r="Z93" s="211">
        <v>0</v>
      </c>
      <c r="AA93" s="211">
        <v>0</v>
      </c>
      <c r="AB93" s="211">
        <v>0</v>
      </c>
      <c r="AC93" s="258">
        <v>391876668.69284934</v>
      </c>
      <c r="AD93" s="211">
        <v>802249.62181325967</v>
      </c>
      <c r="AE93" s="211">
        <v>0</v>
      </c>
      <c r="AF93" s="211">
        <v>-802249.62181325967</v>
      </c>
      <c r="AG93" s="211">
        <v>0</v>
      </c>
      <c r="AH93" s="259">
        <v>-240852146.93500081</v>
      </c>
      <c r="AI93" s="211">
        <v>0</v>
      </c>
      <c r="AJ93" s="211">
        <v>299560688.18674237</v>
      </c>
      <c r="AK93" s="260">
        <v>58708541.25174161</v>
      </c>
      <c r="AL93" s="213"/>
      <c r="AM93" s="211">
        <v>677383818.49901462</v>
      </c>
      <c r="AN93" s="213"/>
      <c r="AO93" s="213"/>
      <c r="AP93" s="211">
        <v>594617605.52901459</v>
      </c>
      <c r="AQ93" s="214"/>
      <c r="AR93" s="211"/>
      <c r="AS93" s="211"/>
      <c r="AT93" s="211">
        <v>-96631551.721838966</v>
      </c>
      <c r="AU93" s="211">
        <v>0</v>
      </c>
      <c r="AV93" s="211">
        <v>96631551.721838966</v>
      </c>
      <c r="AW93" s="211">
        <v>0</v>
      </c>
      <c r="AX93" s="211">
        <v>-299559315.51598591</v>
      </c>
      <c r="AY93" s="211">
        <v>-1372.6707564118635</v>
      </c>
      <c r="AZ93" s="211">
        <v>299560688.18674237</v>
      </c>
      <c r="BA93" s="211">
        <v>3.8562575355172157E-10</v>
      </c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0"/>
      <c r="BR93" s="210"/>
      <c r="BS93" s="215"/>
      <c r="BT93" s="210"/>
      <c r="BU93" s="230"/>
      <c r="BV93" s="210"/>
      <c r="BW93" s="216"/>
      <c r="BX93" s="216"/>
      <c r="BY93" s="211"/>
      <c r="BZ93" s="211"/>
      <c r="CA93" s="211">
        <v>-43852753.249351166</v>
      </c>
      <c r="CB93" s="211"/>
      <c r="CC93" s="211"/>
      <c r="CD93" s="211"/>
      <c r="CE93" s="211"/>
      <c r="CF93" s="211"/>
      <c r="CG93" s="211"/>
      <c r="CH93" s="211"/>
      <c r="CI93" s="211"/>
      <c r="CJ93" s="211"/>
      <c r="CK93" s="210"/>
      <c r="CL93" s="210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9 BL37:BL48 AC47:AC48 AP4:AP48 AM4:AM48 AM56:AM57 BL56:BL57 AC56:AC57 AP56:AP57 AC83:AC88 BL83:BL93 AM83:AM93 AP83:AP93">
    <cfRule type="cellIs" priority="1" stopIfTrue="1" operator="notEqual">
      <formula>"$BM$54"</formula>
    </cfRule>
  </conditionalFormatting>
  <conditionalFormatting sqref="BO4:BO93">
    <cfRule type="cellIs" dxfId="1" priority="2" stopIfTrue="1" operator="notEqual">
      <formula>FALSE</formula>
    </cfRule>
  </conditionalFormatting>
  <conditionalFormatting sqref="BN4:BN93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2023-09-17T16:21:30Z</dcterms:modified>
</cp:coreProperties>
</file>