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60BB017-F0AB-4CBC-B128-AB931B3EFA23}" xr6:coauthVersionLast="47" xr6:coauthVersionMax="47" xr10:uidLastSave="{00000000-0000-0000-0000-000000000000}"/>
  <bookViews>
    <workbookView xWindow="-120" yWindow="-120" windowWidth="38640" windowHeight="15720" tabRatio="793"/>
  </bookViews>
  <sheets>
    <sheet name="Summary" sheetId="13" r:id="rId1"/>
    <sheet name="Credit Analysis" sheetId="2" r:id="rId2"/>
    <sheet name="50 NR" sheetId="3" state="hidden" r:id="rId3"/>
    <sheet name="258 NP" sheetId="5" state="hidden" r:id="rId4"/>
    <sheet name="50 NP" sheetId="4" state="hidden" r:id="rId5"/>
    <sheet name="Hawaii Summary" sheetId="6" r:id="rId6"/>
    <sheet name="A Amort" sheetId="8" state="hidden" r:id="rId7"/>
    <sheet name="A TRS" sheetId="12" state="hidden" r:id="rId8"/>
    <sheet name="B_D Amort" sheetId="9" state="hidden" r:id="rId9"/>
    <sheet name="B_D TRS" sheetId="10" state="hidden" r:id="rId10"/>
    <sheet name="C Amort" sheetId="7" state="hidden" r:id="rId11"/>
    <sheet name="C TRS" sheetId="11" state="hidden" r:id="rId12"/>
    <sheet name="Notional Analysis" sheetId="1" r:id="rId13"/>
  </sheet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C11" i="2"/>
  <c r="B13" i="2"/>
  <c r="B14" i="2"/>
  <c r="E14" i="2"/>
  <c r="B15" i="2"/>
  <c r="E15" i="2"/>
  <c r="B16" i="2"/>
  <c r="E16" i="2"/>
  <c r="E17" i="2"/>
  <c r="E18" i="2"/>
  <c r="B19" i="2"/>
  <c r="E19" i="2"/>
  <c r="E21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<sst xmlns="http://schemas.openxmlformats.org/spreadsheetml/2006/main" count="373" uniqueCount="159">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</sst>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54</xdr:row>
      <xdr:rowOff>85725</xdr:rowOff>
    </xdr:from>
    <xdr:to>
      <xdr:col>5</xdr:col>
      <xdr:colOff>800100</xdr:colOff>
      <xdr:row>58</xdr:row>
      <xdr:rowOff>85725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43B19509-DCBA-480D-866D-A7A4B850B606}"/>
            </a:ext>
          </a:extLst>
        </xdr:cNvPr>
        <xdr:cNvSpPr txBox="1">
          <a:spLocks noChangeArrowheads="1"/>
        </xdr:cNvSpPr>
      </xdr:nvSpPr>
      <xdr:spPr bwMode="auto">
        <a:xfrm>
          <a:off x="485775" y="8905875"/>
          <a:ext cx="4762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5" sqref="C15"/>
    </sheetView>
  </sheetViews>
  <sheetFormatPr defaultRowHeight="12.75" x14ac:dyDescent="0.2"/>
  <cols>
    <col min="2" max="2" width="35.28515625" bestFit="1" customWidth="1"/>
    <col min="3" max="5" width="17.85546875" customWidth="1"/>
  </cols>
  <sheetData>
    <row r="1" spans="1:6" x14ac:dyDescent="0.2">
      <c r="A1" s="77"/>
      <c r="B1" s="78"/>
      <c r="C1" s="78"/>
      <c r="D1" s="78"/>
      <c r="E1" s="78"/>
      <c r="F1" s="79"/>
    </row>
    <row r="2" spans="1:6" ht="18.75" x14ac:dyDescent="0.3">
      <c r="A2" s="68"/>
      <c r="B2" s="91" t="s">
        <v>158</v>
      </c>
      <c r="C2" s="91"/>
      <c r="D2" s="91"/>
      <c r="E2" s="91"/>
      <c r="F2" s="70"/>
    </row>
    <row r="3" spans="1:6" x14ac:dyDescent="0.2">
      <c r="A3" s="68"/>
      <c r="B3" s="69"/>
      <c r="C3" s="69"/>
      <c r="D3" s="69"/>
      <c r="E3" s="69"/>
      <c r="F3" s="70"/>
    </row>
    <row r="4" spans="1:6" ht="15.75" x14ac:dyDescent="0.25">
      <c r="A4" s="68"/>
      <c r="B4" s="80" t="s">
        <v>146</v>
      </c>
      <c r="C4" s="69"/>
      <c r="D4" s="69"/>
      <c r="E4" s="69"/>
      <c r="F4" s="70"/>
    </row>
    <row r="5" spans="1:6" ht="15.75" x14ac:dyDescent="0.25">
      <c r="A5" s="68"/>
      <c r="B5" s="69" t="s">
        <v>147</v>
      </c>
      <c r="C5" s="81">
        <f>+'Credit Analysis'!B3</f>
        <v>36887</v>
      </c>
      <c r="D5" s="82" t="s">
        <v>148</v>
      </c>
      <c r="E5" s="83">
        <f>+C5-1</f>
        <v>36886</v>
      </c>
      <c r="F5" s="70"/>
    </row>
    <row r="6" spans="1:6" x14ac:dyDescent="0.2">
      <c r="A6" s="68"/>
      <c r="B6" s="69"/>
      <c r="C6" s="69"/>
      <c r="D6" s="69"/>
      <c r="E6" s="69"/>
      <c r="F6" s="70"/>
    </row>
    <row r="7" spans="1:6" x14ac:dyDescent="0.2">
      <c r="A7" s="68"/>
      <c r="B7" s="69"/>
      <c r="C7" s="69"/>
      <c r="D7" s="69"/>
      <c r="E7" s="69"/>
      <c r="F7" s="70"/>
    </row>
    <row r="8" spans="1:6" ht="15.75" x14ac:dyDescent="0.25">
      <c r="A8" s="68"/>
      <c r="B8" s="80" t="s">
        <v>149</v>
      </c>
      <c r="C8" s="69"/>
      <c r="D8" s="69"/>
      <c r="E8" s="69"/>
      <c r="F8" s="70"/>
    </row>
    <row r="9" spans="1:6" ht="15.75" x14ac:dyDescent="0.25">
      <c r="A9" s="68"/>
      <c r="B9" s="84"/>
      <c r="C9" s="69"/>
      <c r="D9" s="69"/>
      <c r="E9" s="69"/>
      <c r="F9" s="70"/>
    </row>
    <row r="10" spans="1:6" x14ac:dyDescent="0.2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">
      <c r="A11" s="68"/>
      <c r="B11" s="69"/>
      <c r="C11" s="85"/>
      <c r="D11" s="85"/>
      <c r="E11" s="85"/>
      <c r="F11" s="70"/>
    </row>
    <row r="12" spans="1:6" x14ac:dyDescent="0.2">
      <c r="A12" s="68"/>
      <c r="B12" s="69" t="s">
        <v>154</v>
      </c>
      <c r="C12" s="59">
        <v>-241725016.20000002</v>
      </c>
      <c r="D12" s="59">
        <v>0</v>
      </c>
      <c r="E12" s="59">
        <f>+C12-D12</f>
        <v>-241725016.20000002</v>
      </c>
      <c r="F12" s="70"/>
    </row>
    <row r="13" spans="1:6" x14ac:dyDescent="0.2">
      <c r="A13" s="68"/>
      <c r="B13" s="69" t="s">
        <v>155</v>
      </c>
      <c r="C13" s="86">
        <f>+C15-C12</f>
        <v>30392317.200000018</v>
      </c>
      <c r="D13" s="86">
        <f>+D15-D12</f>
        <v>0</v>
      </c>
      <c r="E13" s="86">
        <f>+E15-E12</f>
        <v>30392317.200000018</v>
      </c>
      <c r="F13" s="70"/>
    </row>
    <row r="14" spans="1:6" x14ac:dyDescent="0.2">
      <c r="A14" s="68"/>
      <c r="B14" s="69"/>
      <c r="C14" s="59"/>
      <c r="D14" s="59"/>
      <c r="E14" s="59"/>
      <c r="F14" s="70"/>
    </row>
    <row r="15" spans="1:6" ht="13.5" thickBot="1" x14ac:dyDescent="0.25">
      <c r="A15" s="68"/>
      <c r="B15" s="69" t="s">
        <v>156</v>
      </c>
      <c r="C15" s="87">
        <f>+'Credit Analysis'!C27</f>
        <v>-211332699</v>
      </c>
      <c r="D15" s="87">
        <v>0</v>
      </c>
      <c r="E15" s="87">
        <f>+C15-D15</f>
        <v>-211332699</v>
      </c>
      <c r="F15" s="70"/>
    </row>
    <row r="16" spans="1:6" ht="13.5" thickTop="1" x14ac:dyDescent="0.2">
      <c r="A16" s="68"/>
      <c r="B16" s="69"/>
      <c r="C16" s="59"/>
      <c r="D16" s="59"/>
      <c r="E16" s="59"/>
      <c r="F16" s="70"/>
    </row>
    <row r="17" spans="1:6" x14ac:dyDescent="0.2">
      <c r="A17" s="68"/>
      <c r="B17" s="69"/>
      <c r="C17" s="69"/>
      <c r="D17" s="69"/>
      <c r="E17" s="69"/>
      <c r="F17" s="70"/>
    </row>
    <row r="18" spans="1:6" x14ac:dyDescent="0.2">
      <c r="A18" s="68"/>
      <c r="B18" s="69" t="s">
        <v>21</v>
      </c>
      <c r="C18" s="59">
        <f>IF(+'Credit Analysis'!C55&gt;0,+'Credit Analysis'!C55,0)</f>
        <v>0</v>
      </c>
      <c r="D18" s="69"/>
      <c r="E18" s="69"/>
      <c r="F18" s="70"/>
    </row>
    <row r="19" spans="1:6" x14ac:dyDescent="0.2">
      <c r="A19" s="68"/>
      <c r="B19" s="69"/>
      <c r="C19" s="59"/>
      <c r="D19" s="69"/>
      <c r="E19" s="69"/>
      <c r="F19" s="70"/>
    </row>
    <row r="20" spans="1:6" x14ac:dyDescent="0.2">
      <c r="A20" s="68"/>
      <c r="B20" s="69"/>
      <c r="C20" s="59"/>
      <c r="D20" s="69"/>
      <c r="E20" s="69"/>
      <c r="F20" s="70"/>
    </row>
    <row r="21" spans="1:6" x14ac:dyDescent="0.2">
      <c r="A21" s="68"/>
      <c r="B21" s="69" t="s">
        <v>157</v>
      </c>
      <c r="C21" s="59">
        <f>+'Credit Analysis'!C42</f>
        <v>-4597186.353333354</v>
      </c>
      <c r="D21" s="69"/>
      <c r="E21" s="69"/>
      <c r="F21" s="70"/>
    </row>
    <row r="22" spans="1:6" x14ac:dyDescent="0.2">
      <c r="A22" s="68"/>
      <c r="B22" s="69"/>
      <c r="C22" s="59"/>
      <c r="D22" s="69"/>
      <c r="E22" s="69"/>
      <c r="F22" s="70"/>
    </row>
    <row r="23" spans="1:6" x14ac:dyDescent="0.2">
      <c r="A23" s="68"/>
      <c r="B23" s="69"/>
      <c r="C23" s="59"/>
      <c r="D23" s="69"/>
      <c r="E23" s="69"/>
      <c r="F23" s="70"/>
    </row>
    <row r="24" spans="1:6" ht="15.75" x14ac:dyDescent="0.25">
      <c r="A24" s="68"/>
      <c r="B24" s="88"/>
      <c r="C24" s="59"/>
      <c r="D24" s="69"/>
      <c r="E24" s="69"/>
      <c r="F24" s="70"/>
    </row>
    <row r="25" spans="1:6" ht="13.5" thickBot="1" x14ac:dyDescent="0.25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6" bestFit="1" customWidth="1"/>
    <col min="3" max="3" width="13.42578125" bestFit="1" customWidth="1"/>
    <col min="4" max="4" width="15.5703125" bestFit="1" customWidth="1"/>
    <col min="5" max="5" width="12.28515625" bestFit="1" customWidth="1"/>
    <col min="6" max="7" width="13.42578125" bestFit="1" customWidth="1"/>
    <col min="8" max="8" width="10.7109375" bestFit="1" customWidth="1"/>
    <col min="10" max="10" width="10.7109375" bestFit="1" customWidth="1"/>
  </cols>
  <sheetData>
    <row r="1" spans="1:9" x14ac:dyDescent="0.2">
      <c r="A1" s="1" t="s">
        <v>105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87503189.794453338</v>
      </c>
      <c r="E4" s="28">
        <f>'Hawaii Summary'!H6</f>
        <v>3954146</v>
      </c>
      <c r="F4" s="45">
        <f>'Hawaii Summary'!I6</f>
        <v>0.15</v>
      </c>
      <c r="G4" s="27">
        <f>'Hawaii Summary'!J6</f>
        <v>89</v>
      </c>
      <c r="H4" s="41">
        <f>'Hawaii Summary'!K6</f>
        <v>4000277.7033333331</v>
      </c>
      <c r="I4" s="41"/>
    </row>
    <row r="6" spans="1:9" x14ac:dyDescent="0.2">
      <c r="A6" t="s">
        <v>75</v>
      </c>
      <c r="B6" s="48">
        <f>'Hawaii Summary'!B11</f>
        <v>9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76123800</v>
      </c>
      <c r="C10" s="28">
        <f>B4*B7*'Notional Analysis'!C8</f>
        <v>177622200</v>
      </c>
      <c r="E10" t="s">
        <v>122</v>
      </c>
      <c r="G10" s="20">
        <f>B4*B6*'Notional Analysis'!C8</f>
        <v>76123800</v>
      </c>
    </row>
    <row r="11" spans="1:9" x14ac:dyDescent="0.2">
      <c r="A11" t="s">
        <v>108</v>
      </c>
      <c r="B11" s="20">
        <f>D4+H4</f>
        <v>91503467.497786671</v>
      </c>
      <c r="C11" s="28">
        <f>B11</f>
        <v>91503467.497786671</v>
      </c>
      <c r="E11" t="s">
        <v>123</v>
      </c>
      <c r="G11" s="54">
        <f>D4+H4</f>
        <v>91503467.497786671</v>
      </c>
    </row>
    <row r="12" spans="1:9" x14ac:dyDescent="0.2">
      <c r="A12" t="s">
        <v>111</v>
      </c>
      <c r="B12" s="20">
        <f>IF(B10&gt;=B11,0,IF(B11-B10&gt;=E4,E4,B11-B10))</f>
        <v>3954146</v>
      </c>
      <c r="C12" s="28"/>
      <c r="G12" s="20">
        <f>G10-G11</f>
        <v>-15379667.497786671</v>
      </c>
    </row>
    <row r="13" spans="1:9" x14ac:dyDescent="0.2">
      <c r="C13" s="28"/>
      <c r="E13" t="s">
        <v>75</v>
      </c>
      <c r="F13" s="20">
        <f>B4*B6*'Notional Analysis'!C8</f>
        <v>76123800</v>
      </c>
    </row>
    <row r="14" spans="1:9" x14ac:dyDescent="0.2">
      <c r="A14" t="s">
        <v>109</v>
      </c>
      <c r="B14" s="20">
        <f>D4</f>
        <v>87503189.794453338</v>
      </c>
      <c r="C14" s="28">
        <f>B14</f>
        <v>87503189.794453338</v>
      </c>
      <c r="E14" t="s">
        <v>104</v>
      </c>
      <c r="F14" s="20">
        <f>B7*B4*'Notional Analysis'!C8</f>
        <v>177622200</v>
      </c>
    </row>
    <row r="15" spans="1:9" x14ac:dyDescent="0.2">
      <c r="A15" t="s">
        <v>110</v>
      </c>
      <c r="B15" s="54">
        <f>B10-E4+B12</f>
        <v>76123800</v>
      </c>
      <c r="C15" s="59">
        <f>C10-E4+C12</f>
        <v>173668054</v>
      </c>
      <c r="F15" s="20"/>
      <c r="G15" s="20">
        <f>-F14+F13</f>
        <v>-101498400</v>
      </c>
    </row>
    <row r="16" spans="1:9" ht="13.5" thickBot="1" x14ac:dyDescent="0.25">
      <c r="A16" t="s">
        <v>117</v>
      </c>
      <c r="B16" s="20">
        <f>B15-B14</f>
        <v>-11379389.794453338</v>
      </c>
      <c r="C16" s="60">
        <f>C15-C14</f>
        <v>86164864.205546662</v>
      </c>
      <c r="D16" s="61" t="s">
        <v>115</v>
      </c>
      <c r="F16" s="20"/>
      <c r="G16" s="17">
        <f>G12-G15</f>
        <v>86118732.502213329</v>
      </c>
      <c r="H16" s="20">
        <f>C16-G16</f>
        <v>46131.703333333135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173668054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97544254</v>
      </c>
      <c r="C20" s="28"/>
    </row>
    <row r="21" spans="1:3" x14ac:dyDescent="0.2">
      <c r="A21" t="s">
        <v>116</v>
      </c>
      <c r="B21" s="20">
        <f>-B14+B15-B19+B20</f>
        <v>86164864.205546662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bestFit="1" customWidth="1"/>
    <col min="3" max="3" width="8.28515625" style="45" customWidth="1"/>
    <col min="4" max="4" width="10.5703125" bestFit="1" customWidth="1"/>
    <col min="5" max="5" width="12.28515625" bestFit="1" customWidth="1"/>
    <col min="6" max="6" width="12.5703125" style="41" bestFit="1" customWidth="1"/>
    <col min="7" max="7" width="12.7109375" style="41" bestFit="1" customWidth="1"/>
    <col min="8" max="8" width="12.5703125" bestFit="1" customWidth="1"/>
    <col min="10" max="10" width="11.7109375" customWidth="1"/>
    <col min="11" max="11" width="12.42578125" bestFit="1" customWidth="1"/>
    <col min="12" max="12" width="10.42578125" bestFit="1" customWidth="1"/>
    <col min="13" max="13" width="12.140625" style="41" bestFit="1" customWidth="1"/>
    <col min="14" max="15" width="10" bestFit="1" customWidth="1"/>
  </cols>
  <sheetData>
    <row r="1" spans="1:15" x14ac:dyDescent="0.2">
      <c r="A1" s="1" t="s">
        <v>89</v>
      </c>
      <c r="F1"/>
      <c r="G1" s="41" t="s">
        <v>94</v>
      </c>
      <c r="H1" s="25">
        <f>'Credit Analysis'!B3</f>
        <v>36887</v>
      </c>
      <c r="J1" s="1" t="s">
        <v>86</v>
      </c>
    </row>
    <row r="2" spans="1:15" x14ac:dyDescent="0.2">
      <c r="D2" t="s">
        <v>87</v>
      </c>
      <c r="E2" s="27">
        <f>H1-H2</f>
        <v>29</v>
      </c>
      <c r="F2"/>
      <c r="G2" s="41" t="s">
        <v>99</v>
      </c>
      <c r="H2" s="25">
        <f>VLOOKUP(H1,C_Debt,1)</f>
        <v>36858</v>
      </c>
    </row>
    <row r="3" spans="1:15" x14ac:dyDescent="0.2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">
      <c r="A4" t="s">
        <v>25</v>
      </c>
      <c r="B4" s="25">
        <f>'Hawaii Summary'!B7</f>
        <v>36766</v>
      </c>
      <c r="D4" t="s">
        <v>98</v>
      </c>
      <c r="E4" s="28">
        <f>F4*$E$2/30</f>
        <v>184324.28250833336</v>
      </c>
      <c r="F4" s="41">
        <f>VLOOKUP($H$1+30,C_Debt,5)</f>
        <v>190680.29225000003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10879.289583333333</v>
      </c>
      <c r="O4" s="41">
        <f>VLOOKUP($H$1+30,C_Equity,3)</f>
        <v>11254.4375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29295819.282508332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911234.2895833333</v>
      </c>
    </row>
    <row r="6" spans="1:15" ht="13.5" thickTop="1" x14ac:dyDescent="0.2">
      <c r="E6" s="27"/>
      <c r="J6" s="1" t="s">
        <v>34</v>
      </c>
      <c r="K6" s="24">
        <f>PMT(K4/12,K5,-K3)</f>
        <v>28740.604619660302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3.140625" bestFit="1" customWidth="1"/>
    <col min="3" max="4" width="12.28515625" bestFit="1" customWidth="1"/>
    <col min="5" max="5" width="9.7109375" bestFit="1" customWidth="1"/>
    <col min="6" max="6" width="12.28515625" bestFit="1" customWidth="1"/>
    <col min="7" max="8" width="12.85546875" bestFit="1" customWidth="1"/>
    <col min="10" max="10" width="10.42578125" bestFit="1" customWidth="1"/>
  </cols>
  <sheetData>
    <row r="1" spans="1:9" x14ac:dyDescent="0.2">
      <c r="A1" s="1" t="s">
        <v>121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29295819.282508332</v>
      </c>
      <c r="E4" s="28">
        <f>'Hawaii Summary'!H7</f>
        <v>900355</v>
      </c>
      <c r="F4" s="45">
        <f>'Hawaii Summary'!I7</f>
        <v>0.15</v>
      </c>
      <c r="G4" s="27">
        <f>'Hawaii Summary'!J7</f>
        <v>121</v>
      </c>
      <c r="H4" s="28">
        <f>'Hawaii Summary'!K7</f>
        <v>911234.2895833333</v>
      </c>
      <c r="I4" s="41"/>
    </row>
    <row r="6" spans="1:9" x14ac:dyDescent="0.2">
      <c r="A6" t="s">
        <v>75</v>
      </c>
      <c r="B6" s="48">
        <f>'Hawaii Summary'!B11</f>
        <v>9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25119000</v>
      </c>
      <c r="C10" s="28">
        <f>B4*B7*'Notional Analysis'!C8</f>
        <v>58611000</v>
      </c>
      <c r="E10" t="s">
        <v>122</v>
      </c>
      <c r="G10" s="20">
        <f>B4*B6*'Notional Analysis'!C8</f>
        <v>25119000</v>
      </c>
    </row>
    <row r="11" spans="1:9" x14ac:dyDescent="0.2">
      <c r="A11" t="s">
        <v>108</v>
      </c>
      <c r="B11" s="20">
        <f>D4+H4</f>
        <v>30207053.572091665</v>
      </c>
      <c r="C11" s="28">
        <f>B11</f>
        <v>30207053.572091665</v>
      </c>
      <c r="E11" t="s">
        <v>123</v>
      </c>
      <c r="G11" s="54">
        <f>D4+H4</f>
        <v>30207053.572091665</v>
      </c>
    </row>
    <row r="12" spans="1:9" x14ac:dyDescent="0.2">
      <c r="A12" t="s">
        <v>111</v>
      </c>
      <c r="B12" s="20">
        <f>IF(B10&gt;=B11,0,IF(B11-B10&gt;=E4,E4,B11-B10))</f>
        <v>900355</v>
      </c>
      <c r="C12" s="20"/>
      <c r="G12" s="20">
        <f>G10-G11</f>
        <v>-5088053.5720916651</v>
      </c>
    </row>
    <row r="13" spans="1:9" x14ac:dyDescent="0.2">
      <c r="C13" s="28"/>
      <c r="E13" t="s">
        <v>75</v>
      </c>
      <c r="F13" s="20">
        <f>B4*B6*'Notional Analysis'!C8</f>
        <v>25119000</v>
      </c>
    </row>
    <row r="14" spans="1:9" x14ac:dyDescent="0.2">
      <c r="A14" t="s">
        <v>109</v>
      </c>
      <c r="B14" s="20">
        <f>D4</f>
        <v>29295819.282508332</v>
      </c>
      <c r="C14" s="28">
        <f>B14</f>
        <v>29295819.282508332</v>
      </c>
      <c r="E14" t="s">
        <v>104</v>
      </c>
      <c r="F14" s="20">
        <f>B7*B4*'Notional Analysis'!C8</f>
        <v>58611000</v>
      </c>
    </row>
    <row r="15" spans="1:9" x14ac:dyDescent="0.2">
      <c r="A15" t="s">
        <v>110</v>
      </c>
      <c r="B15" s="54">
        <f>B10-E4+B12</f>
        <v>25119000</v>
      </c>
      <c r="C15" s="59">
        <f>C10-E4+C12</f>
        <v>57710645</v>
      </c>
      <c r="F15" s="20"/>
      <c r="G15" s="20">
        <f>-F14+F13</f>
        <v>-33492000</v>
      </c>
    </row>
    <row r="16" spans="1:9" ht="13.5" thickBot="1" x14ac:dyDescent="0.25">
      <c r="A16" t="s">
        <v>117</v>
      </c>
      <c r="B16" s="20">
        <f>B15-B14</f>
        <v>-4176819.2825083323</v>
      </c>
      <c r="C16" s="60">
        <f>C15-C14</f>
        <v>28414825.717491668</v>
      </c>
      <c r="D16" s="61" t="s">
        <v>115</v>
      </c>
      <c r="F16" s="20"/>
      <c r="G16" s="17">
        <f>G12-G15</f>
        <v>28403946.427908335</v>
      </c>
      <c r="H16" s="20">
        <f>C16-G16</f>
        <v>10879.289583332837</v>
      </c>
      <c r="I16" s="62" t="str">
        <f>IF(ABS(H16)&lt;1000000,"Clint says it's OK","Clint says Uh Oh!")</f>
        <v>Clint says it's OK</v>
      </c>
    </row>
    <row r="17" spans="1:6" ht="13.5" thickTop="1" x14ac:dyDescent="0.2">
      <c r="C17" s="28"/>
      <c r="F17" s="20"/>
    </row>
    <row r="18" spans="1:6" x14ac:dyDescent="0.2">
      <c r="A18" t="s">
        <v>112</v>
      </c>
      <c r="B18" s="28">
        <f>C15</f>
        <v>57710645</v>
      </c>
      <c r="C18" s="28"/>
      <c r="F18" s="20"/>
    </row>
    <row r="19" spans="1:6" x14ac:dyDescent="0.2">
      <c r="A19" t="s">
        <v>113</v>
      </c>
      <c r="B19" s="28">
        <f>IF(B15&gt;B18,B15-B18,0)</f>
        <v>0</v>
      </c>
      <c r="C19" s="28"/>
      <c r="F19" s="20"/>
    </row>
    <row r="20" spans="1:6" x14ac:dyDescent="0.2">
      <c r="A20" t="s">
        <v>114</v>
      </c>
      <c r="B20" s="28">
        <f>IF(B18&gt;=B15,B18-B15,0)</f>
        <v>32591645</v>
      </c>
      <c r="C20" s="28"/>
      <c r="F20" s="20"/>
    </row>
    <row r="21" spans="1:6" x14ac:dyDescent="0.2">
      <c r="A21" t="s">
        <v>116</v>
      </c>
      <c r="B21" s="20">
        <f>-B14+B15-B19+B20</f>
        <v>28414825.717491668</v>
      </c>
      <c r="C21" s="28"/>
    </row>
    <row r="22" spans="1:6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topLeftCell="A34" workbookViewId="0">
      <selection activeCell="C38" sqref="C38"/>
    </sheetView>
  </sheetViews>
  <sheetFormatPr defaultRowHeight="12.75" x14ac:dyDescent="0.2"/>
  <cols>
    <col min="2" max="2" width="14.7109375" style="2" bestFit="1" customWidth="1"/>
    <col min="3" max="3" width="13.85546875" customWidth="1"/>
    <col min="4" max="4" width="14" bestFit="1" customWidth="1"/>
    <col min="5" max="6" width="15" bestFit="1" customWidth="1"/>
    <col min="7" max="7" width="11.28515625" bestFit="1" customWidth="1"/>
    <col min="8" max="8" width="10.28515625" hidden="1" customWidth="1"/>
    <col min="9" max="9" width="0" hidden="1" customWidth="1"/>
    <col min="10" max="10" width="12.28515625" hidden="1" customWidth="1"/>
  </cols>
  <sheetData>
    <row r="1" spans="1:6" x14ac:dyDescent="0.2">
      <c r="A1" s="1" t="s">
        <v>0</v>
      </c>
    </row>
    <row r="2" spans="1:6" x14ac:dyDescent="0.2">
      <c r="A2" s="1" t="s">
        <v>1</v>
      </c>
    </row>
    <row r="3" spans="1:6" x14ac:dyDescent="0.2">
      <c r="A3" s="3">
        <v>36790</v>
      </c>
    </row>
    <row r="4" spans="1:6" x14ac:dyDescent="0.2">
      <c r="A4" s="3"/>
    </row>
    <row r="5" spans="1:6" x14ac:dyDescent="0.2">
      <c r="A5" s="3" t="s">
        <v>43</v>
      </c>
      <c r="C5" s="27">
        <v>120589</v>
      </c>
      <c r="D5" s="27">
        <f>C5*C8</f>
        <v>24117800</v>
      </c>
    </row>
    <row r="6" spans="1:6" x14ac:dyDescent="0.2">
      <c r="A6" s="3" t="s">
        <v>42</v>
      </c>
      <c r="C6" s="28">
        <v>2150</v>
      </c>
      <c r="D6" s="63">
        <f>C6/C8</f>
        <v>10.75</v>
      </c>
    </row>
    <row r="7" spans="1:6" x14ac:dyDescent="0.2">
      <c r="A7" s="3" t="s">
        <v>107</v>
      </c>
      <c r="C7" s="29">
        <f>D7*C8</f>
        <v>4200</v>
      </c>
      <c r="D7" s="63">
        <v>21</v>
      </c>
    </row>
    <row r="8" spans="1:6" x14ac:dyDescent="0.2">
      <c r="A8" s="3" t="s">
        <v>44</v>
      </c>
      <c r="C8" s="27">
        <v>200</v>
      </c>
    </row>
    <row r="9" spans="1:6" x14ac:dyDescent="0.2">
      <c r="A9" s="3" t="s">
        <v>46</v>
      </c>
      <c r="C9" s="27">
        <v>90042</v>
      </c>
      <c r="D9" s="27">
        <f>C9*C8</f>
        <v>18008400</v>
      </c>
    </row>
    <row r="11" spans="1:6" x14ac:dyDescent="0.2">
      <c r="A11" t="s">
        <v>2</v>
      </c>
    </row>
    <row r="13" spans="1:6" ht="13.5" thickBot="1" x14ac:dyDescent="0.25">
      <c r="B13" s="94" t="s">
        <v>3</v>
      </c>
      <c r="C13" s="94"/>
      <c r="E13" s="94" t="s">
        <v>4</v>
      </c>
      <c r="F13" s="94"/>
    </row>
    <row r="14" spans="1:6" x14ac:dyDescent="0.2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">
      <c r="C17" s="5"/>
      <c r="E17" t="s">
        <v>10</v>
      </c>
      <c r="F17" s="5">
        <v>30000000</v>
      </c>
    </row>
    <row r="18" spans="1:6" x14ac:dyDescent="0.2">
      <c r="C18" s="5"/>
      <c r="E18" t="s">
        <v>11</v>
      </c>
      <c r="F18" s="5">
        <v>1000</v>
      </c>
    </row>
    <row r="19" spans="1:6" ht="13.5" thickBot="1" x14ac:dyDescent="0.25">
      <c r="C19" s="6">
        <f>SUM(C14:C17)</f>
        <v>80001000</v>
      </c>
      <c r="F19" s="6">
        <f>SUM(F14:F18)</f>
        <v>80001000</v>
      </c>
    </row>
    <row r="20" spans="1:6" ht="13.5" thickTop="1" x14ac:dyDescent="0.2">
      <c r="C20" s="5"/>
      <c r="F20" s="5"/>
    </row>
    <row r="21" spans="1:6" ht="13.5" thickBot="1" x14ac:dyDescent="0.25">
      <c r="C21" s="92" t="s">
        <v>12</v>
      </c>
      <c r="D21" s="92"/>
      <c r="E21" s="92"/>
      <c r="F21" s="5"/>
    </row>
    <row r="22" spans="1:6" x14ac:dyDescent="0.2">
      <c r="C22" t="s">
        <v>13</v>
      </c>
      <c r="E22" s="5">
        <f>C19</f>
        <v>80001000</v>
      </c>
      <c r="F22" s="5"/>
    </row>
    <row r="23" spans="1:6" x14ac:dyDescent="0.2">
      <c r="C23" t="s">
        <v>14</v>
      </c>
      <c r="E23" s="5">
        <v>1000000</v>
      </c>
      <c r="F23" s="5"/>
    </row>
    <row r="24" spans="1:6" x14ac:dyDescent="0.2">
      <c r="C24" t="s">
        <v>15</v>
      </c>
      <c r="E24" s="7">
        <f>F17</f>
        <v>30000000</v>
      </c>
      <c r="F24" s="5"/>
    </row>
    <row r="25" spans="1:6" x14ac:dyDescent="0.2">
      <c r="C25" t="s">
        <v>16</v>
      </c>
      <c r="E25" s="5">
        <f>E22+E23-E24</f>
        <v>51001000</v>
      </c>
      <c r="F25" s="5"/>
    </row>
    <row r="26" spans="1:6" x14ac:dyDescent="0.2">
      <c r="C26" t="s">
        <v>17</v>
      </c>
      <c r="E26" s="8">
        <v>3.0200000000000001E-2</v>
      </c>
      <c r="F26" s="5"/>
    </row>
    <row r="27" spans="1:6" x14ac:dyDescent="0.2">
      <c r="C27" t="s">
        <v>18</v>
      </c>
      <c r="E27" s="5">
        <f>E25*E26</f>
        <v>1540230.2</v>
      </c>
      <c r="F27" s="5"/>
    </row>
    <row r="28" spans="1:6" x14ac:dyDescent="0.2">
      <c r="C28" t="s">
        <v>19</v>
      </c>
      <c r="E28" s="7">
        <f>F17</f>
        <v>30000000</v>
      </c>
      <c r="F28" s="5"/>
    </row>
    <row r="29" spans="1:6" x14ac:dyDescent="0.2">
      <c r="C29" t="s">
        <v>20</v>
      </c>
      <c r="E29" s="5">
        <f>E28-E27</f>
        <v>28459769.800000001</v>
      </c>
      <c r="F29" s="5"/>
    </row>
    <row r="30" spans="1:6" x14ac:dyDescent="0.2">
      <c r="C30" s="9" t="s">
        <v>21</v>
      </c>
      <c r="D30" s="10"/>
      <c r="E30" s="11">
        <f>E29/E26</f>
        <v>942376483.44370854</v>
      </c>
      <c r="F30" s="5"/>
    </row>
    <row r="32" spans="1:6" x14ac:dyDescent="0.2">
      <c r="A32" t="s">
        <v>22</v>
      </c>
    </row>
    <row r="34" spans="2:10" ht="13.5" thickBot="1" x14ac:dyDescent="0.25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5" thickBot="1" x14ac:dyDescent="0.25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5" thickTop="1" x14ac:dyDescent="0.2"/>
    <row r="42" spans="2:10" ht="13.5" thickBot="1" x14ac:dyDescent="0.25">
      <c r="C42" s="92" t="s">
        <v>12</v>
      </c>
      <c r="D42" s="92"/>
      <c r="E42" s="92"/>
      <c r="H42" s="12"/>
    </row>
    <row r="43" spans="2:10" x14ac:dyDescent="0.2">
      <c r="C43" t="s">
        <v>13</v>
      </c>
      <c r="E43" s="12">
        <f>F40</f>
        <v>546974800</v>
      </c>
    </row>
    <row r="44" spans="2:10" x14ac:dyDescent="0.2">
      <c r="C44" t="s">
        <v>14</v>
      </c>
      <c r="E44" s="12">
        <f>E23</f>
        <v>1000000</v>
      </c>
    </row>
    <row r="45" spans="2:10" x14ac:dyDescent="0.2">
      <c r="C45" t="s">
        <v>24</v>
      </c>
      <c r="E45" s="14">
        <f>F38+F37</f>
        <v>30050647.379999999</v>
      </c>
    </row>
    <row r="46" spans="2:10" x14ac:dyDescent="0.2">
      <c r="C46" t="s">
        <v>16</v>
      </c>
      <c r="E46" s="5">
        <f>E43+E44-E45</f>
        <v>517924152.62</v>
      </c>
    </row>
    <row r="47" spans="2:10" x14ac:dyDescent="0.2">
      <c r="C47" t="s">
        <v>17</v>
      </c>
      <c r="E47" s="15">
        <f>E26</f>
        <v>3.0200000000000001E-2</v>
      </c>
    </row>
    <row r="48" spans="2:10" x14ac:dyDescent="0.2">
      <c r="C48" t="s">
        <v>18</v>
      </c>
      <c r="E48" s="5">
        <f>E46*E47</f>
        <v>15641309.409124</v>
      </c>
    </row>
    <row r="49" spans="3:5" x14ac:dyDescent="0.2">
      <c r="C49" t="s">
        <v>19</v>
      </c>
      <c r="E49" s="14">
        <f>F38+F37</f>
        <v>30050647.379999999</v>
      </c>
    </row>
    <row r="50" spans="3:5" x14ac:dyDescent="0.2">
      <c r="C50" t="s">
        <v>20</v>
      </c>
      <c r="E50" s="12">
        <f>E49-E48</f>
        <v>14409337.970875999</v>
      </c>
    </row>
    <row r="51" spans="3:5" x14ac:dyDescent="0.2">
      <c r="C51" s="9" t="s">
        <v>21</v>
      </c>
      <c r="D51" s="10"/>
      <c r="E51" s="11">
        <f>E50/E47</f>
        <v>477130396.38662249</v>
      </c>
    </row>
    <row r="52" spans="3:5" x14ac:dyDescent="0.2">
      <c r="C52" s="30" t="s">
        <v>45</v>
      </c>
      <c r="E52" s="31">
        <f>C9*C7</f>
        <v>378176400</v>
      </c>
    </row>
    <row r="53" spans="3:5" x14ac:dyDescent="0.2">
      <c r="C53" s="30" t="s">
        <v>47</v>
      </c>
      <c r="E53" s="12">
        <f>E51-E52</f>
        <v>98953996.386622488</v>
      </c>
    </row>
    <row r="54" spans="3:5" x14ac:dyDescent="0.2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topLeftCell="A11" workbookViewId="0">
      <selection activeCell="C22" sqref="C22"/>
    </sheetView>
  </sheetViews>
  <sheetFormatPr defaultRowHeight="12.75" x14ac:dyDescent="0.2"/>
  <cols>
    <col min="1" max="1" width="16" customWidth="1"/>
    <col min="2" max="2" width="14" bestFit="1" customWidth="1"/>
    <col min="3" max="3" width="15.28515625" bestFit="1" customWidth="1"/>
    <col min="4" max="4" width="18.140625" bestFit="1" customWidth="1"/>
    <col min="5" max="5" width="14.5703125" bestFit="1" customWidth="1"/>
    <col min="6" max="6" width="16" bestFit="1" customWidth="1"/>
  </cols>
  <sheetData>
    <row r="1" spans="1:6" x14ac:dyDescent="0.2">
      <c r="A1" s="1" t="s">
        <v>74</v>
      </c>
    </row>
    <row r="2" spans="1:6" x14ac:dyDescent="0.2">
      <c r="A2" t="s">
        <v>1</v>
      </c>
    </row>
    <row r="3" spans="1:6" ht="13.5" thickBot="1" x14ac:dyDescent="0.25">
      <c r="A3" t="s">
        <v>25</v>
      </c>
      <c r="B3" s="16">
        <v>36887</v>
      </c>
    </row>
    <row r="4" spans="1:6" x14ac:dyDescent="0.2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">
      <c r="A5" t="s">
        <v>27</v>
      </c>
      <c r="B5" s="39">
        <v>7.0000000000000007E-2</v>
      </c>
      <c r="C5" s="68"/>
      <c r="D5" s="69"/>
      <c r="E5" s="70"/>
    </row>
    <row r="6" spans="1:6" hidden="1" x14ac:dyDescent="0.2">
      <c r="A6" t="s">
        <v>28</v>
      </c>
      <c r="B6" s="39">
        <v>7.4999999999999997E-2</v>
      </c>
      <c r="C6" s="68"/>
      <c r="D6" s="69"/>
      <c r="E6" s="70"/>
    </row>
    <row r="7" spans="1:6" hidden="1" x14ac:dyDescent="0.2">
      <c r="A7" t="s">
        <v>29</v>
      </c>
      <c r="B7" s="39">
        <v>7.2499999999999995E-2</v>
      </c>
      <c r="C7" s="68"/>
      <c r="D7" s="69"/>
      <c r="E7" s="70"/>
    </row>
    <row r="8" spans="1:6" ht="13.5" thickBot="1" x14ac:dyDescent="0.25">
      <c r="A8" t="s">
        <v>50</v>
      </c>
      <c r="B8" s="67">
        <v>9</v>
      </c>
      <c r="C8" s="71">
        <v>15.423721771756313</v>
      </c>
      <c r="D8" s="72">
        <v>9.81124244931266</v>
      </c>
      <c r="E8" s="73">
        <v>9.0991774997950881</v>
      </c>
    </row>
    <row r="9" spans="1:6" x14ac:dyDescent="0.2">
      <c r="B9" s="34"/>
      <c r="C9" s="65"/>
    </row>
    <row r="10" spans="1:6" x14ac:dyDescent="0.2">
      <c r="A10" s="95" t="s">
        <v>49</v>
      </c>
      <c r="B10" s="95"/>
      <c r="C10" s="95"/>
      <c r="D10" s="95"/>
      <c r="E10" s="95"/>
    </row>
    <row r="11" spans="1:6" x14ac:dyDescent="0.2">
      <c r="B11" s="32" t="s">
        <v>48</v>
      </c>
      <c r="C11" s="33">
        <f>B3</f>
        <v>36887</v>
      </c>
    </row>
    <row r="12" spans="1:6" ht="13.5" thickBot="1" x14ac:dyDescent="0.25">
      <c r="A12" s="94" t="s">
        <v>3</v>
      </c>
      <c r="B12" s="94"/>
      <c r="D12" s="94" t="s">
        <v>4</v>
      </c>
      <c r="E12" s="94"/>
    </row>
    <row r="13" spans="1:6" x14ac:dyDescent="0.2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">
      <c r="A14" s="2" t="s">
        <v>23</v>
      </c>
      <c r="B14" s="27">
        <f>'Notional Analysis'!C5*'Notional Analysis'!C8*(B8)</f>
        <v>217060200</v>
      </c>
      <c r="D14" t="s">
        <v>6</v>
      </c>
      <c r="E14" s="27">
        <f>'50 NP'!J3</f>
        <v>51000000</v>
      </c>
    </row>
    <row r="15" spans="1:6" x14ac:dyDescent="0.2">
      <c r="A15" s="2" t="s">
        <v>8</v>
      </c>
      <c r="B15" s="27">
        <f>'50 NR'!K3</f>
        <v>10697018.666666666</v>
      </c>
      <c r="D15" t="s">
        <v>69</v>
      </c>
      <c r="E15" s="27">
        <f>'Hawaii Summary'!C18</f>
        <v>211332699</v>
      </c>
      <c r="F15" s="28"/>
    </row>
    <row r="16" spans="1:6" x14ac:dyDescent="0.2">
      <c r="A16" s="2" t="s">
        <v>70</v>
      </c>
      <c r="B16" s="27">
        <f>'Hawaii Summary'!B18</f>
        <v>0</v>
      </c>
      <c r="D16" t="s">
        <v>9</v>
      </c>
      <c r="E16" s="27">
        <f>0.0001*B14</f>
        <v>21706.02</v>
      </c>
    </row>
    <row r="17" spans="1:6" x14ac:dyDescent="0.2">
      <c r="D17" t="s">
        <v>10</v>
      </c>
      <c r="E17" s="27">
        <f>IF(E21&gt;30000000,30000000,IF(E21&lt;0,0,+E21))</f>
        <v>0</v>
      </c>
    </row>
    <row r="18" spans="1:6" x14ac:dyDescent="0.2">
      <c r="D18" t="s">
        <v>11</v>
      </c>
      <c r="E18" s="27">
        <f>B19-SUM(E13:E17)</f>
        <v>-4597186.353333354</v>
      </c>
    </row>
    <row r="19" spans="1:6" ht="13.5" thickBot="1" x14ac:dyDescent="0.25">
      <c r="B19" s="13">
        <f>SUM(B13:B18)</f>
        <v>257757218.66666666</v>
      </c>
      <c r="E19" s="35">
        <f>SUM(E13:E18)</f>
        <v>257757218.66666666</v>
      </c>
      <c r="F19" s="27"/>
    </row>
    <row r="20" spans="1:6" ht="13.5" thickTop="1" x14ac:dyDescent="0.2">
      <c r="C20" s="27"/>
      <c r="F20" s="27"/>
    </row>
    <row r="21" spans="1:6" ht="13.5" thickBot="1" x14ac:dyDescent="0.25">
      <c r="A21" s="92" t="s">
        <v>51</v>
      </c>
      <c r="B21" s="92"/>
      <c r="C21" s="92"/>
      <c r="E21" s="12">
        <f>+B19-E13-E14-E15-E16</f>
        <v>-4597186.3533333428</v>
      </c>
      <c r="F21" s="27"/>
    </row>
    <row r="22" spans="1:6" x14ac:dyDescent="0.2">
      <c r="A22" t="s">
        <v>52</v>
      </c>
      <c r="C22" s="27">
        <f>'Notional Analysis'!F39</f>
        <v>466924152.62</v>
      </c>
      <c r="F22" s="27"/>
    </row>
    <row r="23" spans="1:6" x14ac:dyDescent="0.2">
      <c r="A23" t="s">
        <v>60</v>
      </c>
      <c r="C23" s="27">
        <f>'Notional Analysis'!F38</f>
        <v>30000000</v>
      </c>
      <c r="F23" s="27"/>
    </row>
    <row r="24" spans="1:6" x14ac:dyDescent="0.2">
      <c r="A24" t="s">
        <v>53</v>
      </c>
      <c r="C24" s="36">
        <f>'Notional Analysis'!F37</f>
        <v>50647.380000000005</v>
      </c>
      <c r="F24" s="27"/>
    </row>
    <row r="25" spans="1:6" x14ac:dyDescent="0.2">
      <c r="A25" t="s">
        <v>54</v>
      </c>
      <c r="C25" s="27">
        <f>SUM(C22:C24)</f>
        <v>496974800</v>
      </c>
    </row>
    <row r="26" spans="1:6" x14ac:dyDescent="0.2">
      <c r="A26" t="s">
        <v>55</v>
      </c>
      <c r="C26" s="27">
        <f>'Notional Analysis'!C5*'Notional Analysis'!C8*('Credit Analysis'!B8-'Notional Analysis'!D7)</f>
        <v>-289413600</v>
      </c>
    </row>
    <row r="27" spans="1:6" x14ac:dyDescent="0.2">
      <c r="A27" t="s">
        <v>71</v>
      </c>
      <c r="C27" s="27">
        <f>IF(B16&lt;&gt;0,B16,-E15)</f>
        <v>-211332699</v>
      </c>
    </row>
    <row r="28" spans="1:6" x14ac:dyDescent="0.2">
      <c r="A28" t="s">
        <v>56</v>
      </c>
      <c r="C28" s="36">
        <f>'50 NR'!K4-'258 NP'!J4-'50 NP'!J4</f>
        <v>-803981.33333333326</v>
      </c>
    </row>
    <row r="29" spans="1:6" x14ac:dyDescent="0.2">
      <c r="A29" t="s">
        <v>59</v>
      </c>
      <c r="C29" s="27">
        <f>C25+C26+C27+C28</f>
        <v>-4575480.333333333</v>
      </c>
    </row>
    <row r="30" spans="1:6" x14ac:dyDescent="0.2">
      <c r="A30" t="s">
        <v>57</v>
      </c>
      <c r="C30" s="27">
        <f>E18</f>
        <v>-4597186.353333354</v>
      </c>
    </row>
    <row r="31" spans="1:6" x14ac:dyDescent="0.2">
      <c r="A31" t="s">
        <v>61</v>
      </c>
      <c r="C31" s="27">
        <f>E17</f>
        <v>0</v>
      </c>
    </row>
    <row r="32" spans="1:6" x14ac:dyDescent="0.2">
      <c r="A32" t="s">
        <v>58</v>
      </c>
      <c r="C32" s="36">
        <f>E16</f>
        <v>21706.02</v>
      </c>
    </row>
    <row r="33" spans="1:4" x14ac:dyDescent="0.2">
      <c r="A33" t="s">
        <v>62</v>
      </c>
      <c r="C33" s="27">
        <f>C29-C30-C31-C32</f>
        <v>2.0972947822883725E-8</v>
      </c>
      <c r="D33" s="62" t="str">
        <f>IF(ROUND(C33,1)=0,"OK","Not OK")</f>
        <v>OK</v>
      </c>
    </row>
    <row r="34" spans="1:4" x14ac:dyDescent="0.2">
      <c r="C34" s="27"/>
    </row>
    <row r="35" spans="1:4" ht="13.5" thickBot="1" x14ac:dyDescent="0.25">
      <c r="A35" s="92" t="s">
        <v>72</v>
      </c>
      <c r="B35" s="92"/>
      <c r="C35" s="92"/>
    </row>
    <row r="36" spans="1:4" x14ac:dyDescent="0.2">
      <c r="A36" t="s">
        <v>137</v>
      </c>
      <c r="C36" s="27">
        <f>B19</f>
        <v>257757218.66666666</v>
      </c>
    </row>
    <row r="37" spans="1:4" x14ac:dyDescent="0.2">
      <c r="A37" t="s">
        <v>138</v>
      </c>
      <c r="C37" s="27"/>
    </row>
    <row r="38" spans="1:4" x14ac:dyDescent="0.2">
      <c r="A38" t="s">
        <v>139</v>
      </c>
      <c r="C38" s="27">
        <f>E14</f>
        <v>51000000</v>
      </c>
    </row>
    <row r="39" spans="1:4" x14ac:dyDescent="0.2">
      <c r="A39" t="s">
        <v>142</v>
      </c>
      <c r="C39" s="27">
        <f>E13</f>
        <v>0</v>
      </c>
    </row>
    <row r="40" spans="1:4" x14ac:dyDescent="0.2">
      <c r="A40" t="s">
        <v>141</v>
      </c>
      <c r="C40" s="27">
        <f>E16</f>
        <v>21706.02</v>
      </c>
    </row>
    <row r="41" spans="1:4" x14ac:dyDescent="0.2">
      <c r="A41" t="s">
        <v>140</v>
      </c>
      <c r="C41" s="36">
        <f>E15-B16</f>
        <v>211332699</v>
      </c>
    </row>
    <row r="42" spans="1:4" ht="13.5" thickBot="1" x14ac:dyDescent="0.25">
      <c r="C42" s="35">
        <f>C36-SUM(C38:C41)</f>
        <v>-4597186.353333354</v>
      </c>
    </row>
    <row r="43" spans="1:4" ht="13.5" thickTop="1" x14ac:dyDescent="0.2">
      <c r="C43" s="27"/>
    </row>
    <row r="44" spans="1:4" ht="13.5" thickBot="1" x14ac:dyDescent="0.25">
      <c r="A44" s="92" t="s">
        <v>12</v>
      </c>
      <c r="B44" s="92"/>
      <c r="C44" s="92"/>
    </row>
    <row r="45" spans="1:4" x14ac:dyDescent="0.2">
      <c r="A45" t="s">
        <v>13</v>
      </c>
      <c r="C45" s="12">
        <f>+E19</f>
        <v>257757218.66666666</v>
      </c>
    </row>
    <row r="46" spans="1:4" x14ac:dyDescent="0.2">
      <c r="A46" t="s">
        <v>14</v>
      </c>
      <c r="C46" s="12">
        <f>+'Notional Analysis'!E44</f>
        <v>1000000</v>
      </c>
    </row>
    <row r="47" spans="1:4" x14ac:dyDescent="0.2">
      <c r="A47" t="s">
        <v>24</v>
      </c>
      <c r="C47" s="14">
        <f>+E16+E17</f>
        <v>21706.02</v>
      </c>
    </row>
    <row r="48" spans="1:4" x14ac:dyDescent="0.2">
      <c r="A48" t="s">
        <v>16</v>
      </c>
      <c r="C48" s="5">
        <f>C45+C46-C47</f>
        <v>258735512.64666665</v>
      </c>
    </row>
    <row r="49" spans="1:3" x14ac:dyDescent="0.2">
      <c r="A49" t="s">
        <v>17</v>
      </c>
      <c r="C49" s="15">
        <f>+'Notional Analysis'!E47</f>
        <v>3.0200000000000001E-2</v>
      </c>
    </row>
    <row r="50" spans="1:3" x14ac:dyDescent="0.2">
      <c r="A50" t="s">
        <v>18</v>
      </c>
      <c r="C50" s="5">
        <f>C48*C49</f>
        <v>7813812.4819293329</v>
      </c>
    </row>
    <row r="51" spans="1:3" x14ac:dyDescent="0.2">
      <c r="A51" t="s">
        <v>19</v>
      </c>
      <c r="C51" s="14">
        <f>+C47</f>
        <v>21706.02</v>
      </c>
    </row>
    <row r="52" spans="1:3" x14ac:dyDescent="0.2">
      <c r="A52" t="s">
        <v>20</v>
      </c>
      <c r="C52" s="12">
        <f>C51-C50</f>
        <v>-7792106.4619293334</v>
      </c>
    </row>
    <row r="53" spans="1:3" x14ac:dyDescent="0.2">
      <c r="A53" s="9" t="s">
        <v>21</v>
      </c>
      <c r="B53" s="10"/>
      <c r="C53" s="11">
        <f>C52/C49</f>
        <v>-258016770.2625607</v>
      </c>
    </row>
    <row r="54" spans="1:3" x14ac:dyDescent="0.2">
      <c r="A54" s="30" t="s">
        <v>45</v>
      </c>
      <c r="C54" s="31">
        <f>+'Notional Analysis'!E52</f>
        <v>378176400</v>
      </c>
    </row>
    <row r="55" spans="1:3" x14ac:dyDescent="0.2">
      <c r="A55" s="30" t="s">
        <v>47</v>
      </c>
      <c r="C55" s="12">
        <f>C53-C54</f>
        <v>-636193170.26256073</v>
      </c>
    </row>
    <row r="56" spans="1:3" x14ac:dyDescent="0.2">
      <c r="C56" s="27"/>
    </row>
    <row r="57" spans="1:3" x14ac:dyDescent="0.2">
      <c r="C57" s="27"/>
    </row>
    <row r="58" spans="1:3" x14ac:dyDescent="0.2">
      <c r="C58" s="27"/>
    </row>
    <row r="59" spans="1:3" x14ac:dyDescent="0.2">
      <c r="C59" s="27"/>
    </row>
    <row r="60" spans="1:3" x14ac:dyDescent="0.2">
      <c r="C60" s="27"/>
    </row>
    <row r="61" spans="1:3" x14ac:dyDescent="0.2">
      <c r="C61" s="27"/>
    </row>
    <row r="62" spans="1:3" x14ac:dyDescent="0.2">
      <c r="C62" s="27"/>
    </row>
    <row r="63" spans="1:3" x14ac:dyDescent="0.2">
      <c r="C63" s="27"/>
    </row>
    <row r="64" spans="1:3" x14ac:dyDescent="0.2">
      <c r="C64" s="27"/>
    </row>
    <row r="65" spans="3:3" x14ac:dyDescent="0.2">
      <c r="C65" s="27"/>
    </row>
    <row r="66" spans="3:3" x14ac:dyDescent="0.2">
      <c r="C66" s="27"/>
    </row>
    <row r="67" spans="3:3" x14ac:dyDescent="0.2">
      <c r="C67" s="27"/>
    </row>
    <row r="68" spans="3:3" x14ac:dyDescent="0.2">
      <c r="C68" s="27"/>
    </row>
    <row r="69" spans="3:3" x14ac:dyDescent="0.2">
      <c r="C69" s="27"/>
    </row>
    <row r="70" spans="3:3" x14ac:dyDescent="0.2">
      <c r="C70" s="27"/>
    </row>
    <row r="71" spans="3:3" x14ac:dyDescent="0.2">
      <c r="C71" s="27"/>
    </row>
    <row r="72" spans="3:3" x14ac:dyDescent="0.2">
      <c r="C72" s="27"/>
    </row>
    <row r="73" spans="3:3" x14ac:dyDescent="0.2">
      <c r="C73" s="27"/>
    </row>
    <row r="74" spans="3:3" x14ac:dyDescent="0.2">
      <c r="C74" s="27"/>
    </row>
    <row r="75" spans="3:3" x14ac:dyDescent="0.2">
      <c r="C75" s="27"/>
    </row>
    <row r="76" spans="3:3" x14ac:dyDescent="0.2">
      <c r="C76" s="27"/>
    </row>
    <row r="77" spans="3:3" x14ac:dyDescent="0.2">
      <c r="C77" s="27"/>
    </row>
    <row r="78" spans="3:3" x14ac:dyDescent="0.2">
      <c r="C78" s="27"/>
    </row>
    <row r="79" spans="3:3" x14ac:dyDescent="0.2">
      <c r="C79" s="27"/>
    </row>
    <row r="80" spans="3:3" x14ac:dyDescent="0.2">
      <c r="C80" s="27"/>
    </row>
    <row r="81" spans="3:3" x14ac:dyDescent="0.2">
      <c r="C81" s="27"/>
    </row>
    <row r="82" spans="3:3" x14ac:dyDescent="0.2">
      <c r="C82" s="27"/>
    </row>
    <row r="83" spans="3:3" x14ac:dyDescent="0.2">
      <c r="C83" s="27"/>
    </row>
    <row r="84" spans="3:3" x14ac:dyDescent="0.2">
      <c r="C84" s="27"/>
    </row>
    <row r="85" spans="3:3" x14ac:dyDescent="0.2">
      <c r="C85" s="27"/>
    </row>
    <row r="86" spans="3:3" x14ac:dyDescent="0.2">
      <c r="C86" s="27"/>
    </row>
    <row r="87" spans="3:3" x14ac:dyDescent="0.2">
      <c r="C87" s="27"/>
    </row>
    <row r="88" spans="3:3" x14ac:dyDescent="0.2">
      <c r="C88" s="27"/>
    </row>
    <row r="89" spans="3:3" x14ac:dyDescent="0.2">
      <c r="C89" s="27"/>
    </row>
    <row r="90" spans="3:3" x14ac:dyDescent="0.2">
      <c r="C90" s="27"/>
    </row>
    <row r="91" spans="3:3" x14ac:dyDescent="0.2">
      <c r="C91" s="27"/>
    </row>
    <row r="92" spans="3:3" x14ac:dyDescent="0.2">
      <c r="C92" s="27"/>
    </row>
    <row r="93" spans="3:3" x14ac:dyDescent="0.2">
      <c r="C93" s="27"/>
    </row>
    <row r="94" spans="3:3" x14ac:dyDescent="0.2">
      <c r="C94" s="27"/>
    </row>
    <row r="95" spans="3:3" x14ac:dyDescent="0.2">
      <c r="C95" s="27"/>
    </row>
    <row r="96" spans="3:3" x14ac:dyDescent="0.2">
      <c r="C96" s="27"/>
    </row>
    <row r="97" spans="3:3" x14ac:dyDescent="0.2">
      <c r="C97" s="27"/>
    </row>
    <row r="98" spans="3:3" x14ac:dyDescent="0.2">
      <c r="C98" s="27"/>
    </row>
    <row r="99" spans="3:3" x14ac:dyDescent="0.2">
      <c r="C99" s="27"/>
    </row>
    <row r="100" spans="3:3" x14ac:dyDescent="0.2">
      <c r="C100" s="27"/>
    </row>
    <row r="101" spans="3:3" x14ac:dyDescent="0.2">
      <c r="C101" s="27"/>
    </row>
    <row r="102" spans="3:3" x14ac:dyDescent="0.2">
      <c r="C102" s="27"/>
    </row>
    <row r="103" spans="3:3" x14ac:dyDescent="0.2">
      <c r="C103" s="27"/>
    </row>
    <row r="104" spans="3:3" x14ac:dyDescent="0.2">
      <c r="C104" s="27"/>
    </row>
    <row r="105" spans="3:3" x14ac:dyDescent="0.2">
      <c r="C105" s="27"/>
    </row>
    <row r="106" spans="3:3" x14ac:dyDescent="0.2">
      <c r="C106" s="27"/>
    </row>
    <row r="107" spans="3:3" x14ac:dyDescent="0.2">
      <c r="C107" s="27"/>
    </row>
    <row r="108" spans="3:3" x14ac:dyDescent="0.2">
      <c r="C108" s="27"/>
    </row>
    <row r="109" spans="3:3" x14ac:dyDescent="0.2">
      <c r="C109" s="27"/>
    </row>
    <row r="110" spans="3:3" x14ac:dyDescent="0.2">
      <c r="C110" s="27"/>
    </row>
    <row r="111" spans="3:3" x14ac:dyDescent="0.2">
      <c r="C111" s="27"/>
    </row>
    <row r="112" spans="3:3" x14ac:dyDescent="0.2">
      <c r="C112" s="27"/>
    </row>
    <row r="113" spans="3:3" x14ac:dyDescent="0.2">
      <c r="C113" s="27"/>
    </row>
    <row r="114" spans="3:3" x14ac:dyDescent="0.2">
      <c r="C114" s="27"/>
    </row>
    <row r="115" spans="3:3" x14ac:dyDescent="0.2">
      <c r="C115" s="27"/>
    </row>
    <row r="116" spans="3:3" x14ac:dyDescent="0.2">
      <c r="C116" s="27"/>
    </row>
    <row r="117" spans="3:3" x14ac:dyDescent="0.2">
      <c r="C117" s="27"/>
    </row>
    <row r="118" spans="3:3" x14ac:dyDescent="0.2">
      <c r="C118" s="27"/>
    </row>
    <row r="119" spans="3:3" x14ac:dyDescent="0.2">
      <c r="C119" s="27"/>
    </row>
    <row r="120" spans="3:3" x14ac:dyDescent="0.2">
      <c r="C120" s="27"/>
    </row>
    <row r="121" spans="3:3" x14ac:dyDescent="0.2">
      <c r="C121" s="27"/>
    </row>
    <row r="122" spans="3:3" x14ac:dyDescent="0.2">
      <c r="C122" s="27"/>
    </row>
    <row r="123" spans="3:3" x14ac:dyDescent="0.2">
      <c r="C123" s="27"/>
    </row>
    <row r="124" spans="3:3" x14ac:dyDescent="0.2">
      <c r="C124" s="27"/>
    </row>
    <row r="125" spans="3:3" x14ac:dyDescent="0.2">
      <c r="C125" s="27"/>
    </row>
    <row r="126" spans="3:3" x14ac:dyDescent="0.2">
      <c r="C126" s="27"/>
    </row>
    <row r="127" spans="3:3" x14ac:dyDescent="0.2">
      <c r="C127" s="27"/>
    </row>
    <row r="128" spans="3:3" x14ac:dyDescent="0.2">
      <c r="C128" s="27"/>
    </row>
    <row r="129" spans="3:3" x14ac:dyDescent="0.2">
      <c r="C129" s="27"/>
    </row>
    <row r="130" spans="3:3" x14ac:dyDescent="0.2">
      <c r="C130" s="27"/>
    </row>
    <row r="131" spans="3:3" x14ac:dyDescent="0.2">
      <c r="C131" s="27"/>
    </row>
    <row r="132" spans="3:3" x14ac:dyDescent="0.2">
      <c r="C132" s="27"/>
    </row>
    <row r="133" spans="3:3" x14ac:dyDescent="0.2">
      <c r="C133" s="27"/>
    </row>
    <row r="134" spans="3:3" x14ac:dyDescent="0.2">
      <c r="C134" s="27"/>
    </row>
    <row r="135" spans="3:3" x14ac:dyDescent="0.2">
      <c r="C135" s="27"/>
    </row>
    <row r="136" spans="3:3" x14ac:dyDescent="0.2">
      <c r="C136" s="27"/>
    </row>
    <row r="137" spans="3:3" x14ac:dyDescent="0.2">
      <c r="C137" s="27"/>
    </row>
    <row r="138" spans="3:3" x14ac:dyDescent="0.2">
      <c r="C138" s="27"/>
    </row>
    <row r="139" spans="3:3" x14ac:dyDescent="0.2">
      <c r="C139" s="27"/>
    </row>
    <row r="140" spans="3:3" x14ac:dyDescent="0.2">
      <c r="C140" s="27"/>
    </row>
    <row r="141" spans="3:3" x14ac:dyDescent="0.2">
      <c r="C141" s="27"/>
    </row>
    <row r="142" spans="3:3" x14ac:dyDescent="0.2">
      <c r="C142" s="27"/>
    </row>
    <row r="143" spans="3:3" x14ac:dyDescent="0.2">
      <c r="C143" s="27"/>
    </row>
    <row r="144" spans="3:3" x14ac:dyDescent="0.2">
      <c r="C144" s="27"/>
    </row>
    <row r="145" spans="3:3" x14ac:dyDescent="0.2">
      <c r="C145" s="27"/>
    </row>
    <row r="146" spans="3:3" x14ac:dyDescent="0.2">
      <c r="C146" s="27"/>
    </row>
    <row r="147" spans="3:3" x14ac:dyDescent="0.2">
      <c r="C147" s="27"/>
    </row>
    <row r="148" spans="3:3" x14ac:dyDescent="0.2">
      <c r="C148" s="27"/>
    </row>
    <row r="149" spans="3:3" x14ac:dyDescent="0.2">
      <c r="C149" s="27"/>
    </row>
    <row r="150" spans="3:3" x14ac:dyDescent="0.2">
      <c r="C150" s="27"/>
    </row>
    <row r="151" spans="3:3" x14ac:dyDescent="0.2">
      <c r="C151" s="27"/>
    </row>
    <row r="152" spans="3:3" x14ac:dyDescent="0.2">
      <c r="C152" s="27"/>
    </row>
    <row r="153" spans="3:3" x14ac:dyDescent="0.2">
      <c r="C153" s="27"/>
    </row>
    <row r="154" spans="3:3" x14ac:dyDescent="0.2">
      <c r="C154" s="27"/>
    </row>
    <row r="155" spans="3:3" x14ac:dyDescent="0.2">
      <c r="C155" s="27"/>
    </row>
    <row r="156" spans="3:3" x14ac:dyDescent="0.2">
      <c r="C156" s="27"/>
    </row>
    <row r="157" spans="3:3" x14ac:dyDescent="0.2">
      <c r="C157" s="27"/>
    </row>
    <row r="158" spans="3:3" x14ac:dyDescent="0.2">
      <c r="C158" s="27"/>
    </row>
    <row r="159" spans="3:3" x14ac:dyDescent="0.2">
      <c r="C159" s="27"/>
    </row>
    <row r="160" spans="3:3" x14ac:dyDescent="0.2">
      <c r="C160" s="27"/>
    </row>
    <row r="161" spans="3:3" x14ac:dyDescent="0.2">
      <c r="C161" s="27"/>
    </row>
    <row r="162" spans="3:3" x14ac:dyDescent="0.2">
      <c r="C162" s="27"/>
    </row>
    <row r="163" spans="3:3" x14ac:dyDescent="0.2">
      <c r="C163" s="27"/>
    </row>
    <row r="164" spans="3:3" x14ac:dyDescent="0.2">
      <c r="C164" s="27"/>
    </row>
    <row r="165" spans="3:3" x14ac:dyDescent="0.2">
      <c r="C165" s="27"/>
    </row>
    <row r="166" spans="3:3" x14ac:dyDescent="0.2">
      <c r="C166" s="27"/>
    </row>
    <row r="167" spans="3:3" x14ac:dyDescent="0.2">
      <c r="C167" s="27"/>
    </row>
    <row r="168" spans="3:3" x14ac:dyDescent="0.2">
      <c r="C168" s="27"/>
    </row>
    <row r="169" spans="3:3" x14ac:dyDescent="0.2">
      <c r="C169" s="27"/>
    </row>
    <row r="170" spans="3:3" x14ac:dyDescent="0.2">
      <c r="C170" s="27"/>
    </row>
    <row r="171" spans="3:3" x14ac:dyDescent="0.2">
      <c r="C171" s="27"/>
    </row>
    <row r="172" spans="3:3" x14ac:dyDescent="0.2">
      <c r="C172" s="27"/>
    </row>
    <row r="173" spans="3:3" x14ac:dyDescent="0.2">
      <c r="C173" s="27"/>
    </row>
    <row r="174" spans="3:3" x14ac:dyDescent="0.2">
      <c r="C174" s="27"/>
    </row>
    <row r="175" spans="3:3" x14ac:dyDescent="0.2">
      <c r="C175" s="27"/>
    </row>
    <row r="176" spans="3:3" x14ac:dyDescent="0.2">
      <c r="C176" s="27"/>
    </row>
    <row r="177" spans="3:3" x14ac:dyDescent="0.2">
      <c r="C177" s="27"/>
    </row>
    <row r="178" spans="3:3" x14ac:dyDescent="0.2">
      <c r="C178" s="27"/>
    </row>
    <row r="179" spans="3:3" x14ac:dyDescent="0.2">
      <c r="C179" s="27"/>
    </row>
    <row r="180" spans="3:3" x14ac:dyDescent="0.2">
      <c r="C180" s="27"/>
    </row>
    <row r="181" spans="3:3" x14ac:dyDescent="0.2">
      <c r="C181" s="27"/>
    </row>
    <row r="182" spans="3:3" x14ac:dyDescent="0.2">
      <c r="C182" s="27"/>
    </row>
    <row r="183" spans="3:3" x14ac:dyDescent="0.2">
      <c r="C183" s="27"/>
    </row>
    <row r="184" spans="3:3" x14ac:dyDescent="0.2">
      <c r="C184" s="27"/>
    </row>
    <row r="185" spans="3:3" x14ac:dyDescent="0.2">
      <c r="C185" s="27"/>
    </row>
    <row r="186" spans="3:3" x14ac:dyDescent="0.2">
      <c r="C186" s="27"/>
    </row>
    <row r="187" spans="3:3" x14ac:dyDescent="0.2">
      <c r="C187" s="27"/>
    </row>
    <row r="188" spans="3:3" x14ac:dyDescent="0.2">
      <c r="C188" s="27"/>
    </row>
    <row r="189" spans="3:3" x14ac:dyDescent="0.2">
      <c r="C189" s="27"/>
    </row>
    <row r="190" spans="3:3" x14ac:dyDescent="0.2">
      <c r="C190" s="27"/>
    </row>
    <row r="191" spans="3:3" x14ac:dyDescent="0.2">
      <c r="C191" s="27"/>
    </row>
    <row r="192" spans="3:3" x14ac:dyDescent="0.2">
      <c r="C192" s="27"/>
    </row>
    <row r="193" spans="3:3" x14ac:dyDescent="0.2">
      <c r="C193" s="27"/>
    </row>
    <row r="194" spans="3:3" x14ac:dyDescent="0.2">
      <c r="C194" s="27"/>
    </row>
    <row r="195" spans="3:3" x14ac:dyDescent="0.2">
      <c r="C195" s="27"/>
    </row>
    <row r="196" spans="3:3" x14ac:dyDescent="0.2">
      <c r="C196" s="27"/>
    </row>
    <row r="197" spans="3:3" x14ac:dyDescent="0.2">
      <c r="C197" s="27"/>
    </row>
    <row r="198" spans="3:3" x14ac:dyDescent="0.2">
      <c r="C198" s="27"/>
    </row>
    <row r="199" spans="3:3" x14ac:dyDescent="0.2">
      <c r="C199" s="27"/>
    </row>
    <row r="200" spans="3:3" x14ac:dyDescent="0.2">
      <c r="C200" s="27"/>
    </row>
    <row r="201" spans="3:3" x14ac:dyDescent="0.2">
      <c r="C201" s="27"/>
    </row>
    <row r="202" spans="3:3" x14ac:dyDescent="0.2">
      <c r="C202" s="27"/>
    </row>
    <row r="203" spans="3:3" x14ac:dyDescent="0.2">
      <c r="C203" s="27"/>
    </row>
    <row r="204" spans="3:3" x14ac:dyDescent="0.2">
      <c r="C204" s="27"/>
    </row>
    <row r="205" spans="3:3" x14ac:dyDescent="0.2">
      <c r="C205" s="27"/>
    </row>
    <row r="206" spans="3:3" x14ac:dyDescent="0.2">
      <c r="C206" s="27"/>
    </row>
    <row r="207" spans="3:3" x14ac:dyDescent="0.2">
      <c r="C207" s="27"/>
    </row>
    <row r="208" spans="3:3" x14ac:dyDescent="0.2">
      <c r="C208" s="27"/>
    </row>
    <row r="209" spans="3:3" x14ac:dyDescent="0.2">
      <c r="C209" s="27"/>
    </row>
    <row r="210" spans="3:3" x14ac:dyDescent="0.2">
      <c r="C210" s="27"/>
    </row>
    <row r="211" spans="3:3" x14ac:dyDescent="0.2">
      <c r="C211" s="27"/>
    </row>
    <row r="212" spans="3:3" x14ac:dyDescent="0.2">
      <c r="C212" s="27"/>
    </row>
    <row r="213" spans="3:3" x14ac:dyDescent="0.2">
      <c r="C213" s="27"/>
    </row>
    <row r="214" spans="3:3" x14ac:dyDescent="0.2">
      <c r="C214" s="27"/>
    </row>
    <row r="215" spans="3:3" x14ac:dyDescent="0.2">
      <c r="C215" s="27"/>
    </row>
    <row r="216" spans="3:3" x14ac:dyDescent="0.2">
      <c r="C216" s="27"/>
    </row>
    <row r="217" spans="3:3" x14ac:dyDescent="0.2">
      <c r="C217" s="27"/>
    </row>
    <row r="218" spans="3:3" x14ac:dyDescent="0.2">
      <c r="C218" s="27"/>
    </row>
    <row r="219" spans="3:3" x14ac:dyDescent="0.2">
      <c r="C219" s="27"/>
    </row>
    <row r="220" spans="3:3" x14ac:dyDescent="0.2">
      <c r="C220" s="27"/>
    </row>
    <row r="221" spans="3:3" x14ac:dyDescent="0.2">
      <c r="C221" s="27"/>
    </row>
    <row r="222" spans="3:3" x14ac:dyDescent="0.2">
      <c r="C222" s="27"/>
    </row>
    <row r="223" spans="3:3" x14ac:dyDescent="0.2">
      <c r="C223" s="27"/>
    </row>
    <row r="224" spans="3:3" x14ac:dyDescent="0.2">
      <c r="C224" s="27"/>
    </row>
    <row r="225" spans="3:3" x14ac:dyDescent="0.2">
      <c r="C225" s="27"/>
    </row>
    <row r="226" spans="3:3" x14ac:dyDescent="0.2">
      <c r="C226" s="27"/>
    </row>
    <row r="227" spans="3:3" x14ac:dyDescent="0.2">
      <c r="C227" s="27"/>
    </row>
    <row r="228" spans="3:3" x14ac:dyDescent="0.2">
      <c r="C228" s="27"/>
    </row>
    <row r="229" spans="3:3" x14ac:dyDescent="0.2">
      <c r="C229" s="27"/>
    </row>
    <row r="230" spans="3:3" x14ac:dyDescent="0.2">
      <c r="C230" s="27"/>
    </row>
    <row r="231" spans="3:3" x14ac:dyDescent="0.2">
      <c r="C231" s="27"/>
    </row>
    <row r="232" spans="3:3" x14ac:dyDescent="0.2">
      <c r="C232" s="27"/>
    </row>
    <row r="233" spans="3:3" x14ac:dyDescent="0.2">
      <c r="C233" s="27"/>
    </row>
    <row r="234" spans="3:3" x14ac:dyDescent="0.2">
      <c r="C234" s="27"/>
    </row>
    <row r="235" spans="3:3" x14ac:dyDescent="0.2">
      <c r="C235" s="27"/>
    </row>
    <row r="236" spans="3:3" x14ac:dyDescent="0.2">
      <c r="C236" s="27"/>
    </row>
    <row r="237" spans="3:3" x14ac:dyDescent="0.2">
      <c r="C237" s="27"/>
    </row>
    <row r="238" spans="3:3" x14ac:dyDescent="0.2">
      <c r="C238" s="27"/>
    </row>
    <row r="239" spans="3:3" x14ac:dyDescent="0.2">
      <c r="C239" s="27"/>
    </row>
    <row r="240" spans="3:3" x14ac:dyDescent="0.2">
      <c r="C240" s="27"/>
    </row>
    <row r="241" spans="3:3" x14ac:dyDescent="0.2">
      <c r="C241" s="27"/>
    </row>
    <row r="242" spans="3:3" x14ac:dyDescent="0.2">
      <c r="C242" s="27"/>
    </row>
    <row r="243" spans="3:3" x14ac:dyDescent="0.2">
      <c r="C243" s="27"/>
    </row>
    <row r="244" spans="3:3" x14ac:dyDescent="0.2">
      <c r="C244" s="27"/>
    </row>
    <row r="245" spans="3:3" x14ac:dyDescent="0.2">
      <c r="C245" s="27"/>
    </row>
    <row r="246" spans="3:3" x14ac:dyDescent="0.2">
      <c r="C246" s="27"/>
    </row>
    <row r="247" spans="3:3" x14ac:dyDescent="0.2">
      <c r="C247" s="27"/>
    </row>
    <row r="248" spans="3:3" x14ac:dyDescent="0.2">
      <c r="C248" s="27"/>
    </row>
    <row r="249" spans="3:3" x14ac:dyDescent="0.2">
      <c r="C249" s="27"/>
    </row>
    <row r="250" spans="3:3" x14ac:dyDescent="0.2">
      <c r="C250" s="27"/>
    </row>
    <row r="251" spans="3:3" x14ac:dyDescent="0.2">
      <c r="C251" s="27"/>
    </row>
    <row r="252" spans="3:3" x14ac:dyDescent="0.2">
      <c r="C252" s="27"/>
    </row>
    <row r="253" spans="3:3" x14ac:dyDescent="0.2">
      <c r="C253" s="27"/>
    </row>
    <row r="254" spans="3:3" x14ac:dyDescent="0.2">
      <c r="C254" s="27"/>
    </row>
    <row r="255" spans="3:3" x14ac:dyDescent="0.2">
      <c r="C255" s="27"/>
    </row>
    <row r="256" spans="3:3" x14ac:dyDescent="0.2">
      <c r="C256" s="27"/>
    </row>
    <row r="257" spans="3:3" x14ac:dyDescent="0.2">
      <c r="C257" s="27"/>
    </row>
    <row r="258" spans="3:3" x14ac:dyDescent="0.2">
      <c r="C258" s="27"/>
    </row>
    <row r="259" spans="3:3" x14ac:dyDescent="0.2">
      <c r="C259" s="27"/>
    </row>
    <row r="260" spans="3:3" x14ac:dyDescent="0.2">
      <c r="C260" s="27"/>
    </row>
    <row r="261" spans="3:3" x14ac:dyDescent="0.2">
      <c r="C261" s="27"/>
    </row>
    <row r="262" spans="3:3" x14ac:dyDescent="0.2">
      <c r="C262" s="27"/>
    </row>
    <row r="263" spans="3:3" x14ac:dyDescent="0.2">
      <c r="C263" s="27"/>
    </row>
    <row r="264" spans="3:3" x14ac:dyDescent="0.2">
      <c r="C264" s="27"/>
    </row>
    <row r="265" spans="3:3" x14ac:dyDescent="0.2">
      <c r="C265" s="27"/>
    </row>
    <row r="266" spans="3:3" x14ac:dyDescent="0.2">
      <c r="C266" s="27"/>
    </row>
    <row r="267" spans="3:3" x14ac:dyDescent="0.2">
      <c r="C267" s="27"/>
    </row>
    <row r="268" spans="3:3" x14ac:dyDescent="0.2">
      <c r="C268" s="27"/>
    </row>
    <row r="269" spans="3:3" x14ac:dyDescent="0.2">
      <c r="C269" s="27"/>
    </row>
    <row r="270" spans="3:3" x14ac:dyDescent="0.2">
      <c r="C270" s="27"/>
    </row>
    <row r="271" spans="3:3" x14ac:dyDescent="0.2">
      <c r="C271" s="27"/>
    </row>
    <row r="272" spans="3:3" x14ac:dyDescent="0.2">
      <c r="C272" s="27"/>
    </row>
    <row r="273" spans="3:3" x14ac:dyDescent="0.2">
      <c r="C273" s="27"/>
    </row>
    <row r="274" spans="3:3" x14ac:dyDescent="0.2">
      <c r="C274" s="27"/>
    </row>
    <row r="275" spans="3:3" x14ac:dyDescent="0.2">
      <c r="C275" s="27"/>
    </row>
    <row r="276" spans="3:3" x14ac:dyDescent="0.2">
      <c r="C276" s="27"/>
    </row>
    <row r="277" spans="3:3" x14ac:dyDescent="0.2">
      <c r="C277" s="27"/>
    </row>
    <row r="278" spans="3:3" x14ac:dyDescent="0.2">
      <c r="C278" s="27"/>
    </row>
    <row r="279" spans="3:3" x14ac:dyDescent="0.2">
      <c r="C279" s="27"/>
    </row>
    <row r="280" spans="3:3" x14ac:dyDescent="0.2">
      <c r="C280" s="27"/>
    </row>
    <row r="281" spans="3:3" x14ac:dyDescent="0.2">
      <c r="C281" s="27"/>
    </row>
    <row r="282" spans="3:3" x14ac:dyDescent="0.2">
      <c r="C282" s="27"/>
    </row>
    <row r="283" spans="3:3" x14ac:dyDescent="0.2">
      <c r="C283" s="27"/>
    </row>
    <row r="284" spans="3:3" x14ac:dyDescent="0.2">
      <c r="C284" s="27"/>
    </row>
    <row r="285" spans="3:3" x14ac:dyDescent="0.2">
      <c r="C285" s="27"/>
    </row>
    <row r="286" spans="3:3" x14ac:dyDescent="0.2">
      <c r="C286" s="27"/>
    </row>
    <row r="287" spans="3:3" x14ac:dyDescent="0.2">
      <c r="C287" s="27"/>
    </row>
    <row r="288" spans="3:3" x14ac:dyDescent="0.2">
      <c r="C288" s="27"/>
    </row>
    <row r="289" spans="3:3" x14ac:dyDescent="0.2">
      <c r="C289" s="27"/>
    </row>
    <row r="290" spans="3:3" x14ac:dyDescent="0.2">
      <c r="C290" s="27"/>
    </row>
    <row r="291" spans="3:3" x14ac:dyDescent="0.2">
      <c r="C291" s="27"/>
    </row>
    <row r="292" spans="3:3" x14ac:dyDescent="0.2">
      <c r="C292" s="27"/>
    </row>
    <row r="293" spans="3:3" x14ac:dyDescent="0.2">
      <c r="C293" s="27"/>
    </row>
    <row r="294" spans="3:3" x14ac:dyDescent="0.2">
      <c r="C294" s="27"/>
    </row>
    <row r="295" spans="3:3" x14ac:dyDescent="0.2">
      <c r="C295" s="27"/>
    </row>
    <row r="296" spans="3:3" x14ac:dyDescent="0.2">
      <c r="C296" s="27"/>
    </row>
    <row r="297" spans="3:3" x14ac:dyDescent="0.2">
      <c r="C297" s="27"/>
    </row>
    <row r="298" spans="3:3" x14ac:dyDescent="0.2">
      <c r="C298" s="27"/>
    </row>
    <row r="299" spans="3:3" x14ac:dyDescent="0.2">
      <c r="C299" s="27"/>
    </row>
    <row r="300" spans="3:3" x14ac:dyDescent="0.2">
      <c r="C300" s="27"/>
    </row>
    <row r="301" spans="3:3" x14ac:dyDescent="0.2">
      <c r="C301" s="27"/>
    </row>
    <row r="302" spans="3:3" x14ac:dyDescent="0.2">
      <c r="C302" s="27"/>
    </row>
    <row r="303" spans="3:3" x14ac:dyDescent="0.2">
      <c r="C303" s="27"/>
    </row>
    <row r="304" spans="3:3" x14ac:dyDescent="0.2">
      <c r="C304" s="27"/>
    </row>
    <row r="305" spans="3:3" x14ac:dyDescent="0.2">
      <c r="C305" s="27"/>
    </row>
    <row r="306" spans="3:3" x14ac:dyDescent="0.2">
      <c r="C306" s="27"/>
    </row>
    <row r="307" spans="3:3" x14ac:dyDescent="0.2">
      <c r="C307" s="27"/>
    </row>
    <row r="308" spans="3:3" x14ac:dyDescent="0.2">
      <c r="C308" s="27"/>
    </row>
    <row r="309" spans="3:3" x14ac:dyDescent="0.2">
      <c r="C309" s="27"/>
    </row>
    <row r="310" spans="3:3" x14ac:dyDescent="0.2">
      <c r="C310" s="27"/>
    </row>
    <row r="311" spans="3:3" x14ac:dyDescent="0.2">
      <c r="C311" s="27"/>
    </row>
    <row r="312" spans="3:3" x14ac:dyDescent="0.2">
      <c r="C312" s="27"/>
    </row>
    <row r="313" spans="3:3" x14ac:dyDescent="0.2">
      <c r="C313" s="27"/>
    </row>
    <row r="314" spans="3:3" x14ac:dyDescent="0.2">
      <c r="C314" s="27"/>
    </row>
    <row r="315" spans="3:3" x14ac:dyDescent="0.2">
      <c r="C315" s="27"/>
    </row>
    <row r="316" spans="3:3" x14ac:dyDescent="0.2">
      <c r="C316" s="27"/>
    </row>
    <row r="317" spans="3:3" x14ac:dyDescent="0.2">
      <c r="C317" s="27"/>
    </row>
    <row r="318" spans="3:3" x14ac:dyDescent="0.2">
      <c r="C318" s="27"/>
    </row>
    <row r="319" spans="3:3" x14ac:dyDescent="0.2">
      <c r="C319" s="27"/>
    </row>
    <row r="320" spans="3:3" x14ac:dyDescent="0.2">
      <c r="C320" s="27"/>
    </row>
    <row r="321" spans="3:3" x14ac:dyDescent="0.2">
      <c r="C321" s="27"/>
    </row>
    <row r="322" spans="3:3" x14ac:dyDescent="0.2">
      <c r="C322" s="27"/>
    </row>
    <row r="323" spans="3:3" x14ac:dyDescent="0.2">
      <c r="C323" s="27"/>
    </row>
    <row r="324" spans="3:3" x14ac:dyDescent="0.2">
      <c r="C324" s="27"/>
    </row>
    <row r="325" spans="3:3" x14ac:dyDescent="0.2">
      <c r="C325" s="27"/>
    </row>
    <row r="326" spans="3:3" x14ac:dyDescent="0.2">
      <c r="C326" s="27"/>
    </row>
    <row r="327" spans="3:3" x14ac:dyDescent="0.2">
      <c r="C327" s="27"/>
    </row>
    <row r="328" spans="3:3" x14ac:dyDescent="0.2">
      <c r="C328" s="27"/>
    </row>
    <row r="329" spans="3:3" x14ac:dyDescent="0.2">
      <c r="C329" s="27"/>
    </row>
    <row r="330" spans="3:3" x14ac:dyDescent="0.2">
      <c r="C330" s="27"/>
    </row>
    <row r="331" spans="3:3" x14ac:dyDescent="0.2">
      <c r="C331" s="27"/>
    </row>
    <row r="332" spans="3:3" x14ac:dyDescent="0.2">
      <c r="C332" s="27"/>
    </row>
    <row r="333" spans="3:3" x14ac:dyDescent="0.2">
      <c r="C333" s="27"/>
    </row>
    <row r="334" spans="3:3" x14ac:dyDescent="0.2">
      <c r="C334" s="27"/>
    </row>
    <row r="335" spans="3:3" x14ac:dyDescent="0.2">
      <c r="C335" s="27"/>
    </row>
    <row r="336" spans="3:3" x14ac:dyDescent="0.2">
      <c r="C336" s="27"/>
    </row>
    <row r="337" spans="3:3" x14ac:dyDescent="0.2">
      <c r="C337" s="27"/>
    </row>
    <row r="338" spans="3:3" x14ac:dyDescent="0.2">
      <c r="C338" s="27"/>
    </row>
    <row r="339" spans="3:3" x14ac:dyDescent="0.2">
      <c r="C339" s="27"/>
    </row>
    <row r="340" spans="3:3" x14ac:dyDescent="0.2">
      <c r="C340" s="27"/>
    </row>
    <row r="341" spans="3:3" x14ac:dyDescent="0.2">
      <c r="C341" s="27"/>
    </row>
    <row r="342" spans="3:3" x14ac:dyDescent="0.2">
      <c r="C342" s="27"/>
    </row>
    <row r="343" spans="3:3" x14ac:dyDescent="0.2">
      <c r="C343" s="27"/>
    </row>
    <row r="344" spans="3:3" x14ac:dyDescent="0.2">
      <c r="C344" s="27"/>
    </row>
    <row r="345" spans="3:3" x14ac:dyDescent="0.2">
      <c r="C345" s="27"/>
    </row>
    <row r="346" spans="3:3" x14ac:dyDescent="0.2">
      <c r="C346" s="27"/>
    </row>
    <row r="347" spans="3:3" x14ac:dyDescent="0.2">
      <c r="C347" s="27"/>
    </row>
    <row r="348" spans="3:3" x14ac:dyDescent="0.2">
      <c r="C348" s="27"/>
    </row>
    <row r="349" spans="3:3" x14ac:dyDescent="0.2">
      <c r="C349" s="27"/>
    </row>
    <row r="350" spans="3:3" x14ac:dyDescent="0.2">
      <c r="C350" s="27"/>
    </row>
    <row r="351" spans="3:3" x14ac:dyDescent="0.2">
      <c r="C351" s="27"/>
    </row>
    <row r="352" spans="3:3" x14ac:dyDescent="0.2">
      <c r="C352" s="27"/>
    </row>
    <row r="353" spans="3:3" x14ac:dyDescent="0.2">
      <c r="C353" s="27"/>
    </row>
    <row r="354" spans="3:3" x14ac:dyDescent="0.2">
      <c r="C354" s="27"/>
    </row>
    <row r="355" spans="3:3" x14ac:dyDescent="0.2">
      <c r="C355" s="27"/>
    </row>
    <row r="356" spans="3:3" x14ac:dyDescent="0.2">
      <c r="C356" s="27"/>
    </row>
    <row r="357" spans="3:3" x14ac:dyDescent="0.2">
      <c r="C357" s="27"/>
    </row>
    <row r="358" spans="3:3" x14ac:dyDescent="0.2">
      <c r="C358" s="27"/>
    </row>
    <row r="359" spans="3:3" x14ac:dyDescent="0.2">
      <c r="C359" s="27"/>
    </row>
    <row r="360" spans="3:3" x14ac:dyDescent="0.2">
      <c r="C360" s="27"/>
    </row>
    <row r="361" spans="3:3" x14ac:dyDescent="0.2">
      <c r="C361" s="27"/>
    </row>
    <row r="362" spans="3:3" x14ac:dyDescent="0.2">
      <c r="C362" s="27"/>
    </row>
    <row r="363" spans="3:3" x14ac:dyDescent="0.2">
      <c r="C363" s="27"/>
    </row>
    <row r="364" spans="3:3" x14ac:dyDescent="0.2">
      <c r="C364" s="27"/>
    </row>
    <row r="365" spans="3:3" x14ac:dyDescent="0.2">
      <c r="C365" s="27"/>
    </row>
    <row r="366" spans="3:3" x14ac:dyDescent="0.2">
      <c r="C366" s="27"/>
    </row>
    <row r="367" spans="3:3" x14ac:dyDescent="0.2">
      <c r="C367" s="27"/>
    </row>
    <row r="368" spans="3:3" x14ac:dyDescent="0.2">
      <c r="C368" s="27"/>
    </row>
    <row r="369" spans="3:3" x14ac:dyDescent="0.2">
      <c r="C369" s="27"/>
    </row>
    <row r="370" spans="3:3" x14ac:dyDescent="0.2">
      <c r="C370" s="27"/>
    </row>
    <row r="371" spans="3:3" x14ac:dyDescent="0.2">
      <c r="C371" s="27"/>
    </row>
    <row r="372" spans="3:3" x14ac:dyDescent="0.2">
      <c r="C372" s="27"/>
    </row>
    <row r="373" spans="3:3" x14ac:dyDescent="0.2">
      <c r="C373" s="27"/>
    </row>
    <row r="374" spans="3:3" x14ac:dyDescent="0.2">
      <c r="C374" s="27"/>
    </row>
    <row r="375" spans="3:3" x14ac:dyDescent="0.2">
      <c r="C375" s="27"/>
    </row>
    <row r="376" spans="3:3" x14ac:dyDescent="0.2">
      <c r="C376" s="27"/>
    </row>
    <row r="377" spans="3:3" x14ac:dyDescent="0.2">
      <c r="C377" s="27"/>
    </row>
    <row r="378" spans="3:3" x14ac:dyDescent="0.2">
      <c r="C378" s="27"/>
    </row>
    <row r="379" spans="3:3" x14ac:dyDescent="0.2">
      <c r="C379" s="27"/>
    </row>
    <row r="380" spans="3:3" x14ac:dyDescent="0.2">
      <c r="C380" s="27"/>
    </row>
    <row r="381" spans="3:3" x14ac:dyDescent="0.2">
      <c r="C381" s="27"/>
    </row>
    <row r="382" spans="3:3" x14ac:dyDescent="0.2">
      <c r="C382" s="27"/>
    </row>
    <row r="383" spans="3:3" x14ac:dyDescent="0.2">
      <c r="C383" s="27"/>
    </row>
    <row r="384" spans="3:3" x14ac:dyDescent="0.2">
      <c r="C384" s="27"/>
    </row>
    <row r="385" spans="3:3" x14ac:dyDescent="0.2">
      <c r="C385" s="27"/>
    </row>
    <row r="386" spans="3:3" x14ac:dyDescent="0.2">
      <c r="C386" s="27"/>
    </row>
    <row r="387" spans="3:3" x14ac:dyDescent="0.2">
      <c r="C387" s="27"/>
    </row>
    <row r="388" spans="3:3" x14ac:dyDescent="0.2">
      <c r="C388" s="27"/>
    </row>
    <row r="389" spans="3:3" x14ac:dyDescent="0.2">
      <c r="C389" s="27"/>
    </row>
    <row r="390" spans="3:3" x14ac:dyDescent="0.2">
      <c r="C390" s="27"/>
    </row>
    <row r="391" spans="3:3" x14ac:dyDescent="0.2">
      <c r="C391" s="27"/>
    </row>
    <row r="392" spans="3:3" x14ac:dyDescent="0.2">
      <c r="C392" s="27"/>
    </row>
    <row r="393" spans="3:3" x14ac:dyDescent="0.2">
      <c r="C393" s="27"/>
    </row>
    <row r="394" spans="3:3" x14ac:dyDescent="0.2">
      <c r="C394" s="27"/>
    </row>
    <row r="395" spans="3:3" x14ac:dyDescent="0.2">
      <c r="C395" s="27"/>
    </row>
    <row r="396" spans="3:3" x14ac:dyDescent="0.2">
      <c r="C396" s="27"/>
    </row>
    <row r="397" spans="3:3" x14ac:dyDescent="0.2">
      <c r="C397" s="27"/>
    </row>
    <row r="398" spans="3:3" x14ac:dyDescent="0.2">
      <c r="C398" s="27"/>
    </row>
    <row r="399" spans="3:3" x14ac:dyDescent="0.2">
      <c r="C399" s="27"/>
    </row>
    <row r="400" spans="3:3" x14ac:dyDescent="0.2">
      <c r="C400" s="27"/>
    </row>
    <row r="401" spans="3:3" x14ac:dyDescent="0.2">
      <c r="C401" s="27"/>
    </row>
    <row r="402" spans="3:3" x14ac:dyDescent="0.2">
      <c r="C402" s="27"/>
    </row>
    <row r="403" spans="3:3" x14ac:dyDescent="0.2">
      <c r="C403" s="27"/>
    </row>
    <row r="404" spans="3:3" x14ac:dyDescent="0.2">
      <c r="C404" s="27"/>
    </row>
    <row r="405" spans="3:3" x14ac:dyDescent="0.2">
      <c r="C405" s="27"/>
    </row>
    <row r="406" spans="3:3" x14ac:dyDescent="0.2">
      <c r="C406" s="27"/>
    </row>
    <row r="407" spans="3:3" x14ac:dyDescent="0.2">
      <c r="C407" s="27"/>
    </row>
    <row r="408" spans="3:3" x14ac:dyDescent="0.2">
      <c r="C408" s="27"/>
    </row>
    <row r="409" spans="3:3" x14ac:dyDescent="0.2">
      <c r="C409" s="27"/>
    </row>
    <row r="410" spans="3:3" x14ac:dyDescent="0.2">
      <c r="C410" s="27"/>
    </row>
    <row r="411" spans="3:3" x14ac:dyDescent="0.2">
      <c r="C411" s="27"/>
    </row>
    <row r="412" spans="3:3" x14ac:dyDescent="0.2">
      <c r="C412" s="27"/>
    </row>
    <row r="413" spans="3:3" x14ac:dyDescent="0.2">
      <c r="C413" s="27"/>
    </row>
    <row r="414" spans="3:3" x14ac:dyDescent="0.2">
      <c r="C414" s="27"/>
    </row>
    <row r="415" spans="3:3" x14ac:dyDescent="0.2">
      <c r="C415" s="27"/>
    </row>
    <row r="416" spans="3:3" x14ac:dyDescent="0.2">
      <c r="C416" s="27"/>
    </row>
    <row r="417" spans="3:3" x14ac:dyDescent="0.2">
      <c r="C417" s="27"/>
    </row>
    <row r="418" spans="3:3" x14ac:dyDescent="0.2">
      <c r="C418" s="27"/>
    </row>
    <row r="419" spans="3:3" x14ac:dyDescent="0.2">
      <c r="C419" s="27"/>
    </row>
    <row r="420" spans="3:3" x14ac:dyDescent="0.2">
      <c r="C420" s="27"/>
    </row>
    <row r="421" spans="3:3" x14ac:dyDescent="0.2">
      <c r="C421" s="27"/>
    </row>
    <row r="422" spans="3:3" x14ac:dyDescent="0.2">
      <c r="C422" s="27"/>
    </row>
    <row r="423" spans="3:3" x14ac:dyDescent="0.2">
      <c r="C423" s="27"/>
    </row>
    <row r="424" spans="3:3" x14ac:dyDescent="0.2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2.75" x14ac:dyDescent="0.2"/>
  <cols>
    <col min="1" max="1" width="12.28515625" bestFit="1" customWidth="1"/>
    <col min="2" max="2" width="14.85546875" bestFit="1" customWidth="1"/>
    <col min="3" max="3" width="13.42578125" bestFit="1" customWidth="1"/>
    <col min="4" max="4" width="11.28515625" bestFit="1" customWidth="1"/>
    <col min="5" max="5" width="14.140625" bestFit="1" customWidth="1"/>
    <col min="6" max="6" width="12.28515625" bestFit="1" customWidth="1"/>
    <col min="8" max="8" width="12.28515625" hidden="1" customWidth="1"/>
    <col min="9" max="9" width="11.28515625" hidden="1" customWidth="1"/>
    <col min="10" max="10" width="16.85546875" bestFit="1" customWidth="1"/>
    <col min="11" max="11" width="14" bestFit="1" customWidth="1"/>
  </cols>
  <sheetData>
    <row r="1" spans="1:11" x14ac:dyDescent="0.2">
      <c r="A1" s="95" t="s">
        <v>30</v>
      </c>
      <c r="B1" s="95"/>
      <c r="E1" t="s">
        <v>88</v>
      </c>
      <c r="F1" s="25">
        <f>'Credit Analysis'!B3</f>
        <v>36887</v>
      </c>
      <c r="J1" t="s">
        <v>36</v>
      </c>
      <c r="K1" s="28">
        <f>VLOOKUP(F1,Note_Receivable,6)</f>
        <v>10501000</v>
      </c>
    </row>
    <row r="2" spans="1:11" x14ac:dyDescent="0.2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196018.66666666672</v>
      </c>
    </row>
    <row r="3" spans="1:11" ht="13.5" thickBot="1" x14ac:dyDescent="0.25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96</v>
      </c>
      <c r="K3" s="17">
        <f>K1+K2</f>
        <v>10697018.666666666</v>
      </c>
    </row>
    <row r="4" spans="1:11" ht="13.5" thickTop="1" x14ac:dyDescent="0.2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196018.66666666672</v>
      </c>
    </row>
    <row r="5" spans="1:11" x14ac:dyDescent="0.2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5.5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3.42578125" bestFit="1" customWidth="1"/>
    <col min="4" max="4" width="12.28515625" bestFit="1" customWidth="1"/>
    <col min="5" max="5" width="14.140625" bestFit="1" customWidth="1"/>
    <col min="6" max="6" width="13.28515625" bestFit="1" customWidth="1"/>
    <col min="7" max="7" width="9.140625" hidden="1" customWidth="1"/>
    <col min="8" max="8" width="13.28515625" hidden="1" customWidth="1"/>
    <col min="9" max="9" width="14.7109375" bestFit="1" customWidth="1"/>
    <col min="10" max="10" width="16" bestFit="1" customWidth="1"/>
  </cols>
  <sheetData>
    <row r="1" spans="1:10" x14ac:dyDescent="0.2">
      <c r="A1" s="95" t="s">
        <v>41</v>
      </c>
      <c r="B1" s="95"/>
      <c r="E1" t="s">
        <v>88</v>
      </c>
      <c r="F1" s="25">
        <f>'Credit Analysis'!B3</f>
        <v>36887</v>
      </c>
      <c r="I1" t="s">
        <v>36</v>
      </c>
      <c r="J1" s="28">
        <f>VLOOKUP(F1,Lg_Payable,6)</f>
        <v>0</v>
      </c>
    </row>
    <row r="2" spans="1:10" x14ac:dyDescent="0.2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5" thickBot="1" x14ac:dyDescent="0.25">
      <c r="A3" t="s">
        <v>32</v>
      </c>
      <c r="B3" s="21">
        <f>'Credit Analysis'!B7</f>
        <v>7.2499999999999995E-2</v>
      </c>
      <c r="E3" t="s">
        <v>127</v>
      </c>
      <c r="F3" s="27">
        <f>F1-F2</f>
        <v>96</v>
      </c>
      <c r="J3" s="17">
        <f>J1+J2</f>
        <v>0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">
      <c r="A5" t="s">
        <v>34</v>
      </c>
      <c r="B5" s="24">
        <f>PMT(B3/2,B4,-B2)</f>
        <v>0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2.28515625" bestFit="1" customWidth="1"/>
    <col min="4" max="4" width="11.28515625" customWidth="1"/>
    <col min="5" max="5" width="12.28515625" bestFit="1" customWidth="1"/>
    <col min="6" max="6" width="13.28515625" customWidth="1"/>
    <col min="7" max="7" width="0" hidden="1" customWidth="1"/>
    <col min="8" max="8" width="12.28515625" hidden="1" customWidth="1"/>
    <col min="9" max="9" width="14.7109375" bestFit="1" customWidth="1"/>
    <col min="10" max="10" width="13.42578125" bestFit="1" customWidth="1"/>
  </cols>
  <sheetData>
    <row r="1" spans="1:10" x14ac:dyDescent="0.2">
      <c r="A1" s="95" t="s">
        <v>39</v>
      </c>
      <c r="B1" s="95"/>
      <c r="E1" t="s">
        <v>88</v>
      </c>
      <c r="F1" s="25">
        <f>'Credit Analysis'!B3</f>
        <v>36887</v>
      </c>
      <c r="I1" t="s">
        <v>36</v>
      </c>
      <c r="J1" s="28">
        <f>VLOOKUP(F1,Small_Payable,6)</f>
        <v>50000000</v>
      </c>
    </row>
    <row r="2" spans="1:10" x14ac:dyDescent="0.2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1000000</v>
      </c>
    </row>
    <row r="3" spans="1:10" ht="13.5" thickBot="1" x14ac:dyDescent="0.25">
      <c r="A3" t="s">
        <v>32</v>
      </c>
      <c r="B3" s="21">
        <f>'Credit Analysis'!B6</f>
        <v>7.4999999999999997E-2</v>
      </c>
      <c r="E3" t="s">
        <v>127</v>
      </c>
      <c r="F3" s="27">
        <f>F1-F2</f>
        <v>96</v>
      </c>
      <c r="J3" s="17">
        <f>J1+J2</f>
        <v>51000000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1000000</v>
      </c>
    </row>
    <row r="5" spans="1:10" x14ac:dyDescent="0.2">
      <c r="A5" t="s">
        <v>34</v>
      </c>
      <c r="B5" s="41">
        <f>PMT(B3/2,B4,-B2)</f>
        <v>6088067.1162854237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2.75" x14ac:dyDescent="0.2"/>
  <cols>
    <col min="1" max="1" width="10.5703125" customWidth="1"/>
    <col min="2" max="2" width="12.28515625" bestFit="1" customWidth="1"/>
    <col min="3" max="3" width="13.5703125" customWidth="1"/>
    <col min="4" max="4" width="10.28515625" bestFit="1" customWidth="1"/>
    <col min="5" max="5" width="13.42578125" bestFit="1" customWidth="1"/>
    <col min="6" max="6" width="15" bestFit="1" customWidth="1"/>
    <col min="7" max="8" width="12.28515625" bestFit="1" customWidth="1"/>
    <col min="9" max="9" width="7.28515625" bestFit="1" customWidth="1"/>
    <col min="10" max="10" width="5.28515625" bestFit="1" customWidth="1"/>
    <col min="11" max="11" width="11.28515625" bestFit="1" customWidth="1"/>
    <col min="12" max="12" width="13.42578125" bestFit="1" customWidth="1"/>
  </cols>
  <sheetData>
    <row r="1" spans="1:11" x14ac:dyDescent="0.2">
      <c r="A1" t="s">
        <v>76</v>
      </c>
    </row>
    <row r="2" spans="1:11" x14ac:dyDescent="0.2">
      <c r="A2" t="s">
        <v>88</v>
      </c>
      <c r="B2" s="25">
        <f>'Credit Analysis'!B3</f>
        <v>36887</v>
      </c>
    </row>
    <row r="4" spans="1:11" s="42" customFormat="1" ht="26.25" thickBot="1" x14ac:dyDescent="0.25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18130000.006250001</v>
      </c>
      <c r="H5" s="28">
        <v>1976250</v>
      </c>
      <c r="I5" s="45">
        <v>0.15</v>
      </c>
      <c r="J5" s="27">
        <f>B2-B5</f>
        <v>271</v>
      </c>
      <c r="K5">
        <f>'A Amort'!N5</f>
        <v>1998482.8125</v>
      </c>
    </row>
    <row r="6" spans="1:11" x14ac:dyDescent="0.2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87503189.794453338</v>
      </c>
      <c r="H6" s="28">
        <v>3954146</v>
      </c>
      <c r="I6" s="45">
        <v>0.15</v>
      </c>
      <c r="J6" s="27">
        <f>B2-B6</f>
        <v>89</v>
      </c>
      <c r="K6" s="41">
        <f>'B_D Amort'!N5</f>
        <v>4000277.7033333331</v>
      </c>
    </row>
    <row r="7" spans="1:11" x14ac:dyDescent="0.2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29295819.282508332</v>
      </c>
      <c r="H7" s="28">
        <v>900355</v>
      </c>
      <c r="I7" s="45">
        <v>0.15</v>
      </c>
      <c r="J7" s="27">
        <f>B2-B7</f>
        <v>121</v>
      </c>
      <c r="K7" s="41">
        <f>'C Amort'!N5</f>
        <v>911234.2895833333</v>
      </c>
    </row>
    <row r="8" spans="1:11" ht="13.5" thickBot="1" x14ac:dyDescent="0.25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134929009.08321169</v>
      </c>
      <c r="H8" s="35">
        <f>SUM(H5:H7)</f>
        <v>6830751</v>
      </c>
      <c r="K8" s="35">
        <f>SUM(K5:K7)</f>
        <v>6909994.805416666</v>
      </c>
    </row>
    <row r="9" spans="1:11" ht="13.5" thickTop="1" x14ac:dyDescent="0.2">
      <c r="C9" s="12"/>
    </row>
    <row r="10" spans="1:11" x14ac:dyDescent="0.2">
      <c r="A10" t="s">
        <v>104</v>
      </c>
      <c r="B10" s="48">
        <f>'Notional Analysis'!D7</f>
        <v>21</v>
      </c>
    </row>
    <row r="11" spans="1:11" x14ac:dyDescent="0.2">
      <c r="A11" t="s">
        <v>75</v>
      </c>
      <c r="B11" s="48">
        <f>'Credit Analysis'!B8</f>
        <v>9</v>
      </c>
    </row>
    <row r="13" spans="1:11" x14ac:dyDescent="0.2">
      <c r="A13" s="95" t="s">
        <v>120</v>
      </c>
      <c r="B13" s="95"/>
      <c r="C13" s="95"/>
      <c r="D13" s="95"/>
    </row>
    <row r="14" spans="1:11" ht="13.5" thickBot="1" x14ac:dyDescent="0.25">
      <c r="A14" s="64"/>
      <c r="B14" s="55" t="s">
        <v>118</v>
      </c>
      <c r="C14" s="55" t="s">
        <v>119</v>
      </c>
      <c r="D14" s="64"/>
    </row>
    <row r="15" spans="1:11" x14ac:dyDescent="0.2">
      <c r="A15" t="s">
        <v>78</v>
      </c>
      <c r="B15" s="28">
        <f>'A TRS'!B19</f>
        <v>0</v>
      </c>
      <c r="C15" s="28">
        <f>'A TRS'!B20</f>
        <v>81196800</v>
      </c>
    </row>
    <row r="16" spans="1:11" x14ac:dyDescent="0.2">
      <c r="A16" t="s">
        <v>79</v>
      </c>
      <c r="B16" s="28">
        <f>'B_D TRS'!B19</f>
        <v>0</v>
      </c>
      <c r="C16" s="28">
        <f>'B_D TRS'!B20</f>
        <v>97544254</v>
      </c>
    </row>
    <row r="17" spans="1:3" x14ac:dyDescent="0.2">
      <c r="A17" t="s">
        <v>80</v>
      </c>
      <c r="B17" s="28">
        <f>'C TRS'!B19</f>
        <v>0</v>
      </c>
      <c r="C17" s="28">
        <f>'C TRS'!B20</f>
        <v>32591645</v>
      </c>
    </row>
    <row r="18" spans="1:3" ht="13.5" thickBot="1" x14ac:dyDescent="0.25">
      <c r="A18" s="1" t="s">
        <v>125</v>
      </c>
      <c r="B18" s="50">
        <f>SUM(B15:B17)</f>
        <v>0</v>
      </c>
      <c r="C18" s="50">
        <f>SUM(C15:C17)</f>
        <v>211332699</v>
      </c>
    </row>
    <row r="19" spans="1:3" ht="13.5" thickTop="1" x14ac:dyDescent="0.2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28515625" bestFit="1" customWidth="1"/>
    <col min="2" max="2" width="12.28515625" customWidth="1"/>
    <col min="3" max="3" width="8.140625" style="45" bestFit="1" customWidth="1"/>
    <col min="4" max="4" width="12" bestFit="1" customWidth="1"/>
    <col min="5" max="5" width="12.42578125" bestFit="1" customWidth="1"/>
    <col min="6" max="6" width="12.28515625" style="41" customWidth="1"/>
    <col min="7" max="7" width="12.7109375" style="41" bestFit="1" customWidth="1"/>
    <col min="8" max="8" width="12.28515625" customWidth="1"/>
    <col min="10" max="10" width="11.7109375" customWidth="1"/>
    <col min="11" max="11" width="12.42578125" bestFit="1" customWidth="1"/>
    <col min="12" max="12" width="10.42578125" bestFit="1" customWidth="1"/>
    <col min="13" max="13" width="13.5703125" style="41" bestFit="1" customWidth="1"/>
    <col min="14" max="15" width="11.5703125" bestFit="1" customWidth="1"/>
  </cols>
  <sheetData>
    <row r="1" spans="1:15" x14ac:dyDescent="0.2">
      <c r="A1" s="1" t="s">
        <v>132</v>
      </c>
      <c r="F1"/>
      <c r="G1" s="41" t="s">
        <v>94</v>
      </c>
      <c r="H1" s="25">
        <f>'Credit Analysis'!B3</f>
        <v>36887</v>
      </c>
      <c r="K1" s="1" t="s">
        <v>133</v>
      </c>
      <c r="M1"/>
      <c r="N1" s="41"/>
    </row>
    <row r="2" spans="1:15" x14ac:dyDescent="0.2">
      <c r="D2" t="s">
        <v>87</v>
      </c>
      <c r="E2" s="27">
        <f>H1-H2</f>
        <v>27</v>
      </c>
      <c r="F2"/>
      <c r="G2" s="41" t="s">
        <v>99</v>
      </c>
      <c r="H2" s="25">
        <f>VLOOKUP(H1,A_Debt,1)</f>
        <v>36860</v>
      </c>
      <c r="M2"/>
      <c r="N2" s="41"/>
    </row>
    <row r="3" spans="1:15" x14ac:dyDescent="0.2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">
      <c r="A4" t="s">
        <v>25</v>
      </c>
      <c r="B4" s="25">
        <f>'Hawaii Summary'!B5</f>
        <v>36616</v>
      </c>
      <c r="D4" t="s">
        <v>98</v>
      </c>
      <c r="E4" s="28">
        <f>F4*$E$2/30</f>
        <v>106250.00625000001</v>
      </c>
      <c r="F4" s="41">
        <f>VLOOKUP($H$1+30,A_Debt,5)</f>
        <v>118055.5625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22232.8125</v>
      </c>
      <c r="O4" s="41">
        <f>VLOOKUP($H$1+30,A_Equity,3)</f>
        <v>24703.125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18130000.006250001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1998482.8125</v>
      </c>
    </row>
    <row r="6" spans="1:15" ht="13.5" thickTop="1" x14ac:dyDescent="0.2">
      <c r="E6" s="27"/>
      <c r="J6" s="1" t="s">
        <v>34</v>
      </c>
      <c r="K6" s="24">
        <f>PMT(K4/12,K5,-K3)</f>
        <v>57686.972211215965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4.42578125" customWidth="1"/>
    <col min="3" max="3" width="13.42578125" bestFit="1" customWidth="1"/>
    <col min="4" max="4" width="12.28515625" bestFit="1" customWidth="1"/>
    <col min="5" max="5" width="11.28515625" bestFit="1" customWidth="1"/>
    <col min="6" max="7" width="13.42578125" bestFit="1" customWidth="1"/>
    <col min="8" max="8" width="11.28515625" bestFit="1" customWidth="1"/>
    <col min="9" max="9" width="15.5703125" bestFit="1" customWidth="1"/>
  </cols>
  <sheetData>
    <row r="1" spans="1:9" x14ac:dyDescent="0.2">
      <c r="A1" s="1" t="s">
        <v>136</v>
      </c>
    </row>
    <row r="3" spans="1:9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18130000.006250001</v>
      </c>
      <c r="E4" s="28">
        <f>'Hawaii Summary'!H5</f>
        <v>1976250</v>
      </c>
      <c r="F4" s="45">
        <f>'Hawaii Summary'!I5</f>
        <v>0.15</v>
      </c>
      <c r="G4" s="28">
        <f>'Hawaii Summary'!J5</f>
        <v>271</v>
      </c>
      <c r="H4" s="28">
        <f>'Hawaii Summary'!K5</f>
        <v>1998482.8125</v>
      </c>
      <c r="I4" s="41"/>
    </row>
    <row r="6" spans="1:9" x14ac:dyDescent="0.2">
      <c r="A6" t="s">
        <v>75</v>
      </c>
      <c r="B6" s="48">
        <f>'Hawaii Summary'!B11</f>
        <v>9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60897600</v>
      </c>
      <c r="C10" s="28">
        <f>B4*B7*'Notional Analysis'!C8</f>
        <v>142094400</v>
      </c>
      <c r="E10" t="s">
        <v>122</v>
      </c>
      <c r="G10" s="20">
        <f>B4*B6*'Notional Analysis'!C8</f>
        <v>60897600</v>
      </c>
    </row>
    <row r="11" spans="1:9" x14ac:dyDescent="0.2">
      <c r="A11" t="s">
        <v>108</v>
      </c>
      <c r="B11" s="20">
        <f>D4+H4</f>
        <v>20128482.818750001</v>
      </c>
      <c r="C11" s="28">
        <f>B11</f>
        <v>20128482.818750001</v>
      </c>
      <c r="E11" t="s">
        <v>123</v>
      </c>
      <c r="G11" s="54">
        <f>D4+H4</f>
        <v>20128482.818750001</v>
      </c>
    </row>
    <row r="12" spans="1:9" x14ac:dyDescent="0.2">
      <c r="A12" t="s">
        <v>111</v>
      </c>
      <c r="B12" s="20">
        <f>IF(B10&gt;=B11,0,IF(B11-B10&gt;=E4,E4,B11-B10))</f>
        <v>0</v>
      </c>
      <c r="C12" s="28"/>
      <c r="G12" s="20">
        <f>G10-G11</f>
        <v>40769117.181249999</v>
      </c>
    </row>
    <row r="13" spans="1:9" x14ac:dyDescent="0.2">
      <c r="C13" s="28"/>
      <c r="E13" t="s">
        <v>75</v>
      </c>
      <c r="F13" s="20">
        <f>B4*B6*'Notional Analysis'!C8</f>
        <v>60897600</v>
      </c>
    </row>
    <row r="14" spans="1:9" x14ac:dyDescent="0.2">
      <c r="A14" t="s">
        <v>109</v>
      </c>
      <c r="B14" s="20">
        <f>D4</f>
        <v>18130000.006250001</v>
      </c>
      <c r="C14" s="28">
        <f>B14</f>
        <v>18130000.006250001</v>
      </c>
      <c r="E14" t="s">
        <v>104</v>
      </c>
      <c r="F14" s="20">
        <f>B7*B4*'Notional Analysis'!C8</f>
        <v>142094400</v>
      </c>
    </row>
    <row r="15" spans="1:9" x14ac:dyDescent="0.2">
      <c r="A15" t="s">
        <v>110</v>
      </c>
      <c r="B15" s="54">
        <f>B10-E4+B12</f>
        <v>58921350</v>
      </c>
      <c r="C15" s="59">
        <f>C10-E4+C12</f>
        <v>140118150</v>
      </c>
      <c r="F15" s="20"/>
      <c r="G15" s="20">
        <f>-F14+F13</f>
        <v>-81196800</v>
      </c>
    </row>
    <row r="16" spans="1:9" ht="13.5" thickBot="1" x14ac:dyDescent="0.25">
      <c r="A16" t="s">
        <v>117</v>
      </c>
      <c r="B16" s="20">
        <f>B15-B14</f>
        <v>40791349.993749999</v>
      </c>
      <c r="C16" s="60">
        <f>C15-C14</f>
        <v>121988149.99375001</v>
      </c>
      <c r="D16" s="61" t="s">
        <v>115</v>
      </c>
      <c r="F16" s="20"/>
      <c r="G16" s="17">
        <f>G12-G15</f>
        <v>121965917.18125001</v>
      </c>
      <c r="H16" s="20">
        <f>C16-G16</f>
        <v>22232.8125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140118150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81196800</v>
      </c>
      <c r="C20" s="28"/>
    </row>
    <row r="21" spans="1:3" x14ac:dyDescent="0.2">
      <c r="A21" t="s">
        <v>116</v>
      </c>
      <c r="B21" s="20">
        <f>B16-B19+B20</f>
        <v>121988149.99375001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customWidth="1"/>
    <col min="3" max="3" width="8" style="45" bestFit="1" customWidth="1"/>
    <col min="4" max="4" width="11.85546875" bestFit="1" customWidth="1"/>
    <col min="5" max="5" width="12.28515625" bestFit="1" customWidth="1"/>
    <col min="6" max="6" width="12.28515625" style="41" customWidth="1"/>
    <col min="7" max="7" width="12.5703125" style="41" bestFit="1" customWidth="1"/>
    <col min="8" max="8" width="12.28515625" customWidth="1"/>
    <col min="10" max="10" width="11.7109375" customWidth="1"/>
    <col min="11" max="11" width="12.28515625" bestFit="1" customWidth="1"/>
    <col min="12" max="12" width="10.28515625" bestFit="1" customWidth="1"/>
    <col min="13" max="13" width="13.42578125" style="41" bestFit="1" customWidth="1"/>
    <col min="14" max="15" width="11.28515625" bestFit="1" customWidth="1"/>
  </cols>
  <sheetData>
    <row r="1" spans="1:15" x14ac:dyDescent="0.2">
      <c r="A1" s="1" t="s">
        <v>96</v>
      </c>
      <c r="F1"/>
      <c r="G1" s="41" t="s">
        <v>94</v>
      </c>
      <c r="H1" s="25">
        <f>'Credit Analysis'!B3</f>
        <v>36887</v>
      </c>
      <c r="K1" s="1" t="s">
        <v>97</v>
      </c>
      <c r="M1"/>
      <c r="N1" s="41"/>
    </row>
    <row r="2" spans="1:15" x14ac:dyDescent="0.2">
      <c r="D2" t="s">
        <v>87</v>
      </c>
      <c r="E2" s="27">
        <f>H1-H2</f>
        <v>28</v>
      </c>
      <c r="F2"/>
      <c r="G2" s="41" t="s">
        <v>99</v>
      </c>
      <c r="H2" s="25">
        <f>VLOOKUP(H1,BD_Debt,1)</f>
        <v>36859</v>
      </c>
      <c r="M2"/>
      <c r="N2" s="41"/>
    </row>
    <row r="3" spans="1:15" x14ac:dyDescent="0.2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">
      <c r="A4" t="s">
        <v>25</v>
      </c>
      <c r="B4" s="25">
        <f>'Hawaii Summary'!B6</f>
        <v>36798</v>
      </c>
      <c r="D4" t="s">
        <v>98</v>
      </c>
      <c r="E4" s="47">
        <f>F4*$E$2/30</f>
        <v>531685.79445333336</v>
      </c>
      <c r="F4" s="41">
        <f>VLOOKUP($H$1+30,BD_Debt,5)</f>
        <v>569663.35120000003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46131.703333333338</v>
      </c>
      <c r="O4" s="41">
        <f>VLOOKUP($H$1+30,BD_Equity,3)</f>
        <v>49426.825000000004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87503189.794453338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4000277.7033333331</v>
      </c>
    </row>
    <row r="6" spans="1:15" ht="13.5" thickTop="1" x14ac:dyDescent="0.2">
      <c r="E6" s="27"/>
      <c r="J6" s="1" t="s">
        <v>34</v>
      </c>
      <c r="K6" s="24">
        <f>PMT(K4/12,K5,-K3)</f>
        <v>128721.89226982737</v>
      </c>
    </row>
    <row r="7" spans="1:15" s="37" customFormat="1" ht="25.5" x14ac:dyDescent="0.2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50 NR</vt:lpstr>
      <vt:lpstr>258 NP</vt:lpstr>
      <vt:lpstr>50 NP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2000-11-07T19:50:20Z</cp:lastPrinted>
  <dcterms:created xsi:type="dcterms:W3CDTF">2000-10-03T19:16:39Z</dcterms:created>
  <dcterms:modified xsi:type="dcterms:W3CDTF">2023-09-17T16:21:51Z</dcterms:modified>
</cp:coreProperties>
</file>