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531190-FA05-4199-A833-8B1167D405D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externalReferences>
    <externalReference r:id="rId10"/>
  </externalReference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N11" i="3"/>
  <c r="O11" i="3"/>
  <c r="P11" i="3"/>
  <c r="Q11" i="3"/>
  <c r="R11" i="3"/>
  <c r="S11" i="3"/>
  <c r="T11" i="3"/>
  <c r="U11" i="3"/>
  <c r="W11" i="3"/>
  <c r="G12" i="3"/>
  <c r="H12" i="3"/>
  <c r="I12" i="3"/>
  <c r="M12" i="3"/>
  <c r="N12" i="3"/>
  <c r="O12" i="3"/>
  <c r="P12" i="3"/>
  <c r="Q12" i="3"/>
  <c r="R12" i="3"/>
  <c r="S12" i="3"/>
  <c r="T12" i="3"/>
  <c r="U12" i="3"/>
  <c r="I13" i="3"/>
  <c r="L13" i="3"/>
  <c r="M13" i="3"/>
  <c r="N13" i="3"/>
  <c r="O13" i="3"/>
  <c r="P13" i="3"/>
  <c r="Q13" i="3"/>
  <c r="R13" i="3"/>
  <c r="S13" i="3"/>
  <c r="T13" i="3"/>
  <c r="U13" i="3"/>
  <c r="W13" i="3"/>
  <c r="N16" i="3"/>
  <c r="O16" i="3"/>
  <c r="P16" i="3"/>
  <c r="R16" i="3"/>
  <c r="T16" i="3"/>
  <c r="U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N19" i="3"/>
  <c r="O19" i="3"/>
  <c r="P19" i="3"/>
  <c r="R19" i="3"/>
  <c r="T19" i="3"/>
  <c r="U19" i="3"/>
  <c r="V19" i="3"/>
  <c r="W19" i="3"/>
  <c r="I20" i="3"/>
  <c r="N20" i="3"/>
  <c r="O20" i="3"/>
  <c r="P20" i="3"/>
  <c r="Q20" i="3"/>
  <c r="R20" i="3"/>
  <c r="S20" i="3"/>
  <c r="T20" i="3"/>
  <c r="U20" i="3"/>
  <c r="V20" i="3"/>
  <c r="W20" i="3"/>
  <c r="G21" i="3"/>
  <c r="H21" i="3"/>
  <c r="I21" i="3"/>
  <c r="N21" i="3"/>
  <c r="O21" i="3"/>
  <c r="P21" i="3"/>
  <c r="R21" i="3"/>
  <c r="T21" i="3"/>
  <c r="U21" i="3"/>
  <c r="V21" i="3"/>
  <c r="W21" i="3"/>
  <c r="N22" i="3"/>
  <c r="O22" i="3"/>
  <c r="P22" i="3"/>
  <c r="R22" i="3"/>
  <c r="T22" i="3"/>
  <c r="U22" i="3"/>
  <c r="V22" i="3"/>
  <c r="W22" i="3"/>
  <c r="I23" i="3"/>
  <c r="N23" i="3"/>
  <c r="O23" i="3"/>
  <c r="P23" i="3"/>
  <c r="R23" i="3"/>
  <c r="T23" i="3"/>
  <c r="U23" i="3"/>
  <c r="V23" i="3"/>
  <c r="W23" i="3"/>
  <c r="N24" i="3"/>
  <c r="O24" i="3"/>
  <c r="P24" i="3"/>
  <c r="R24" i="3"/>
  <c r="T24" i="3"/>
  <c r="U24" i="3"/>
  <c r="V24" i="3"/>
  <c r="W24" i="3"/>
  <c r="I25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I46" i="3"/>
  <c r="N46" i="3"/>
  <c r="O46" i="3"/>
  <c r="P46" i="3"/>
  <c r="R46" i="3"/>
  <c r="T46" i="3"/>
  <c r="U46" i="3"/>
  <c r="V46" i="3"/>
  <c r="W46" i="3"/>
  <c r="N47" i="3"/>
  <c r="O47" i="3"/>
  <c r="P47" i="3"/>
  <c r="R47" i="3"/>
  <c r="T47" i="3"/>
  <c r="U47" i="3"/>
  <c r="V47" i="3"/>
  <c r="W47" i="3"/>
  <c r="G50" i="3"/>
  <c r="H50" i="3"/>
  <c r="I50" i="3"/>
  <c r="M50" i="3"/>
  <c r="N50" i="3"/>
  <c r="O50" i="3"/>
  <c r="P50" i="3"/>
  <c r="R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R55" i="3"/>
  <c r="T55" i="3"/>
  <c r="U55" i="3"/>
  <c r="W55" i="3"/>
  <c r="I56" i="3"/>
  <c r="M56" i="3"/>
  <c r="N56" i="3"/>
  <c r="O56" i="3"/>
  <c r="P56" i="3"/>
  <c r="R56" i="3"/>
  <c r="T56" i="3"/>
  <c r="U56" i="3"/>
  <c r="W56" i="3"/>
  <c r="E59" i="3"/>
  <c r="I59" i="3"/>
  <c r="P59" i="3"/>
  <c r="Q59" i="3"/>
  <c r="R59" i="3"/>
  <c r="S59" i="3"/>
  <c r="T59" i="3"/>
  <c r="W59" i="3"/>
  <c r="I62" i="3"/>
  <c r="I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B100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<sst xmlns="http://schemas.openxmlformats.org/spreadsheetml/2006/main" count="1571" uniqueCount="579">
  <si>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</si>
  <si>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</si>
  <si>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</si>
  <si>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</si>
  <si>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</si>
  <si>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</si>
  <si>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</si>
  <si>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</si>
  <si>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</si>
  <si>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</si>
  <si>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</si>
  <si>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</si>
  <si>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</si>
  <si>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</si>
  <si>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</si>
  <si>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</si>
  <si>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</si>
  <si>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</si>
  <si>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</si>
  <si>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</si>
  <si>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</si>
  <si>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</si>
  <si>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</si>
  <si>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</si>
  <si>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</si>
  <si>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</si>
  <si>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</si>
  <si>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</si>
  <si>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</si>
  <si>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</si>
  <si>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</si>
  <si>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</si>
  <si>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</si>
  <si>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</si>
  <si>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</si>
  <si>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</si>
  <si>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</si>
  <si>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</si>
  <si>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</si>
  <si>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</si>
  <si>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</si>
  <si>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</si>
  <si>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</si>
  <si>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</si>
  <si>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</si>
  <si>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</si>
  <si>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</si>
  <si>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</si>
  <si>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</si>
  <si>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</si>
  <si>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</si>
  <si>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</si>
  <si>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</si>
  <si>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</si>
  <si>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</si>
  <si>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</si>
  <si>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</si>
  <si>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</si>
  <si>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</si>
  <si>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</si>
  <si>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</si>
  <si>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</si>
  <si>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</si>
  <si>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</si>
  <si>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</si>
  <si>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</si>
  <si>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</si>
  <si>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</si>
  <si>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</si>
  <si>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</si>
  <si>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</si>
  <si>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</si>
  <si>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</si>
  <si>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</si>
  <si>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</si>
  <si>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</si>
  <si>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</si>
  <si>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</si>
  <si>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</si>
  <si>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</si>
  <si>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</si>
  <si>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</si>
  <si>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</si>
  <si>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</si>
  <si>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</si>
  <si>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</si>
  <si>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</si>
  <si>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</si>
  <si>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</si>
  <si>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</si>
  <si>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</si>
  <si>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</si>
  <si>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</si>
  <si>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</si>
  <si>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</si>
  <si>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</si>
  <si>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</si>
  <si>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</si>
  <si>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</si>
  <si>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</si>
  <si>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</si>
  <si>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</si>
  <si>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</si>
  <si>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</si>
  <si>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</si>
  <si>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</si>
  <si>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</si>
  <si>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</si>
  <si>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</si>
  <si>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</si>
  <si>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</si>
  <si>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</si>
  <si>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</si>
  <si>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</si>
  <si>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</si>
  <si>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</si>
  <si>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</si>
  <si>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</si>
  <si>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</si>
  <si>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</si>
  <si>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</si>
  <si>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</si>
  <si>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</si>
  <si>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</si>
  <si>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</si>
  <si>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</si>
  <si>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</si>
  <si>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</si>
  <si>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</si>
  <si>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</si>
  <si>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</si>
  <si>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</si>
  <si>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</si>
  <si>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</si>
  <si>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</si>
  <si>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</si>
  <si>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</si>
  <si>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</si>
  <si>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</si>
  <si>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</si>
  <si>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</si>
  <si>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</si>
  <si>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</si>
  <si>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</si>
  <si>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</si>
  <si>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</si>
  <si>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</si>
  <si>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</si>
  <si>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</si>
  <si>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</si>
  <si>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</si>
  <si>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</si>
  <si>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</si>
  <si>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</si>
  <si>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</si>
  <si>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</si>
  <si>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</si>
  <si>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</si>
  <si>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</si>
  <si>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</si>
  <si>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</si>
  <si>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</si>
  <si>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</si>
  <si>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</si>
  <si>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</si>
  <si>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</si>
  <si>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</si>
  <si>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</si>
  <si>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</si>
  <si>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</si>
  <si>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</si>
  <si>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</si>
  <si>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</si>
  <si>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</si>
  <si>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</si>
  <si>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</si>
  <si>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</si>
  <si>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</si>
  <si>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</si>
  <si>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</si>
  <si>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</si>
  <si>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</si>
  <si>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</si>
  <si>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</si>
  <si>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</si>
  <si>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</si>
  <si>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</si>
  <si>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</si>
  <si>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</si>
  <si>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</si>
  <si>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</si>
  <si>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</si>
  <si>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</si>
  <si>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</si>
  <si>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</si>
  <si>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</si>
  <si>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</si>
  <si>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</si>
  <si>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</si>
  <si>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</si>
  <si>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</si>
  <si>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</si>
  <si>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</si>
  <si>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</si>
  <si>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</si>
  <si>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</si>
  <si>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</si>
  <si>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</si>
  <si>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</si>
  <si>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</si>
  <si>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</si>
  <si>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</si>
  <si>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</si>
  <si>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</si>
  <si>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</si>
  <si>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</si>
  <si>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</si>
  <si>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</si>
  <si>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</si>
  <si>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</si>
  <si>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</si>
  <si>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</si>
  <si>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</si>
  <si>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</si>
  <si>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</si>
  <si>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</si>
  <si>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</si>
  <si>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</si>
  <si>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</si>
  <si>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</si>
  <si>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</si>
  <si>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</si>
  <si>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</si>
  <si>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</si>
  <si>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</si>
  <si>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</si>
  <si>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</si>
  <si>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</si>
  <si>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</si>
  <si>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</si>
  <si>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</si>
  <si>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</si>
  <si>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</si>
  <si>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</si>
  <si>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</si>
  <si>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</si>
  <si>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</si>
  <si>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</si>
  <si>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</si>
  <si>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</si>
  <si>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</si>
  <si>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</si>
  <si>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</si>
  <si>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</si>
  <si>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</si>
  <si>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</si>
  <si>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</si>
  <si>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</si>
  <si>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</si>
  <si>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</si>
  <si>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</si>
  <si>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</si>
  <si>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</si>
  <si>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</si>
  <si>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</si>
  <si>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</si>
  <si>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</si>
  <si>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</si>
  <si>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</si>
  <si>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</si>
  <si>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</si>
  <si>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</si>
  <si>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</si>
  <si>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</si>
  <si>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</si>
  <si>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</si>
  <si>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</si>
  <si>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</si>
  <si>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</si>
  <si>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</si>
  <si>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</si>
  <si>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</si>
  <si>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</si>
  <si>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</si>
  <si>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</si>
  <si>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</si>
  <si>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</si>
  <si>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</si>
  <si>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</si>
  <si>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</si>
  <si>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</si>
  <si>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</si>
  <si>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</si>
  <si>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</si>
  <si>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</si>
  <si>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</si>
  <si>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</si>
  <si>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</si>
  <si>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</si>
  <si>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</si>
  <si>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</si>
  <si>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</si>
  <si>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</si>
  <si>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</si>
  <si>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</si>
  <si>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</si>
  <si>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</si>
  <si>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</si>
  <si>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</si>
  <si>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</si>
  <si>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</si>
  <si>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</si>
  <si>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</si>
  <si>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</si>
  <si>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</si>
  <si>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</si>
  <si>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</si>
  <si>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</si>
  <si>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</si>
  <si>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</si>
  <si>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</si>
  <si>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</si>
  <si>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</si>
  <si>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</si>
  <si>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</si>
  <si>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</si>
  <si>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</si>
  <si>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</si>
  <si>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</si>
  <si>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</si>
  <si>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</si>
  <si>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</si>
  <si>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</si>
  <si>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</si>
  <si>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</si>
  <si>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</si>
  <si>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</si>
  <si>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</si>
  <si>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</si>
  <si>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</si>
  <si>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</si>
  <si>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</si>
  <si>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</si>
  <si>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</si>
  <si>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</si>
  <si>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</si>
  <si>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</si>
  <si>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</si>
  <si>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</si>
  <si>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</si>
  <si>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</si>
  <si>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</si>
  <si>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</si>
  <si>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</si>
  <si>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</si>
  <si>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</si>
  <si>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</si>
  <si>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</si>
  <si>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</si>
  <si>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</si>
  <si>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</si>
  <si>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</si>
  <si>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</si>
  <si>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</si>
  <si>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</si>
  <si>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</si>
  <si>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</si>
  <si>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</si>
  <si>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</si>
  <si>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</si>
  <si>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</si>
  <si>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</si>
  <si>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</si>
  <si>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</si>
  <si>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</si>
  <si>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</si>
  <si>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</si>
  <si>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</si>
  <si>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</si>
  <si>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</si>
  <si>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</si>
  <si>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</si>
  <si>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</si>
  <si>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</si>
  <si>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</si>
  <si>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</si>
  <si>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</si>
  <si>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</si>
  <si>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</si>
  <si>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</si>
  <si>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</si>
  <si>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</si>
  <si>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</si>
  <si>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</si>
  <si>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</si>
  <si>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</si>
  <si>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</si>
  <si>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</si>
  <si>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</si>
  <si>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</si>
  <si>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</si>
  <si>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</si>
  <si>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</si>
  <si>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</si>
  <si>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</si>
  <si>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</si>
  <si>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</si>
  <si>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</si>
  <si>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</si>
  <si>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</si>
  <si>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</si>
  <si>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</si>
  <si>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</si>
  <si>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</si>
  <si>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</si>
  <si>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</si>
  <si>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</si>
  <si>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</si>
  <si>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</si>
  <si>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</si>
  <si>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</si>
  <si>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</si>
  <si>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</si>
  <si>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</si>
  <si>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</si>
  <si>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</si>
  <si>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</si>
  <si>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</si>
  <si>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</si>
  <si>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</si>
  <si>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</si>
  <si>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</si>
  <si>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</si>
  <si>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</si>
  <si>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</si>
  <si>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</si>
  <si>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</si>
  <si>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</si>
  <si>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</si>
  <si>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</si>
  <si>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</si>
  <si>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</si>
  <si>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</si>
  <si>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</si>
  <si>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</si>
  <si>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</si>
  <si>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</si>
  <si>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</si>
  <si>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</si>
  <si>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</si>
  <si>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</si>
  <si>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</si>
  <si>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</si>
  <si>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</si>
  <si>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</si>
  <si>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</si>
  <si>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</si>
  <si>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</si>
  <si>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</si>
  <si>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</si>
  <si>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</si>
  <si>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</si>
  <si>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</si>
  <si>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</si>
  <si>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</si>
  <si>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</si>
  <si>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</si>
  <si>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</si>
  <si>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</si>
  <si>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</si>
  <si>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</si>
  <si>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</si>
  <si>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</si>
  <si>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</si>
  <si>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</si>
  <si>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</si>
  <si>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</si>
  <si>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</si>
  <si>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</si>
  <si>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</si>
  <si>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</si>
  <si>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</si>
  <si>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</si>
  <si>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</si>
  <si>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</si>
  <si>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</si>
  <si>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</si>
  <si>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</si>
  <si>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</si>
  <si>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</si>
  <si>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</si>
  <si>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</si>
  <si>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</si>
  <si>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</si>
  <si>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</si>
  <si>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</si>
  <si>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</si>
  <si>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</si>
  <si>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</si>
  <si>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</si>
  <si>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</si>
  <si>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</si>
  <si>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</si>
  <si>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</si>
  <si>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</si>
  <si>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</si>
  <si>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</si>
  <si>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</si>
  <si>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</si>
  <si>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</si>
  <si>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</si>
  <si>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</si>
  <si>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</si>
  <si>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</si>
  <si>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</si>
  <si>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</si>
  <si>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</si>
  <si>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</si>
  <si>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</si>
  <si>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</si>
  <si>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</si>
  <si>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</si>
  <si>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</si>
  <si>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</si>
  <si>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</si>
  <si>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</si>
  <si>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</si>
  <si>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</si>
  <si>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</si>
  <si>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</si>
  <si>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</si>
  <si>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</si>
  <si>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</si>
  <si>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</si>
  <si>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</si>
  <si>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</si>
  <si>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</si>
  <si>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</si>
  <si>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</si>
  <si>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</si>
  <si>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</si>
  <si>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</si>
  <si>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</si>
  <si>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</si>
  <si>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</si>
  <si>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</si>
  <si>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</si>
  <si>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</si>
  <si>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</si>
  <si>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</si>
  <si>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</si>
  <si>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</si>
  <si>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</si>
  <si>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</si>
  <si>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</si>
  <si>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</si>
  <si>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</si>
  <si>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</si>
  <si>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</si>
  <si>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</si>
  <si>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</si>
  <si>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</si>
  <si>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</si>
  <si>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</si>
  <si>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</si>
  <si>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</si>
  <si>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</si>
  <si>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</si>
  <si>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US;CESIV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</si>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</sst>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CES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SI"/>
    </sheetNames>
    <sheetDataSet>
      <sheetData sheetId="0">
        <row r="7">
          <cell r="D7">
            <v>13.125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21" sqref="C21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79" t="s">
        <v>128</v>
      </c>
      <c r="C2" s="279"/>
      <c r="D2" s="279"/>
      <c r="E2" s="27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36880</v>
      </c>
      <c r="D5" s="67" t="s">
        <v>20</v>
      </c>
      <c r="E5" s="68">
        <f>+C5-1</f>
        <v>36879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-295914089.60353786</v>
      </c>
      <c r="D12" s="71">
        <f>+'Daily Position'!S59</f>
        <v>-267573.34567883867</v>
      </c>
      <c r="E12" s="71">
        <f>+C12-D12</f>
        <v>-295646516.25785899</v>
      </c>
      <c r="F12" s="63"/>
    </row>
    <row r="13" spans="1:6" x14ac:dyDescent="0.25">
      <c r="A13" s="62"/>
      <c r="B13" s="64" t="s">
        <v>10</v>
      </c>
      <c r="C13" s="56">
        <f>+C15-C12</f>
        <v>-7421612.3256790042</v>
      </c>
      <c r="D13" s="56">
        <f>+D15-D12</f>
        <v>0</v>
      </c>
      <c r="E13" s="56">
        <f>+E15-E12</f>
        <v>-7421612.3256790042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-303335701.92921686</v>
      </c>
      <c r="D15" s="57">
        <f>+'Daily Position'!Q59</f>
        <v>-267573.34567883867</v>
      </c>
      <c r="E15" s="57">
        <f>+C15-D15</f>
        <v>-303068128.583538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-17706161.809999999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765933270.92999995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5"/>
  <sheetViews>
    <sheetView showGridLines="0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A53" sqref="A53:IV53"/>
    </sheetView>
  </sheetViews>
  <sheetFormatPr defaultRowHeight="15.75" x14ac:dyDescent="0.25"/>
  <cols>
    <col min="1" max="1" width="23.125" customWidth="1"/>
    <col min="2" max="2" width="7.875" style="272" customWidth="1"/>
    <col min="3" max="3" width="10.875" style="272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4" customWidth="1"/>
    <col min="16" max="16" width="14.125" customWidth="1"/>
    <col min="17" max="17" width="11.625" customWidth="1"/>
    <col min="18" max="18" width="14.5" customWidth="1"/>
    <col min="19" max="19" width="12.625" style="4" customWidth="1"/>
    <col min="20" max="20" width="13.5" customWidth="1"/>
    <col min="21" max="21" width="13.375" customWidth="1"/>
    <col min="22" max="22" width="7.25" customWidth="1"/>
    <col min="23" max="23" width="14.625" bestFit="1" customWidth="1"/>
    <col min="24" max="24" width="17.625" bestFit="1" customWidth="1"/>
    <col min="26" max="26" width="9.875" bestFit="1" customWidth="1"/>
  </cols>
  <sheetData>
    <row r="1" spans="1:26" s="79" customFormat="1" x14ac:dyDescent="0.25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572</v>
      </c>
      <c r="K1" s="285"/>
      <c r="L1" s="285"/>
      <c r="M1" s="286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</row>
    <row r="2" spans="1:26" s="80" customFormat="1" ht="15" customHeight="1" thickBot="1" x14ac:dyDescent="0.3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8" t="s">
        <v>1</v>
      </c>
      <c r="K2" s="85" t="s">
        <v>48</v>
      </c>
      <c r="L2" s="277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8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25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25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VLOOKUP(+O4,wtten,2)</f>
        <v>1.6691441320188194</v>
      </c>
      <c r="O4" s="264">
        <f>+Summary!$C$5</f>
        <v>36880</v>
      </c>
      <c r="P4" s="4">
        <f t="shared" ref="P4:P9" si="1">IF(O4&lt;B4,0,ROUND((+N4*H4),2)-I4-Q4)</f>
        <v>38255.900000000009</v>
      </c>
      <c r="Q4" s="4">
        <v>0</v>
      </c>
      <c r="R4" s="5">
        <f t="shared" ref="R4:R13" si="2">+P4+Q4</f>
        <v>38255.900000000009</v>
      </c>
      <c r="S4" s="4">
        <v>0</v>
      </c>
      <c r="T4" s="4">
        <f>IF(Summary!$E$5&lt;'Daily Position'!B4,0,ROUND(+U4*H4,2)-I4)</f>
        <v>34472.260000000009</v>
      </c>
      <c r="U4" s="2">
        <f>+VLOOKUP(+Summary!$E$5,wtten,2)</f>
        <v>1.6206359049870502</v>
      </c>
      <c r="V4" s="2"/>
      <c r="W4" s="144">
        <f>+N4*H4-'MRP Raptor'!U65</f>
        <v>0</v>
      </c>
    </row>
    <row r="5" spans="1:26" x14ac:dyDescent="0.25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15.25</v>
      </c>
      <c r="O5" s="264">
        <f>+Summary!$C$5</f>
        <v>36880</v>
      </c>
      <c r="P5" s="4">
        <f t="shared" si="1"/>
        <v>-48183458.5</v>
      </c>
      <c r="Q5" s="4">
        <v>0</v>
      </c>
      <c r="R5" s="5">
        <f t="shared" si="2"/>
        <v>-48183458.5</v>
      </c>
      <c r="S5" s="4">
        <v>0</v>
      </c>
      <c r="T5" s="4">
        <f>IF(Summary!$E$5&lt;'Daily Position'!B5,0,ROUND(+U5*H5,2)-I5)</f>
        <v>-45152048.870000005</v>
      </c>
      <c r="U5" s="2">
        <f>+VLOOKUP(+Summary!$E$5,acpw,2)</f>
        <v>17.625</v>
      </c>
      <c r="V5" s="2"/>
      <c r="W5" s="144">
        <f>+N5*H5-'MRP Raptor'!U34</f>
        <v>0</v>
      </c>
      <c r="X5" s="217"/>
    </row>
    <row r="6" spans="1:26" x14ac:dyDescent="0.25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18.875</v>
      </c>
      <c r="O6" s="264">
        <f>+Summary!$C$5</f>
        <v>36880</v>
      </c>
      <c r="P6" s="4">
        <f t="shared" si="1"/>
        <v>-157043309.25</v>
      </c>
      <c r="Q6" s="4">
        <v>0</v>
      </c>
      <c r="R6" s="5">
        <f>+P6+Q6</f>
        <v>-157043309.25</v>
      </c>
      <c r="S6" s="4">
        <v>0</v>
      </c>
      <c r="T6" s="4">
        <f>IF(Summary!$E$5&lt;'Daily Position'!B6,0,ROUND(+U6*H6,2)-I6)</f>
        <v>-152737944.37</v>
      </c>
      <c r="U6" s="2">
        <f>+VLOOKUP(+Summary!$E$5,avci,2)</f>
        <v>22.8125</v>
      </c>
      <c r="V6" s="2"/>
      <c r="W6" s="144">
        <f>+N6*H6-'MRP Raptor'!U10</f>
        <v>0</v>
      </c>
      <c r="X6" s="217"/>
    </row>
    <row r="7" spans="1:26" x14ac:dyDescent="0.25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5.5794913609718657</v>
      </c>
      <c r="O7" s="264">
        <f>+Summary!$C$5</f>
        <v>36880</v>
      </c>
      <c r="P7" s="4">
        <f t="shared" si="1"/>
        <v>216263.89</v>
      </c>
      <c r="Q7" s="4">
        <v>0</v>
      </c>
      <c r="R7" s="5">
        <f t="shared" si="2"/>
        <v>216263.89</v>
      </c>
      <c r="S7" s="4">
        <v>0</v>
      </c>
      <c r="T7" s="4">
        <f>IF(Summary!$E$5&lt;'Daily Position'!B7,0,ROUND(+U7*H7,2)-I7)</f>
        <v>273885.67000000004</v>
      </c>
      <c r="U7" s="2">
        <f>+VLOOKUP(+Summary!$E$5,wcrzo,2)</f>
        <v>5.9482707819414173</v>
      </c>
      <c r="V7" s="2"/>
      <c r="W7" s="144">
        <f>+N7*H7-'MRP Raptor'!U64</f>
        <v>0</v>
      </c>
      <c r="X7" s="217"/>
    </row>
    <row r="8" spans="1:26" x14ac:dyDescent="0.25">
      <c r="A8" s="141" t="s">
        <v>570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VLOOKUP(+O8,cesiv,2)</f>
        <v>14.938000000000001</v>
      </c>
      <c r="O8" s="264">
        <f>+Summary!$C$5</f>
        <v>36880</v>
      </c>
      <c r="P8" s="4">
        <f t="shared" si="1"/>
        <v>-96493745.730000004</v>
      </c>
      <c r="Q8" s="4">
        <v>0</v>
      </c>
      <c r="R8" s="5">
        <f>+P8+Q8</f>
        <v>-96493745.730000004</v>
      </c>
      <c r="S8" s="4">
        <v>0</v>
      </c>
      <c r="T8" s="4">
        <f>IF(Summary!$E$5&lt;'Daily Position'!B8,0,ROUND(+U8*H8,2)-I8)</f>
        <v>-98167853.230000004</v>
      </c>
      <c r="U8" s="2">
        <f>+VLOOKUP(+Summary!$E$5,cesiv,2)</f>
        <v>13.688000000000001</v>
      </c>
      <c r="V8" s="2"/>
      <c r="W8" s="144">
        <f>+N8*H8-'MRP Raptor'!U83</f>
        <v>2762947.0179999992</v>
      </c>
      <c r="X8" s="1">
        <v>36874</v>
      </c>
      <c r="Y8" t="s">
        <v>571</v>
      </c>
    </row>
    <row r="9" spans="1:26" x14ac:dyDescent="0.25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4.4375</v>
      </c>
      <c r="O9" s="264">
        <f>+Summary!$C$5</f>
        <v>36880</v>
      </c>
      <c r="P9" s="4">
        <f t="shared" si="1"/>
        <v>-86093.32</v>
      </c>
      <c r="Q9" s="4">
        <v>0</v>
      </c>
      <c r="R9" s="5">
        <f t="shared" si="2"/>
        <v>-86093.32</v>
      </c>
      <c r="S9" s="4">
        <v>0</v>
      </c>
      <c r="T9" s="4">
        <f>IF(Summary!$E$5&lt;'Daily Position'!B9,0,ROUND(+U9*H9,2)-I9)</f>
        <v>-74863.75</v>
      </c>
      <c r="U9" s="2">
        <f>+VLOOKUP(+Summary!$E$5,pgeo,2)</f>
        <v>4.625</v>
      </c>
      <c r="V9" s="2"/>
      <c r="W9" s="144">
        <f>+N9*H9-'MRP Raptor'!U81</f>
        <v>0</v>
      </c>
      <c r="X9" s="217"/>
    </row>
    <row r="10" spans="1:26" x14ac:dyDescent="0.25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1.6414970453053186</v>
      </c>
      <c r="O10" s="264">
        <f>+Summary!$C$5</f>
        <v>36880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2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6"/>
    </row>
    <row r="11" spans="1:26" x14ac:dyDescent="0.25">
      <c r="A11" t="s">
        <v>576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4"/>
      <c r="K11" s="69"/>
      <c r="L11" s="3"/>
      <c r="N11" s="69">
        <f>VLOOKUP(+O11,qsri,2)</f>
        <v>7.5</v>
      </c>
      <c r="O11" s="264">
        <f>+Summary!$C$5</f>
        <v>36880</v>
      </c>
      <c r="P11" s="4">
        <f>IF(O11&lt;B11,0,ROUND((+N11*(H11-L11)),2)-ROUND(((H11-L11)*G11),2))</f>
        <v>-66277.91</v>
      </c>
      <c r="Q11" s="4">
        <f>IF(J11&lt;(O11+1),(+K11-G11)*L11,0)</f>
        <v>0</v>
      </c>
      <c r="R11" s="5">
        <f t="shared" si="2"/>
        <v>-66277.91</v>
      </c>
      <c r="S11" s="4">
        <f>IF(J11&lt;O11,+Q11,0)</f>
        <v>0</v>
      </c>
      <c r="T11" s="4">
        <f>IF(Summary!$E$5&lt;'Daily Position'!B11,0,ROUND(+U11*H11,2)-I11)</f>
        <v>-68811.56</v>
      </c>
      <c r="U11" s="2">
        <f>IF(O11=(X11+1),+'Stock Prices'!N65/(229391/12234952),+VLOOKUP(+Summary!$E$5,qsri,2))</f>
        <v>7.25</v>
      </c>
      <c r="V11" s="2"/>
      <c r="W11" s="144">
        <f>+N11*(H11+H12-L11-L12)-'MRP Raptor'!U55</f>
        <v>0</v>
      </c>
      <c r="X11" s="276">
        <v>36824</v>
      </c>
      <c r="Y11" s="3" t="s">
        <v>575</v>
      </c>
      <c r="Z11" s="1"/>
    </row>
    <row r="12" spans="1:26" x14ac:dyDescent="0.25">
      <c r="A12" t="s">
        <v>577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4">
        <v>36874</v>
      </c>
      <c r="K12" s="69">
        <v>7</v>
      </c>
      <c r="L12" s="3">
        <v>127500</v>
      </c>
      <c r="M12" s="4">
        <f>+K12*L12</f>
        <v>892500</v>
      </c>
      <c r="N12" s="69">
        <f>VLOOKUP(+O12,qsri,2)</f>
        <v>7.5</v>
      </c>
      <c r="O12" s="264">
        <f>+Summary!$C$5</f>
        <v>36880</v>
      </c>
      <c r="P12" s="4">
        <f>IF(O12&lt;B12,0,ROUND((+N12*(H12-L12)),2)-ROUND(((H12-L12)*G12),2))</f>
        <v>0</v>
      </c>
      <c r="Q12" s="4">
        <f>IF(J12&lt;(O12+1),(+K12-G12)*L12,0)</f>
        <v>374100.00000000006</v>
      </c>
      <c r="R12" s="5">
        <f>+P12+Q12</f>
        <v>374100.00000000006</v>
      </c>
      <c r="S12" s="4">
        <f>IF(J12&lt;O12,+Q12,0)</f>
        <v>374100.00000000006</v>
      </c>
      <c r="T12" s="4">
        <f>IF(Summary!$E$5&lt;'Daily Position'!B12,0,ROUND(+U12*H12,2)-I12)</f>
        <v>405975</v>
      </c>
      <c r="U12" s="2">
        <f>IF(O12=(X12+1),+'Stock Prices'!N66/(229391/12234952),+VLOOKUP(+Summary!$E$5,qsri,2))</f>
        <v>7.25</v>
      </c>
      <c r="V12" s="2"/>
      <c r="W12" s="144"/>
      <c r="X12" s="276">
        <v>36824</v>
      </c>
      <c r="Y12" s="3" t="s">
        <v>575</v>
      </c>
      <c r="Z12" s="1"/>
    </row>
    <row r="13" spans="1:26" x14ac:dyDescent="0.25">
      <c r="A13" t="s">
        <v>171</v>
      </c>
      <c r="B13" s="272">
        <v>36741</v>
      </c>
      <c r="C13" s="272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4">
        <v>36868</v>
      </c>
      <c r="K13" s="69">
        <v>6.72</v>
      </c>
      <c r="L13" s="3">
        <f>+H13</f>
        <v>804243</v>
      </c>
      <c r="M13" s="4">
        <f>+K13*L13</f>
        <v>5404512.96</v>
      </c>
      <c r="N13" s="69">
        <f>VLOOKUP(+O13,kwk,2)</f>
        <v>8</v>
      </c>
      <c r="O13" s="264">
        <f>+Summary!$C$5</f>
        <v>36880</v>
      </c>
      <c r="P13" s="4">
        <f>IF(O13&lt;B13,0,ROUND((+N13*(H13-L13)),2)-ROUND(((H13-L13)*G13),2))</f>
        <v>0</v>
      </c>
      <c r="Q13" s="4">
        <f>IF(J13&lt;(O13+1),(+K13-G13)*L13,0)</f>
        <v>-727839.91500000015</v>
      </c>
      <c r="R13" s="5">
        <f t="shared" si="2"/>
        <v>-727839.91500000015</v>
      </c>
      <c r="S13" s="4">
        <f>IF(J13&lt;O13,+Q13,0)</f>
        <v>-727839.91500000015</v>
      </c>
      <c r="T13" s="4">
        <f>IF(Summary!$E$5&lt;'Daily Position'!B13,0,ROUND(+U13*H13,2)-I13)</f>
        <v>301591.12000000011</v>
      </c>
      <c r="U13" s="2">
        <f>+VLOOKUP(+Summary!$E$5,kwk,2)</f>
        <v>8</v>
      </c>
      <c r="V13" s="2"/>
      <c r="W13" s="144">
        <f>+N13*(H13-L13)-'MRP Raptor'!U84</f>
        <v>0</v>
      </c>
      <c r="X13" s="276"/>
    </row>
    <row r="14" spans="1:26" x14ac:dyDescent="0.25">
      <c r="N14" s="2"/>
      <c r="P14" s="4"/>
      <c r="Q14" s="4"/>
      <c r="R14" s="5"/>
      <c r="T14" s="4"/>
      <c r="U14" s="4"/>
      <c r="V14" s="4"/>
    </row>
    <row r="15" spans="1:26" x14ac:dyDescent="0.25">
      <c r="A15" s="139" t="s">
        <v>185</v>
      </c>
      <c r="N15" s="2"/>
      <c r="P15" s="4"/>
      <c r="Q15" s="4"/>
      <c r="R15" s="5"/>
      <c r="T15" s="4"/>
      <c r="U15" s="4"/>
      <c r="V15" s="4"/>
    </row>
    <row r="16" spans="1:26" x14ac:dyDescent="0.25">
      <c r="A16" s="218" t="s">
        <v>531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4">
        <f>+Summary!$C$5</f>
        <v>36880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6">
        <v>2</v>
      </c>
      <c r="W16" s="144">
        <f>+N16-'MRP Raptor'!U71+'Private Cash'!B375</f>
        <v>0</v>
      </c>
    </row>
    <row r="17" spans="1:25" x14ac:dyDescent="0.25">
      <c r="A17" s="141" t="s">
        <v>238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3">VLOOKUP(+O17,Privates,V17)</f>
        <v>4563600</v>
      </c>
      <c r="O17" s="264">
        <f>+Summary!$C$5</f>
        <v>36880</v>
      </c>
      <c r="P17" s="4">
        <f t="shared" ref="P17:P47" si="4">IF(O17&lt;B17,0,(+N17-I17-Q17))</f>
        <v>0</v>
      </c>
      <c r="Q17" s="4">
        <v>0</v>
      </c>
      <c r="R17" s="5">
        <f t="shared" ref="R17:R46" si="5">+P17+Q17</f>
        <v>0</v>
      </c>
      <c r="S17" s="4">
        <v>0</v>
      </c>
      <c r="T17" s="4">
        <f>+U17-I17</f>
        <v>0</v>
      </c>
      <c r="U17" s="4">
        <f>VLOOKUP(+Summary!$E$5,Privates,V17)</f>
        <v>4563600</v>
      </c>
      <c r="V17" s="236">
        <f>+V16+1</f>
        <v>3</v>
      </c>
      <c r="W17" s="144">
        <f>+N17-'MRP Raptor'!U13+'Private Cash'!C375</f>
        <v>0</v>
      </c>
    </row>
    <row r="18" spans="1:25" x14ac:dyDescent="0.25">
      <c r="A18" s="141" t="s">
        <v>501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2136334</v>
      </c>
      <c r="N18" s="4">
        <f t="shared" si="3"/>
        <v>2136334</v>
      </c>
      <c r="O18" s="264">
        <f>+Summary!$C$5</f>
        <v>36880</v>
      </c>
      <c r="P18" s="4">
        <f t="shared" si="4"/>
        <v>0</v>
      </c>
      <c r="Q18" s="4">
        <v>0</v>
      </c>
      <c r="R18" s="5">
        <f>+P18+Q18</f>
        <v>0</v>
      </c>
      <c r="S18" s="4">
        <v>0</v>
      </c>
      <c r="T18" s="4">
        <f>+U18-I18</f>
        <v>0</v>
      </c>
      <c r="U18" s="4">
        <f>VLOOKUP(+Summary!$E$5,Privates,V18)</f>
        <v>2136334</v>
      </c>
      <c r="V18" s="236">
        <f t="shared" ref="V18:V47" si="6">+V17+1</f>
        <v>4</v>
      </c>
      <c r="W18" s="144">
        <f>+N18-'MRP Raptor'!U47+'Private Cash'!D375</f>
        <v>0</v>
      </c>
    </row>
    <row r="19" spans="1:25" x14ac:dyDescent="0.25">
      <c r="A19" s="141" t="s">
        <v>239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v>429975</v>
      </c>
      <c r="N19" s="4">
        <f t="shared" si="3"/>
        <v>429975</v>
      </c>
      <c r="O19" s="264">
        <f>+Summary!$C$5</f>
        <v>36880</v>
      </c>
      <c r="P19" s="4">
        <f t="shared" si="4"/>
        <v>0</v>
      </c>
      <c r="Q19" s="4">
        <v>0</v>
      </c>
      <c r="R19" s="5">
        <f t="shared" si="5"/>
        <v>0</v>
      </c>
      <c r="S19" s="4">
        <v>0</v>
      </c>
      <c r="T19" s="4">
        <f>+U19-I19</f>
        <v>0</v>
      </c>
      <c r="U19" s="4">
        <f>VLOOKUP(+Summary!$E$5,Privates,V19)</f>
        <v>429975</v>
      </c>
      <c r="V19" s="236">
        <f t="shared" si="6"/>
        <v>5</v>
      </c>
      <c r="W19" s="144">
        <f>+N19-'MRP Raptor'!U72+'Private Cash'!E375</f>
        <v>0</v>
      </c>
    </row>
    <row r="20" spans="1:25" x14ac:dyDescent="0.25">
      <c r="A20" s="141" t="s">
        <v>240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4">
        <v>36831</v>
      </c>
      <c r="K20" s="69" t="s">
        <v>573</v>
      </c>
      <c r="L20" s="3"/>
      <c r="M20" s="4">
        <v>12500000</v>
      </c>
      <c r="N20" s="4">
        <f t="shared" si="3"/>
        <v>0</v>
      </c>
      <c r="O20" s="264">
        <f>+Summary!$C$5</f>
        <v>36880</v>
      </c>
      <c r="P20" s="4">
        <f>IF(O20&lt;B20,0,IF(O20&gt;J20,0,(+N20-I20-Q20)))</f>
        <v>0</v>
      </c>
      <c r="Q20" s="4">
        <f>IF(O20&gt;J20,+M20-I20,0)</f>
        <v>0</v>
      </c>
      <c r="R20" s="5">
        <f t="shared" si="5"/>
        <v>0</v>
      </c>
      <c r="S20" s="4">
        <f>IF(O20&gt;X20,0,0)</f>
        <v>0</v>
      </c>
      <c r="T20" s="4">
        <f>IF(O20&gt;X20,0,+U20-I20)</f>
        <v>0</v>
      </c>
      <c r="U20" s="4">
        <f>VLOOKUP(+Summary!$E$5,Privates,V20)</f>
        <v>0</v>
      </c>
      <c r="V20" s="236">
        <f t="shared" si="6"/>
        <v>6</v>
      </c>
      <c r="W20" s="144">
        <f>IF(O20&gt;X20,0,+N20-'MRP Raptor'!U56+'Private Cash'!F375)</f>
        <v>0</v>
      </c>
      <c r="X20" s="1"/>
    </row>
    <row r="21" spans="1:25" x14ac:dyDescent="0.25">
      <c r="A21" s="141" t="s">
        <v>569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3"/>
        <v>0</v>
      </c>
      <c r="O21" s="264">
        <f>+Summary!$C$5</f>
        <v>36880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ref="T21:T47" si="7">+U21-I21</f>
        <v>0</v>
      </c>
      <c r="U21" s="4">
        <f>VLOOKUP(+Summary!$E$5,Privates,V21)</f>
        <v>0</v>
      </c>
      <c r="V21" s="236">
        <f t="shared" si="6"/>
        <v>7</v>
      </c>
      <c r="W21" s="144">
        <f>+N21-'MRP Raptor'!U78+'Private Cash'!G375</f>
        <v>0</v>
      </c>
      <c r="X21" s="1">
        <v>36874</v>
      </c>
      <c r="Y21" t="s">
        <v>571</v>
      </c>
    </row>
    <row r="22" spans="1:25" x14ac:dyDescent="0.25">
      <c r="A22" s="141" t="s">
        <v>241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3"/>
        <v>1663000</v>
      </c>
      <c r="O22" s="264">
        <f>+Summary!$C$5</f>
        <v>36880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1663000</v>
      </c>
      <c r="V22" s="236">
        <f t="shared" si="6"/>
        <v>8</v>
      </c>
      <c r="W22" s="144">
        <f>+N22-'MRP Raptor'!U73+'Private Cash'!H375</f>
        <v>0</v>
      </c>
    </row>
    <row r="23" spans="1:25" x14ac:dyDescent="0.25">
      <c r="A23" t="s">
        <v>527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3"/>
        <v>12878050</v>
      </c>
      <c r="O23" s="264">
        <f>+Summary!$C$5</f>
        <v>36880</v>
      </c>
      <c r="P23" s="4">
        <f t="shared" si="4"/>
        <v>0</v>
      </c>
      <c r="Q23" s="4">
        <v>0</v>
      </c>
      <c r="R23" s="5">
        <f t="shared" si="5"/>
        <v>0</v>
      </c>
      <c r="S23" s="4">
        <v>0</v>
      </c>
      <c r="T23" s="4">
        <f t="shared" si="7"/>
        <v>0</v>
      </c>
      <c r="U23" s="4">
        <f>VLOOKUP(+Summary!$E$5,Privates,V23)</f>
        <v>12878050</v>
      </c>
      <c r="V23" s="236">
        <f t="shared" si="6"/>
        <v>9</v>
      </c>
      <c r="W23" s="144">
        <f>+N23-'MRP Raptor'!U29+'Private Cash'!I375</f>
        <v>0</v>
      </c>
    </row>
    <row r="24" spans="1:25" x14ac:dyDescent="0.25">
      <c r="A24" s="141" t="s">
        <v>242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I24" s="4">
        <v>1012500</v>
      </c>
      <c r="N24" s="4">
        <f t="shared" si="3"/>
        <v>1012500</v>
      </c>
      <c r="O24" s="264">
        <f>+Summary!$C$5</f>
        <v>36880</v>
      </c>
      <c r="P24" s="4">
        <f t="shared" si="4"/>
        <v>0</v>
      </c>
      <c r="Q24" s="4">
        <v>0</v>
      </c>
      <c r="R24" s="5">
        <f t="shared" si="5"/>
        <v>0</v>
      </c>
      <c r="S24" s="4">
        <v>0</v>
      </c>
      <c r="T24" s="4">
        <f t="shared" si="7"/>
        <v>0</v>
      </c>
      <c r="U24" s="4">
        <f>VLOOKUP(+Summary!$E$5,Privates,V24)</f>
        <v>1012500</v>
      </c>
      <c r="V24" s="236">
        <f t="shared" si="6"/>
        <v>10</v>
      </c>
      <c r="W24" s="144">
        <f>+N24-'MRP Raptor'!U74+'Private Cash'!J375</f>
        <v>0</v>
      </c>
    </row>
    <row r="25" spans="1:25" x14ac:dyDescent="0.25">
      <c r="A25" s="141" t="s">
        <v>517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3"/>
        <v>23507915.00000019</v>
      </c>
      <c r="O25" s="264">
        <f>+Summary!$C$5</f>
        <v>36880</v>
      </c>
      <c r="P25" s="4">
        <f t="shared" si="4"/>
        <v>1.8998980522155762E-7</v>
      </c>
      <c r="Q25" s="4">
        <v>0</v>
      </c>
      <c r="R25" s="5">
        <f t="shared" si="5"/>
        <v>1.8998980522155762E-7</v>
      </c>
      <c r="S25" s="4">
        <v>0</v>
      </c>
      <c r="T25" s="4">
        <f t="shared" si="7"/>
        <v>1.862645149230957E-7</v>
      </c>
      <c r="U25" s="4">
        <f>VLOOKUP(+Summary!$E$5,Privates,V25)</f>
        <v>23507915.000000186</v>
      </c>
      <c r="V25" s="236">
        <f t="shared" si="6"/>
        <v>11</v>
      </c>
      <c r="W25" s="144">
        <f>+N25-'MRP Raptor'!U49+'Private Cash'!K375</f>
        <v>-3.7252902984619141E-9</v>
      </c>
    </row>
    <row r="26" spans="1:25" x14ac:dyDescent="0.25">
      <c r="A26" s="141" t="s">
        <v>485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3"/>
        <v>10372212</v>
      </c>
      <c r="O26" s="264">
        <f>+Summary!$C$5</f>
        <v>36880</v>
      </c>
      <c r="P26" s="4">
        <f t="shared" si="4"/>
        <v>0</v>
      </c>
      <c r="Q26" s="4">
        <v>0</v>
      </c>
      <c r="R26" s="5">
        <f>+P26+Q26</f>
        <v>0</v>
      </c>
      <c r="S26" s="4">
        <v>0</v>
      </c>
      <c r="T26" s="4">
        <f t="shared" si="7"/>
        <v>0</v>
      </c>
      <c r="U26" s="4">
        <f>VLOOKUP(+Summary!$E$5,Privates,V26)</f>
        <v>10372212</v>
      </c>
      <c r="V26" s="236">
        <f t="shared" si="6"/>
        <v>12</v>
      </c>
      <c r="W26" s="144">
        <f>+N26-'MRP Raptor'!U50+'Private Cash'!L375</f>
        <v>0</v>
      </c>
    </row>
    <row r="27" spans="1:25" x14ac:dyDescent="0.25">
      <c r="A27" s="141" t="s">
        <v>518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3"/>
        <v>1302980</v>
      </c>
      <c r="O27" s="264">
        <f>+Summary!$C$5</f>
        <v>36880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1302980</v>
      </c>
      <c r="V27" s="236">
        <f t="shared" si="6"/>
        <v>13</v>
      </c>
      <c r="W27" s="144">
        <f>+N27-'MRP Raptor'!U57+'Private Cash'!M375</f>
        <v>0</v>
      </c>
    </row>
    <row r="28" spans="1:25" x14ac:dyDescent="0.25">
      <c r="A28" s="141" t="s">
        <v>519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3"/>
        <v>3486752</v>
      </c>
      <c r="O28" s="264">
        <f>+Summary!$C$5</f>
        <v>36880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3486752</v>
      </c>
      <c r="V28" s="236">
        <f t="shared" si="6"/>
        <v>14</v>
      </c>
      <c r="W28" s="144">
        <f>+N28-'MRP Raptor'!U62+'Private Cash'!N375</f>
        <v>0</v>
      </c>
    </row>
    <row r="29" spans="1:25" x14ac:dyDescent="0.25">
      <c r="A29" s="141" t="s">
        <v>243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3"/>
        <v>429210</v>
      </c>
      <c r="O29" s="264">
        <f>+Summary!$C$5</f>
        <v>36880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429210</v>
      </c>
      <c r="V29" s="236">
        <f t="shared" si="6"/>
        <v>15</v>
      </c>
      <c r="W29" s="144">
        <f>+N29-'MRP Raptor'!U58+'Private Cash'!O375</f>
        <v>0</v>
      </c>
    </row>
    <row r="30" spans="1:25" x14ac:dyDescent="0.25">
      <c r="A30" s="141" t="s">
        <v>244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3"/>
        <v>470790</v>
      </c>
      <c r="O30" s="264">
        <f>+Summary!$C$5</f>
        <v>36880</v>
      </c>
      <c r="P30" s="4">
        <f t="shared" si="4"/>
        <v>0</v>
      </c>
      <c r="Q30" s="4">
        <v>0</v>
      </c>
      <c r="R30" s="5">
        <f t="shared" si="5"/>
        <v>0</v>
      </c>
      <c r="S30" s="4">
        <v>0</v>
      </c>
      <c r="T30" s="4">
        <f t="shared" si="7"/>
        <v>0</v>
      </c>
      <c r="U30" s="4">
        <f>VLOOKUP(+Summary!$E$5,Privates,V30)</f>
        <v>470790</v>
      </c>
      <c r="V30" s="236">
        <f t="shared" si="6"/>
        <v>16</v>
      </c>
      <c r="W30" s="144">
        <f>+N30-'MRP Raptor'!U59+'Private Cash'!P375</f>
        <v>0</v>
      </c>
    </row>
    <row r="31" spans="1:25" x14ac:dyDescent="0.25">
      <c r="A31" s="141" t="s">
        <v>188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3"/>
        <v>26054801.25</v>
      </c>
      <c r="O31" s="264">
        <f>+Summary!$C$5</f>
        <v>36880</v>
      </c>
      <c r="P31" s="4">
        <f t="shared" si="4"/>
        <v>-1027698.75</v>
      </c>
      <c r="Q31" s="4">
        <v>0</v>
      </c>
      <c r="R31" s="5">
        <f t="shared" si="5"/>
        <v>-1027698.75</v>
      </c>
      <c r="S31" s="4">
        <v>0</v>
      </c>
      <c r="T31" s="4">
        <f t="shared" si="7"/>
        <v>-1027698.75</v>
      </c>
      <c r="U31" s="4">
        <f>VLOOKUP(+Summary!$E$5,Privates,V31)</f>
        <v>26054801.25</v>
      </c>
      <c r="V31" s="236">
        <f t="shared" si="6"/>
        <v>17</v>
      </c>
      <c r="W31" s="144">
        <f>+N31-'MRP Raptor'!U88+'Private Cash'!Q375</f>
        <v>0</v>
      </c>
    </row>
    <row r="32" spans="1:25" x14ac:dyDescent="0.25">
      <c r="A32" s="141" t="s">
        <v>245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3"/>
        <v>7121810</v>
      </c>
      <c r="O32" s="264">
        <f>+Summary!$C$5</f>
        <v>36880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7121810</v>
      </c>
      <c r="V32" s="236">
        <f t="shared" si="6"/>
        <v>18</v>
      </c>
      <c r="W32" s="144">
        <f>+N32-'MRP Raptor'!U60+'Private Cash'!R375</f>
        <v>0</v>
      </c>
    </row>
    <row r="33" spans="1:23" x14ac:dyDescent="0.25">
      <c r="A33" s="141" t="s">
        <v>187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3"/>
        <v>5644007</v>
      </c>
      <c r="O33" s="264">
        <f>+Summary!$C$5</f>
        <v>36880</v>
      </c>
      <c r="P33" s="4">
        <f t="shared" si="4"/>
        <v>0</v>
      </c>
      <c r="Q33" s="4">
        <v>0</v>
      </c>
      <c r="R33" s="5">
        <f t="shared" si="5"/>
        <v>0</v>
      </c>
      <c r="S33" s="4">
        <v>0</v>
      </c>
      <c r="T33" s="4">
        <f t="shared" si="7"/>
        <v>0</v>
      </c>
      <c r="U33" s="4">
        <f>VLOOKUP(+Summary!$E$5,Privates,V33)</f>
        <v>5644007</v>
      </c>
      <c r="V33" s="236">
        <f t="shared" si="6"/>
        <v>19</v>
      </c>
      <c r="W33" s="144">
        <f>+N33-'MRP Raptor'!U4+'Private Cash'!S375</f>
        <v>3.4924596548080444E-10</v>
      </c>
    </row>
    <row r="34" spans="1:23" x14ac:dyDescent="0.25">
      <c r="A34" s="141" t="s">
        <v>246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3"/>
        <v>20984932.989999998</v>
      </c>
      <c r="O34" s="264">
        <f>+Summary!$C$5</f>
        <v>36880</v>
      </c>
      <c r="P34" s="4">
        <f t="shared" si="4"/>
        <v>68057.989999998361</v>
      </c>
      <c r="Q34" s="4">
        <v>0</v>
      </c>
      <c r="R34" s="5">
        <f t="shared" si="5"/>
        <v>68057.989999998361</v>
      </c>
      <c r="S34" s="4">
        <v>0</v>
      </c>
      <c r="T34" s="4">
        <f t="shared" si="7"/>
        <v>68057.989999998361</v>
      </c>
      <c r="U34" s="4">
        <f>VLOOKUP(+Summary!$E$5,Privates,V34)</f>
        <v>20984932.989999998</v>
      </c>
      <c r="V34" s="236">
        <f t="shared" si="6"/>
        <v>20</v>
      </c>
      <c r="W34" s="144">
        <f>+N34-'MRP Raptor'!U14+'Private Cash'!T375</f>
        <v>0</v>
      </c>
    </row>
    <row r="35" spans="1:23" x14ac:dyDescent="0.25">
      <c r="A35" s="141" t="s">
        <v>253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3"/>
        <v>2560525</v>
      </c>
      <c r="O35" s="264">
        <f>+Summary!$C$5</f>
        <v>36880</v>
      </c>
      <c r="P35" s="4">
        <f t="shared" si="4"/>
        <v>0</v>
      </c>
      <c r="Q35" s="4">
        <v>0</v>
      </c>
      <c r="R35" s="5">
        <f>+P35+Q35</f>
        <v>0</v>
      </c>
      <c r="S35" s="4">
        <v>0</v>
      </c>
      <c r="T35" s="4">
        <f t="shared" si="7"/>
        <v>0</v>
      </c>
      <c r="U35" s="4">
        <f>VLOOKUP(+Summary!$E$5,Privates,V35)</f>
        <v>2560525</v>
      </c>
      <c r="V35" s="236">
        <f t="shared" si="6"/>
        <v>21</v>
      </c>
      <c r="W35" s="144">
        <f>+N35-'MRP Raptor'!U15+'Private Cash'!U375</f>
        <v>0</v>
      </c>
    </row>
    <row r="36" spans="1:23" x14ac:dyDescent="0.25">
      <c r="A36" s="141" t="s">
        <v>247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4774950</v>
      </c>
      <c r="N36" s="4">
        <f t="shared" si="3"/>
        <v>4923475.66</v>
      </c>
      <c r="O36" s="264">
        <f>+Summary!$C$5</f>
        <v>36880</v>
      </c>
      <c r="P36" s="4">
        <f t="shared" si="4"/>
        <v>148525.66000000015</v>
      </c>
      <c r="Q36" s="4">
        <v>0</v>
      </c>
      <c r="R36" s="5">
        <f t="shared" si="5"/>
        <v>148525.66000000015</v>
      </c>
      <c r="S36" s="4">
        <v>0</v>
      </c>
      <c r="T36" s="4">
        <f t="shared" si="7"/>
        <v>148525.66000000015</v>
      </c>
      <c r="U36" s="4">
        <f>VLOOKUP(+Summary!$E$5,Privates,V36)</f>
        <v>4923475.66</v>
      </c>
      <c r="V36" s="236">
        <f t="shared" si="6"/>
        <v>22</v>
      </c>
      <c r="W36" s="144">
        <f>+N36-'MRP Raptor'!U75+'Private Cash'!V375</f>
        <v>0</v>
      </c>
    </row>
    <row r="37" spans="1:23" x14ac:dyDescent="0.25">
      <c r="A37" s="141" t="s">
        <v>248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3"/>
        <v>2013591.6599838899</v>
      </c>
      <c r="O37" s="264">
        <f>+Summary!$C$5</f>
        <v>36880</v>
      </c>
      <c r="P37" s="4">
        <f t="shared" si="4"/>
        <v>191228.6599838899</v>
      </c>
      <c r="Q37" s="4">
        <v>0</v>
      </c>
      <c r="R37" s="5">
        <f t="shared" si="5"/>
        <v>191228.6599838899</v>
      </c>
      <c r="S37" s="4">
        <v>0</v>
      </c>
      <c r="T37" s="4">
        <f t="shared" si="7"/>
        <v>191228.6599838899</v>
      </c>
      <c r="U37" s="4">
        <f>VLOOKUP(+Summary!$E$5,Privates,V37)</f>
        <v>2013591.6599838899</v>
      </c>
      <c r="V37" s="236">
        <f t="shared" si="6"/>
        <v>23</v>
      </c>
      <c r="W37" s="144">
        <f>+N37-'MRP Raptor'!U86+'Private Cash'!W375</f>
        <v>0</v>
      </c>
    </row>
    <row r="38" spans="1:23" x14ac:dyDescent="0.25">
      <c r="A38" s="141" t="s">
        <v>249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3"/>
        <v>1374750</v>
      </c>
      <c r="O38" s="264">
        <f>+Summary!$C$5</f>
        <v>36880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1374750</v>
      </c>
      <c r="V38" s="236">
        <f t="shared" si="6"/>
        <v>24</v>
      </c>
      <c r="W38" s="144">
        <f>+N38-'MRP Raptor'!U89+'Private Cash'!X375</f>
        <v>0</v>
      </c>
    </row>
    <row r="39" spans="1:23" x14ac:dyDescent="0.25">
      <c r="A39" s="141" t="s">
        <v>250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3"/>
        <v>1803840</v>
      </c>
      <c r="O39" s="264">
        <f>+Summary!$C$5</f>
        <v>36880</v>
      </c>
      <c r="P39" s="4">
        <f t="shared" si="4"/>
        <v>0</v>
      </c>
      <c r="Q39" s="4">
        <v>0</v>
      </c>
      <c r="R39" s="5">
        <f t="shared" si="5"/>
        <v>0</v>
      </c>
      <c r="S39" s="4">
        <v>0</v>
      </c>
      <c r="T39" s="4">
        <f t="shared" si="7"/>
        <v>0</v>
      </c>
      <c r="U39" s="4">
        <f>VLOOKUP(+Summary!$E$5,Privates,V39)</f>
        <v>1803840</v>
      </c>
      <c r="V39" s="236">
        <f t="shared" si="6"/>
        <v>25</v>
      </c>
      <c r="W39" s="144">
        <f>+N39-'MRP Raptor'!U25+'Private Cash'!Y375</f>
        <v>0</v>
      </c>
    </row>
    <row r="40" spans="1:23" x14ac:dyDescent="0.25">
      <c r="A40" s="141" t="s">
        <v>528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3"/>
        <v>2300803</v>
      </c>
      <c r="O40" s="264">
        <f>+Summary!$C$5</f>
        <v>36880</v>
      </c>
      <c r="P40" s="4">
        <f t="shared" si="4"/>
        <v>0</v>
      </c>
      <c r="Q40" s="4">
        <v>0</v>
      </c>
      <c r="R40" s="5">
        <f>+P40+Q40</f>
        <v>0</v>
      </c>
      <c r="S40" s="4">
        <v>0</v>
      </c>
      <c r="T40" s="4">
        <f t="shared" si="7"/>
        <v>0</v>
      </c>
      <c r="U40" s="4">
        <f>VLOOKUP(+Summary!$E$5,Privates,V40)</f>
        <v>2300803</v>
      </c>
      <c r="V40" s="236">
        <f t="shared" si="6"/>
        <v>26</v>
      </c>
      <c r="W40" s="144">
        <f>+N40-'MRP Raptor'!U26+'Private Cash'!Z375</f>
        <v>0</v>
      </c>
    </row>
    <row r="41" spans="1:23" x14ac:dyDescent="0.25">
      <c r="A41" s="141" t="s">
        <v>251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3"/>
        <v>7463158.7400000002</v>
      </c>
      <c r="O41" s="264">
        <f>+Summary!$C$5</f>
        <v>36880</v>
      </c>
      <c r="P41" s="4">
        <f t="shared" si="4"/>
        <v>-20591.259999999776</v>
      </c>
      <c r="Q41" s="4">
        <v>0</v>
      </c>
      <c r="R41" s="5">
        <f t="shared" si="5"/>
        <v>-20591.259999999776</v>
      </c>
      <c r="S41" s="4">
        <v>0</v>
      </c>
      <c r="T41" s="4">
        <f t="shared" si="7"/>
        <v>-20591.259999999776</v>
      </c>
      <c r="U41" s="4">
        <f>VLOOKUP(+Summary!$E$5,Privates,V41)</f>
        <v>7463158.7400000002</v>
      </c>
      <c r="V41" s="236">
        <f t="shared" si="6"/>
        <v>27</v>
      </c>
      <c r="W41" s="144">
        <f>+N41-'MRP Raptor'!U16+'Private Cash'!AA375</f>
        <v>0</v>
      </c>
    </row>
    <row r="42" spans="1:23" x14ac:dyDescent="0.25">
      <c r="A42" s="141" t="s">
        <v>254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3"/>
        <v>2343750</v>
      </c>
      <c r="O42" s="264">
        <f>+Summary!$C$5</f>
        <v>36880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2343750</v>
      </c>
      <c r="V42" s="236">
        <f t="shared" si="6"/>
        <v>28</v>
      </c>
      <c r="W42" s="144">
        <f>+N42-'MRP Raptor'!U17+'Private Cash'!AB375</f>
        <v>0</v>
      </c>
    </row>
    <row r="43" spans="1:23" x14ac:dyDescent="0.25">
      <c r="A43" t="s">
        <v>520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3"/>
        <v>16316247</v>
      </c>
      <c r="O43" s="264">
        <f>+Summary!$C$5</f>
        <v>36880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16316247</v>
      </c>
      <c r="V43" s="236">
        <f t="shared" si="6"/>
        <v>29</v>
      </c>
      <c r="W43" s="144">
        <f>+N43-'MRP Raptor'!U18+'Private Cash'!AC375</f>
        <v>0</v>
      </c>
    </row>
    <row r="44" spans="1:23" x14ac:dyDescent="0.25">
      <c r="A44" t="s">
        <v>521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3"/>
        <v>1050000</v>
      </c>
      <c r="O44" s="264">
        <f>+Summary!$C$5</f>
        <v>36880</v>
      </c>
      <c r="P44" s="4">
        <f t="shared" si="4"/>
        <v>0</v>
      </c>
      <c r="Q44" s="4">
        <v>0</v>
      </c>
      <c r="R44" s="5">
        <f>+P44+Q44</f>
        <v>0</v>
      </c>
      <c r="S44" s="4">
        <v>0</v>
      </c>
      <c r="T44" s="4">
        <f t="shared" si="7"/>
        <v>0</v>
      </c>
      <c r="U44" s="4">
        <f>VLOOKUP(+Summary!$E$5,Privates,V44)</f>
        <v>1050000</v>
      </c>
      <c r="V44" s="236">
        <f t="shared" si="6"/>
        <v>30</v>
      </c>
      <c r="W44" s="144">
        <f>+N44-'MRP Raptor'!U19+'Private Cash'!AD375</f>
        <v>0</v>
      </c>
    </row>
    <row r="45" spans="1:23" x14ac:dyDescent="0.25">
      <c r="A45" s="141" t="s">
        <v>487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3"/>
        <v>80687584.609999999</v>
      </c>
      <c r="O45" s="264">
        <f>+Summary!$C$5</f>
        <v>36880</v>
      </c>
      <c r="P45" s="4">
        <f t="shared" si="4"/>
        <v>-792415.3900000006</v>
      </c>
      <c r="Q45" s="4">
        <v>0</v>
      </c>
      <c r="R45" s="5">
        <f t="shared" si="5"/>
        <v>-792415.3900000006</v>
      </c>
      <c r="S45" s="4">
        <v>0</v>
      </c>
      <c r="T45" s="4">
        <f t="shared" si="7"/>
        <v>-792415.3900000006</v>
      </c>
      <c r="U45" s="4">
        <f>VLOOKUP(+Summary!$E$5,Privates,V45)</f>
        <v>80687584.609999999</v>
      </c>
      <c r="V45" s="236">
        <f t="shared" si="6"/>
        <v>31</v>
      </c>
      <c r="W45" s="144">
        <f>+N45-'MRP Raptor'!U69+'Private Cash'!AE375</f>
        <v>4.1909515857696533E-9</v>
      </c>
    </row>
    <row r="46" spans="1:23" x14ac:dyDescent="0.25">
      <c r="A46" s="141" t="s">
        <v>486</v>
      </c>
      <c r="B46" s="272">
        <v>36741</v>
      </c>
      <c r="C46" s="272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3"/>
        <v>1360000</v>
      </c>
      <c r="O46" s="264">
        <f>+Summary!$C$5</f>
        <v>36880</v>
      </c>
      <c r="P46" s="4">
        <f t="shared" si="4"/>
        <v>0</v>
      </c>
      <c r="Q46" s="4">
        <v>0</v>
      </c>
      <c r="R46" s="5">
        <f t="shared" si="5"/>
        <v>0</v>
      </c>
      <c r="S46" s="4">
        <v>0</v>
      </c>
      <c r="T46" s="4">
        <f t="shared" si="7"/>
        <v>0</v>
      </c>
      <c r="U46" s="4">
        <f>VLOOKUP(+Summary!$E$5,Privates,V46)</f>
        <v>1360000</v>
      </c>
      <c r="V46" s="236">
        <f t="shared" si="6"/>
        <v>32</v>
      </c>
      <c r="W46" s="144">
        <f>+N46-'MRP Raptor'!U77+'Private Cash'!AF375</f>
        <v>0</v>
      </c>
    </row>
    <row r="47" spans="1:23" x14ac:dyDescent="0.25">
      <c r="A47" s="141" t="s">
        <v>189</v>
      </c>
      <c r="B47" s="272">
        <v>36741</v>
      </c>
      <c r="C47" s="272">
        <v>37836</v>
      </c>
      <c r="D47" s="77" t="s">
        <v>536</v>
      </c>
      <c r="E47" s="4">
        <v>36066314</v>
      </c>
      <c r="F47" s="77" t="s">
        <v>18</v>
      </c>
      <c r="I47" s="4">
        <v>93746590</v>
      </c>
      <c r="N47" s="4">
        <f t="shared" si="3"/>
        <v>93746588.676477998</v>
      </c>
      <c r="O47" s="264">
        <f>+Summary!$C$5</f>
        <v>36880</v>
      </c>
      <c r="P47" s="4">
        <f t="shared" si="4"/>
        <v>-1.3235220015048981</v>
      </c>
      <c r="Q47" s="4">
        <v>0</v>
      </c>
      <c r="R47" s="5">
        <f>+P47+Q47</f>
        <v>-1.3235220015048981</v>
      </c>
      <c r="S47" s="4">
        <v>0</v>
      </c>
      <c r="T47" s="4">
        <f t="shared" si="7"/>
        <v>-1.3235220015048981</v>
      </c>
      <c r="U47" s="4">
        <f>VLOOKUP(+Summary!$E$5,Privates,V47)</f>
        <v>93746588.676477998</v>
      </c>
      <c r="V47" s="236">
        <f t="shared" si="6"/>
        <v>33</v>
      </c>
      <c r="W47" s="144">
        <f>+N47-'MRP Raptor'!U30+'Private Cash'!AG375</f>
        <v>0</v>
      </c>
    </row>
    <row r="48" spans="1:23" x14ac:dyDescent="0.25">
      <c r="A48" s="141"/>
      <c r="N48" s="4"/>
      <c r="P48" s="4"/>
      <c r="Q48" s="4"/>
      <c r="R48" s="5"/>
      <c r="T48" s="4"/>
      <c r="U48" s="4"/>
      <c r="V48" s="236"/>
      <c r="W48" s="144"/>
    </row>
    <row r="49" spans="1:24" x14ac:dyDescent="0.25">
      <c r="A49" s="141" t="s">
        <v>255</v>
      </c>
      <c r="N49" s="4"/>
      <c r="P49" s="4"/>
      <c r="Q49" s="4"/>
      <c r="R49" s="5"/>
      <c r="T49" s="4"/>
      <c r="U49" s="4"/>
      <c r="V49" s="236"/>
      <c r="W49" s="144"/>
    </row>
    <row r="50" spans="1:24" x14ac:dyDescent="0.25">
      <c r="A50" t="s">
        <v>169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4"/>
      <c r="K50" s="2"/>
      <c r="L50" s="3"/>
      <c r="M50" s="4">
        <f>ROUND(+K50*L50,2)</f>
        <v>0</v>
      </c>
      <c r="N50" s="69">
        <f>+N4</f>
        <v>1.6691441320188194</v>
      </c>
      <c r="O50" s="264">
        <f>+Summary!$C$5</f>
        <v>36880</v>
      </c>
      <c r="P50" s="4">
        <f>IF(O50&lt;B50,0,ROUND((+N50*H50),2)-I50-Q50)</f>
        <v>23030.050000000003</v>
      </c>
      <c r="Q50" s="4">
        <v>0</v>
      </c>
      <c r="R50" s="5">
        <f t="shared" ref="R50:R56" si="8">+P50+Q50</f>
        <v>23030.050000000003</v>
      </c>
      <c r="S50" s="4">
        <v>0</v>
      </c>
      <c r="T50" s="4">
        <f>IF(Summary!$E$5&lt;'Daily Position'!B50,0,ROUND(+U50*H50,2)-I50)</f>
        <v>20752.300000000003</v>
      </c>
      <c r="U50" s="69">
        <f>+U4</f>
        <v>1.6206359049870502</v>
      </c>
      <c r="V50" s="2"/>
      <c r="W50" s="144">
        <f>+N50*H50-'MRP Raptor'!U22</f>
        <v>0</v>
      </c>
    </row>
    <row r="51" spans="1:24" x14ac:dyDescent="0.25">
      <c r="A51" t="s">
        <v>481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4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1.6414970453053186</v>
      </c>
      <c r="O51" s="264">
        <f>+Summary!$C$5</f>
        <v>36880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8"/>
        <v>112402.64349999953</v>
      </c>
      <c r="S51" s="4">
        <f>IF(J51&lt;O51,+Q51,0)</f>
        <v>112402.64349999953</v>
      </c>
      <c r="T51" s="4">
        <f>IF(Summary!$E$5&lt;'Daily Position'!B51,0,ROUND(+U51*H51,2)-I51)</f>
        <v>112404.64000000001</v>
      </c>
      <c r="U51" s="69">
        <f>+U10</f>
        <v>1.9379844961240309</v>
      </c>
      <c r="V51" s="2"/>
      <c r="W51" s="144">
        <f>+N51*(H51-L51)-'MRP Raptor'!U37</f>
        <v>0</v>
      </c>
      <c r="X51" s="217"/>
    </row>
    <row r="52" spans="1:24" x14ac:dyDescent="0.25">
      <c r="A52" t="str">
        <f>+A11</f>
        <v>DevX Energy Common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4"/>
      <c r="K52" s="2"/>
      <c r="L52" s="3"/>
      <c r="M52" s="4">
        <f>ROUND(+K52*L52,2)</f>
        <v>0</v>
      </c>
      <c r="N52" s="69">
        <f>+N11</f>
        <v>7.5</v>
      </c>
      <c r="O52" s="264">
        <f>+Summary!$C$5</f>
        <v>36880</v>
      </c>
      <c r="P52" s="4">
        <f>IF(O52&lt;B52,0,ROUND((+N52*(H52-L52)),2)-ROUND(((H52-L52)*G52),2))</f>
        <v>-39899.300000000003</v>
      </c>
      <c r="Q52" s="4">
        <f>IF(J52&lt;(O52+1),(+K52-G52)*L52,0)</f>
        <v>0</v>
      </c>
      <c r="R52" s="5">
        <f t="shared" si="8"/>
        <v>-39899.300000000003</v>
      </c>
      <c r="S52" s="4">
        <f>IF(J52&lt;O52,+Q52,0)</f>
        <v>0</v>
      </c>
      <c r="T52" s="4">
        <f>IF(Summary!$E$5&lt;'Daily Position'!B52,0,ROUND(+U52*H52,2)-I52)</f>
        <v>-41424.560000000005</v>
      </c>
      <c r="U52" s="69">
        <f>+U11</f>
        <v>7.25</v>
      </c>
      <c r="V52" s="2"/>
      <c r="W52" s="144">
        <f>+N52*(H52+H53-L52-L53)-'MRP Raptor'!U41</f>
        <v>0</v>
      </c>
      <c r="X52" s="217"/>
    </row>
    <row r="53" spans="1:24" x14ac:dyDescent="0.25">
      <c r="A53" t="str">
        <f>+A12</f>
        <v>DevX Energy Pref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4">
        <f>+J12</f>
        <v>36874</v>
      </c>
      <c r="K53" s="2">
        <f>+K12</f>
        <v>7</v>
      </c>
      <c r="L53" s="3">
        <f>ROUND(+L12/0.6*0.3612,4)</f>
        <v>76755</v>
      </c>
      <c r="M53" s="4">
        <f>ROUND(+K53*L53,2)</f>
        <v>537285</v>
      </c>
      <c r="N53" s="69">
        <f>+N12</f>
        <v>7.5</v>
      </c>
      <c r="O53" s="264">
        <f>+Summary!$C$5</f>
        <v>36880</v>
      </c>
      <c r="P53" s="4">
        <f>IF(O53&lt;B53,0,ROUND((+N53*(H53-L53)),2)-ROUND(((H53-L53)*G53),2))</f>
        <v>0</v>
      </c>
      <c r="Q53" s="4">
        <f>IF(J53&lt;(O53+1),(+K53-G53)*L53,0)</f>
        <v>225208.20000000004</v>
      </c>
      <c r="R53" s="5">
        <f>+P53+Q53</f>
        <v>225208.20000000004</v>
      </c>
      <c r="S53" s="4">
        <f>IF(J53&lt;O53,+Q53,0)</f>
        <v>225208.20000000004</v>
      </c>
      <c r="T53" s="4">
        <f>IF(Summary!$E$5&lt;'Daily Position'!B53,0,ROUND(+U53*H53,2)-I53)</f>
        <v>244396.95</v>
      </c>
      <c r="U53" s="69">
        <f>+U12</f>
        <v>7.25</v>
      </c>
      <c r="V53" s="2"/>
      <c r="W53" s="144"/>
      <c r="X53" s="217"/>
    </row>
    <row r="54" spans="1:24" x14ac:dyDescent="0.25">
      <c r="A54" t="s">
        <v>171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4">
        <f>+J13</f>
        <v>36868</v>
      </c>
      <c r="K54" s="2">
        <f>+K13</f>
        <v>6.72</v>
      </c>
      <c r="L54" s="3">
        <f>ROUND(+L13/0.6*0.3612,3)</f>
        <v>484154.28600000002</v>
      </c>
      <c r="M54" s="4">
        <f>ROUND(+K54*L54,2)</f>
        <v>3253516.8</v>
      </c>
      <c r="N54" s="69">
        <f>+N13</f>
        <v>8</v>
      </c>
      <c r="O54" s="264">
        <f>+Summary!$C$5</f>
        <v>36880</v>
      </c>
      <c r="P54" s="4">
        <f>IF(O54&lt;B54,0,ROUND((+N54*(H54-L54)),2)-ROUND(((H54-L54)*G54),2))</f>
        <v>0</v>
      </c>
      <c r="Q54" s="4">
        <f>IF(J54&lt;(O54+1),(+K54-G54)*L54,0)</f>
        <v>-438159.62883000012</v>
      </c>
      <c r="R54" s="5">
        <f t="shared" si="8"/>
        <v>-438159.62883000012</v>
      </c>
      <c r="S54" s="4">
        <f>IF(J54&lt;O54,+Q54,0)</f>
        <v>-438159.62883000012</v>
      </c>
      <c r="T54" s="4">
        <f>IF(Summary!$E$5&lt;'Daily Position'!B54,0,ROUND(+U54*H54,2)-I54)</f>
        <v>181557.85999999987</v>
      </c>
      <c r="U54" s="69">
        <f>+U13</f>
        <v>8</v>
      </c>
      <c r="V54" s="2"/>
      <c r="W54" s="144">
        <f>+N54*(H54-L54)-'MRP Raptor'!U42</f>
        <v>0</v>
      </c>
      <c r="X54" s="217"/>
    </row>
    <row r="55" spans="1:24" x14ac:dyDescent="0.25">
      <c r="A55" s="141" t="s">
        <v>238</v>
      </c>
      <c r="B55" s="272">
        <v>36741</v>
      </c>
      <c r="C55" s="272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2747287.2</v>
      </c>
      <c r="O55" s="264">
        <f>+Summary!$C$5</f>
        <v>36880</v>
      </c>
      <c r="P55" s="4">
        <f>IF(O55&lt;B55,0,(+N55-I55-Q55))</f>
        <v>0</v>
      </c>
      <c r="Q55" s="4">
        <v>0</v>
      </c>
      <c r="R55" s="5">
        <f t="shared" si="8"/>
        <v>0</v>
      </c>
      <c r="S55" s="4">
        <v>0</v>
      </c>
      <c r="T55" s="4">
        <f>+U55-I55</f>
        <v>0</v>
      </c>
      <c r="U55" s="4">
        <f>ROUND(+U17/0.6*0.3612,2)</f>
        <v>2747287.2</v>
      </c>
      <c r="V55" s="236"/>
      <c r="W55" s="144">
        <f>+N55-'MRP Raptor'!U39+'Private Cash'!C375/0.6*0.3612</f>
        <v>0.22611999994842336</v>
      </c>
    </row>
    <row r="56" spans="1:24" x14ac:dyDescent="0.25">
      <c r="A56" s="141" t="s">
        <v>244</v>
      </c>
      <c r="B56" s="272">
        <v>36741</v>
      </c>
      <c r="C56" s="272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283415.58</v>
      </c>
      <c r="O56" s="264">
        <f>+Summary!$C$5</f>
        <v>36880</v>
      </c>
      <c r="P56" s="4">
        <f>IF(O56&lt;B56,0,(+N56-I56-Q56))</f>
        <v>0</v>
      </c>
      <c r="Q56" s="4">
        <v>0</v>
      </c>
      <c r="R56" s="5">
        <f t="shared" si="8"/>
        <v>0</v>
      </c>
      <c r="S56" s="4">
        <v>0</v>
      </c>
      <c r="T56" s="4">
        <f>+U56-I56</f>
        <v>0</v>
      </c>
      <c r="U56" s="4">
        <f>ROUND(+U30/0.6*0.3612,2)</f>
        <v>283415.58</v>
      </c>
      <c r="V56" s="236"/>
      <c r="W56" s="144">
        <f>+N56-'MRP Raptor'!U44+'Private Cash'!P375/0.6*0.3612</f>
        <v>-0.41999999998370185</v>
      </c>
    </row>
    <row r="57" spans="1:24" x14ac:dyDescent="0.25">
      <c r="A57" s="141"/>
      <c r="N57" s="4"/>
      <c r="P57" s="4"/>
      <c r="Q57" s="4"/>
      <c r="R57" s="5"/>
      <c r="T57" s="4"/>
      <c r="U57" s="4"/>
      <c r="V57" s="236"/>
      <c r="W57" s="144"/>
    </row>
    <row r="59" spans="1:24" ht="16.5" thickBot="1" x14ac:dyDescent="0.3">
      <c r="B59" s="273" t="s">
        <v>19</v>
      </c>
      <c r="E59" s="78">
        <f>SUM(E4:E58)</f>
        <v>36066314</v>
      </c>
      <c r="I59" s="243">
        <f>SUM(I3:I58)</f>
        <v>734066729.07000005</v>
      </c>
      <c r="J59" s="71"/>
      <c r="K59" s="71"/>
      <c r="L59" s="71"/>
      <c r="M59" s="71"/>
      <c r="P59" s="78">
        <f>SUM(P3:P58)</f>
        <v>-303068128.58353794</v>
      </c>
      <c r="Q59" s="78">
        <f>SUM(Q3:Q58)</f>
        <v>-267573.34567883867</v>
      </c>
      <c r="R59" s="78">
        <f>SUM(R3:R58)</f>
        <v>-303335701.92921686</v>
      </c>
      <c r="S59" s="243">
        <f>SUM(S3:S58)</f>
        <v>-267573.34567883867</v>
      </c>
      <c r="T59" s="78">
        <f>SUM(T3:T58)</f>
        <v>-295914089.60353786</v>
      </c>
      <c r="U59" s="219"/>
      <c r="V59" s="219"/>
      <c r="W59" s="78">
        <f>SUM(W3:W58)</f>
        <v>2762946.82412</v>
      </c>
    </row>
    <row r="60" spans="1:24" ht="16.5" thickTop="1" x14ac:dyDescent="0.25"/>
    <row r="61" spans="1:24" x14ac:dyDescent="0.25">
      <c r="G61" s="2" t="s">
        <v>572</v>
      </c>
      <c r="W61" s="5"/>
    </row>
    <row r="62" spans="1:24" x14ac:dyDescent="0.25">
      <c r="G62" s="2" t="s">
        <v>350</v>
      </c>
      <c r="I62" s="4">
        <f>+L10*G10+L12*G12+L13*G13+L51*G51+L53*G53+L54*G54</f>
        <v>12637306.712250002</v>
      </c>
      <c r="W62" s="5"/>
    </row>
    <row r="63" spans="1:24" x14ac:dyDescent="0.25">
      <c r="G63" s="2" t="s">
        <v>341</v>
      </c>
      <c r="I63" s="4">
        <f>+I20</f>
        <v>12500000</v>
      </c>
      <c r="W63" s="5"/>
    </row>
    <row r="64" spans="1:24" x14ac:dyDescent="0.25">
      <c r="W64" s="224"/>
    </row>
    <row r="65" spans="7:23" x14ac:dyDescent="0.25">
      <c r="G65" s="2" t="s">
        <v>574</v>
      </c>
      <c r="I65" s="4">
        <f>+I59-I62-I63</f>
        <v>708929422.35775006</v>
      </c>
      <c r="W65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workbookViewId="0">
      <pane ySplit="4" topLeftCell="A85" activePane="bottomLeft" state="frozen"/>
      <selection pane="bottomLeft" activeCell="A105" sqref="A105"/>
    </sheetView>
  </sheetViews>
  <sheetFormatPr defaultRowHeight="15.75" x14ac:dyDescent="0.25"/>
  <cols>
    <col min="1" max="1" width="10" style="1" bestFit="1" customWidth="1"/>
    <col min="2" max="2" width="9.75" style="128" bestFit="1" customWidth="1"/>
    <col min="3" max="3" width="9.875" style="264" bestFit="1" customWidth="1"/>
    <col min="4" max="4" width="9.125" style="133" bestFit="1" customWidth="1"/>
    <col min="5" max="5" width="9.875" style="264" bestFit="1" customWidth="1"/>
    <col min="6" max="6" width="9.75" style="128" bestFit="1" customWidth="1"/>
    <col min="7" max="7" width="9.875" style="264" bestFit="1" customWidth="1"/>
    <col min="8" max="8" width="9.125" style="128" bestFit="1" customWidth="1"/>
    <col min="9" max="9" width="9.875" style="264" bestFit="1" customWidth="1"/>
    <col min="10" max="10" width="11.25" style="128" customWidth="1"/>
    <col min="11" max="11" width="9.875" style="264" bestFit="1" customWidth="1"/>
    <col min="12" max="12" width="10.375" style="131" bestFit="1" customWidth="1"/>
    <col min="13" max="13" width="9.875" style="264" bestFit="1" customWidth="1"/>
    <col min="14" max="14" width="9.125" style="128" bestFit="1" customWidth="1"/>
    <col min="15" max="15" width="9.875" style="264" bestFit="1" customWidth="1"/>
    <col min="16" max="16" width="9.125" style="128" bestFit="1" customWidth="1"/>
    <col min="17" max="17" width="9.875" style="264" bestFit="1" customWidth="1"/>
    <col min="18" max="18" width="9.125" style="128" bestFit="1" customWidth="1"/>
    <col min="19" max="19" width="9.875" style="268" bestFit="1" customWidth="1"/>
    <col min="20" max="20" width="9.75" style="128" bestFit="1" customWidth="1"/>
    <col min="21" max="21" width="10" style="264" customWidth="1"/>
    <col min="22" max="22" width="11.375" style="129" bestFit="1" customWidth="1"/>
    <col min="23" max="23" width="9.875" style="264" bestFit="1" customWidth="1"/>
    <col min="24" max="24" width="9.125" style="128" bestFit="1" customWidth="1"/>
    <col min="25" max="25" width="9.875" style="264" bestFit="1" customWidth="1"/>
    <col min="26" max="26" width="9.125" style="128" bestFit="1" customWidth="1"/>
    <col min="27" max="28" width="9.125" style="128" customWidth="1"/>
    <col min="30" max="30" width="9.125" style="264" bestFit="1" customWidth="1"/>
    <col min="31" max="31" width="10.125" bestFit="1" customWidth="1"/>
    <col min="32" max="32" width="9.125" style="264" bestFit="1" customWidth="1"/>
    <col min="33" max="33" width="10.75" bestFit="1" customWidth="1"/>
    <col min="34" max="34" width="9.125" style="264" bestFit="1" customWidth="1"/>
    <col min="35" max="35" width="10.625" customWidth="1"/>
  </cols>
  <sheetData>
    <row r="1" spans="1:38" x14ac:dyDescent="0.25">
      <c r="A1" s="265" t="s">
        <v>161</v>
      </c>
      <c r="B1" s="124"/>
      <c r="E1" s="268"/>
      <c r="F1" s="127"/>
    </row>
    <row r="2" spans="1:38" x14ac:dyDescent="0.25">
      <c r="B2" s="125"/>
      <c r="E2" s="268"/>
      <c r="F2" s="127"/>
    </row>
    <row r="3" spans="1:38" x14ac:dyDescent="0.25">
      <c r="A3" s="287" t="s">
        <v>4</v>
      </c>
      <c r="B3" s="288"/>
      <c r="C3" s="293" t="s">
        <v>183</v>
      </c>
      <c r="D3" s="294"/>
      <c r="E3" s="287" t="s">
        <v>13</v>
      </c>
      <c r="F3" s="288"/>
      <c r="G3" s="287" t="s">
        <v>166</v>
      </c>
      <c r="H3" s="288"/>
      <c r="I3" s="287" t="s">
        <v>482</v>
      </c>
      <c r="J3" s="288"/>
      <c r="K3" s="289" t="s">
        <v>257</v>
      </c>
      <c r="L3" s="290"/>
      <c r="M3" s="287" t="s">
        <v>167</v>
      </c>
      <c r="N3" s="288"/>
      <c r="O3" s="287" t="s">
        <v>168</v>
      </c>
      <c r="P3" s="288"/>
      <c r="Q3" s="287" t="s">
        <v>169</v>
      </c>
      <c r="R3" s="288"/>
      <c r="S3" s="287" t="s">
        <v>515</v>
      </c>
      <c r="T3" s="288"/>
      <c r="U3" s="291" t="s">
        <v>260</v>
      </c>
      <c r="V3" s="292"/>
      <c r="W3" s="287" t="s">
        <v>170</v>
      </c>
      <c r="X3" s="288"/>
      <c r="Y3" s="287" t="s">
        <v>171</v>
      </c>
      <c r="Z3" s="288"/>
      <c r="AA3" s="287" t="s">
        <v>186</v>
      </c>
      <c r="AB3" s="288"/>
      <c r="AD3" s="289" t="s">
        <v>258</v>
      </c>
      <c r="AE3" s="290"/>
      <c r="AF3" s="291" t="s">
        <v>259</v>
      </c>
      <c r="AG3" s="292"/>
      <c r="AH3" s="287" t="s">
        <v>484</v>
      </c>
      <c r="AI3" s="288"/>
    </row>
    <row r="4" spans="1:38" x14ac:dyDescent="0.25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578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25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25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25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25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25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25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25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25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25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25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25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25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25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25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25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25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25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25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25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25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25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25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25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25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25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25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25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25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25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25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25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25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25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25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25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25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25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25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25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25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25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25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25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25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25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25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25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25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25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25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25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25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25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25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25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25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25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25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25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25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25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25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25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25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25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25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25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25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25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25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25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25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25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25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25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25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25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25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25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25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25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25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25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25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25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25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25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25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25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25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25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25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25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25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25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25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f>+[1]CESI!D7</f>
        <v>13.125</v>
      </c>
      <c r="AE100" s="133"/>
      <c r="AI100" s="128"/>
    </row>
    <row r="101" spans="1:35" x14ac:dyDescent="0.25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25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13.75</v>
      </c>
      <c r="AE102" s="133"/>
      <c r="AI102" s="128"/>
    </row>
    <row r="103" spans="1:35" x14ac:dyDescent="0.25">
      <c r="A103" s="264">
        <v>36879</v>
      </c>
      <c r="B103" s="128">
        <v>79.75</v>
      </c>
      <c r="C103" s="264">
        <v>36879</v>
      </c>
      <c r="D103" s="133">
        <v>1.5229999999999999</v>
      </c>
      <c r="E103" s="264">
        <v>36879</v>
      </c>
      <c r="F103" s="128">
        <v>22.8125</v>
      </c>
      <c r="G103" s="264">
        <v>36879</v>
      </c>
      <c r="H103" s="128">
        <v>17.625</v>
      </c>
      <c r="I103" s="264">
        <v>36879</v>
      </c>
      <c r="J103" s="128">
        <v>1.6414970453053186</v>
      </c>
      <c r="K103" s="264">
        <v>36879</v>
      </c>
      <c r="L103" s="128">
        <v>1.3846651569071498</v>
      </c>
      <c r="M103" s="264">
        <v>36879</v>
      </c>
      <c r="N103" s="128">
        <v>7.25</v>
      </c>
      <c r="O103" s="264">
        <v>36879</v>
      </c>
      <c r="P103" s="128">
        <v>5.9482707819414173</v>
      </c>
      <c r="Q103" s="264">
        <v>36879</v>
      </c>
      <c r="R103" s="128">
        <v>1.6206359049870502</v>
      </c>
      <c r="S103" s="264">
        <v>36879</v>
      </c>
      <c r="T103" s="128">
        <v>1.6206359049870502</v>
      </c>
      <c r="U103" s="264">
        <v>36879</v>
      </c>
      <c r="V103" s="128">
        <v>1.9041365725541695</v>
      </c>
      <c r="W103" s="264">
        <v>36879</v>
      </c>
      <c r="X103" s="128">
        <v>4.625</v>
      </c>
      <c r="Y103" s="264">
        <v>36879</v>
      </c>
      <c r="Z103" s="128">
        <v>8</v>
      </c>
      <c r="AA103" s="264">
        <v>36879</v>
      </c>
      <c r="AB103" s="128">
        <v>13.688000000000001</v>
      </c>
      <c r="AE103" s="133"/>
      <c r="AI103" s="128"/>
    </row>
    <row r="104" spans="1:35" x14ac:dyDescent="0.25">
      <c r="A104" s="264">
        <v>36880</v>
      </c>
      <c r="B104" s="128">
        <v>79.75</v>
      </c>
      <c r="C104" s="264">
        <v>36880</v>
      </c>
      <c r="D104" s="133">
        <v>1.5229999999999999</v>
      </c>
      <c r="E104" s="264">
        <v>36880</v>
      </c>
      <c r="F104" s="128">
        <v>18.875</v>
      </c>
      <c r="G104" s="264">
        <v>36880</v>
      </c>
      <c r="H104" s="128">
        <v>15.25</v>
      </c>
      <c r="I104" s="264">
        <v>36880</v>
      </c>
      <c r="J104" s="128">
        <v>1.6414970453053186</v>
      </c>
      <c r="K104" s="264">
        <v>36880</v>
      </c>
      <c r="L104" s="128">
        <v>1.3846651569071498</v>
      </c>
      <c r="M104" s="264">
        <v>36880</v>
      </c>
      <c r="N104" s="128">
        <v>7.5</v>
      </c>
      <c r="O104" s="264">
        <v>36880</v>
      </c>
      <c r="P104" s="128">
        <v>5.5794913609718657</v>
      </c>
      <c r="Q104" s="264">
        <v>36880</v>
      </c>
      <c r="R104" s="128">
        <v>1.6691441320188194</v>
      </c>
      <c r="S104" s="264">
        <v>36880</v>
      </c>
      <c r="T104" s="128">
        <v>1.6691441320188194</v>
      </c>
      <c r="U104" s="264">
        <v>36880</v>
      </c>
      <c r="V104" s="128">
        <v>1.8713066316480631</v>
      </c>
      <c r="W104" s="264">
        <v>36880</v>
      </c>
      <c r="X104" s="128">
        <v>4.4375</v>
      </c>
      <c r="Y104" s="264">
        <v>36880</v>
      </c>
      <c r="Z104" s="128">
        <v>8</v>
      </c>
      <c r="AA104" s="264">
        <v>36880</v>
      </c>
      <c r="AB104" s="128">
        <v>14.938000000000001</v>
      </c>
      <c r="AE104" s="133"/>
      <c r="AI104" s="128"/>
    </row>
    <row r="258" ht="14.25" customHeight="1" x14ac:dyDescent="0.25"/>
    <row r="375" spans="1:35" x14ac:dyDescent="0.25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25">
      <c r="A377" s="264">
        <f>+E377</f>
        <v>36880</v>
      </c>
      <c r="C377" s="264">
        <f>+E377</f>
        <v>36880</v>
      </c>
      <c r="E377" s="264">
        <f>+'MRP Raptor'!$U$3</f>
        <v>36880</v>
      </c>
      <c r="F377" s="128">
        <f>INDEX([0]!MPRR, MATCH("Avici EBS Raptor I",'MRP Raptor'!$E$3:$E$140,), MATCH("Per Share",'MRP Raptor'!$E$3:$CM$3,))</f>
        <v>18.875</v>
      </c>
      <c r="G377" s="264">
        <f>+'MRP Raptor'!$U$3</f>
        <v>36880</v>
      </c>
      <c r="H377" s="128">
        <f>INDEX([0]!MPRR, MATCH("Active Power Raptor I",'MRP Raptor'!$E$3:$E$140,), MATCH("Per Share",'MRP Raptor'!$E$3:$CM$3,))</f>
        <v>15.25</v>
      </c>
      <c r="I377" s="264">
        <f>+'MRP Raptor'!$U$3</f>
        <v>36880</v>
      </c>
      <c r="J377" s="128">
        <f>INDEX([0]!MPRR, MATCH("Place Resources Common Raptor I",'MRP Raptor'!$E$3:$E$140,), MATCH("Per Share",'MRP Raptor'!$E$3:$CM$3,))</f>
        <v>1.6414970453053186</v>
      </c>
      <c r="K377" s="264">
        <f>+'MRP Raptor'!$U$3</f>
        <v>36880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36880</v>
      </c>
      <c r="N377" s="128">
        <f>INDEX([0]!MPRR, MATCH("DevX Energy Common Raptor I",'MRP Raptor'!$E$3:$E$140,), MATCH("Per Share",'MRP Raptor'!$E$3:$CM$3,))</f>
        <v>7.5</v>
      </c>
      <c r="O377" s="264">
        <f>+'MRP Raptor'!$U$3</f>
        <v>36880</v>
      </c>
      <c r="P377" s="128">
        <f>INDEX([0]!MPRR, MATCH("Carrizo Warrants Raptor I",'MRP Raptor'!$E$3:$E$140,), MATCH("Per Share",'MRP Raptor'!$E$3:$CM$3,))</f>
        <v>5.5794913609718657</v>
      </c>
      <c r="Q377" s="264">
        <f>+'MRP Raptor'!$U$3</f>
        <v>36880</v>
      </c>
      <c r="R377" s="128">
        <f>INDEX([0]!MPRR, MATCH("3TEC Warrants Raptor I",'MRP Raptor'!$E$3:$E$140,), MATCH("Per Share",'MRP Raptor'!$E$3:$CM$3,))</f>
        <v>1.6691441320188194</v>
      </c>
      <c r="S377" s="264">
        <f>+'MRP Raptor'!$U$3</f>
        <v>36880</v>
      </c>
      <c r="T377" s="128">
        <f>INDEX([0]!MPRR, MATCH("3TEC Warrants EGF Raptor I",'MRP Raptor'!$E$3:$E$140,), MATCH("Per Share",'MRP Raptor'!$E$3:$CM$3,))</f>
        <v>1.6691441320188194</v>
      </c>
      <c r="U377" s="264">
        <f>+'MRP Raptor'!$U$3</f>
        <v>36880</v>
      </c>
      <c r="V377" s="128">
        <f>INDEX([0]!MPRR, MATCH("Bonus Resources Common Raptor I",'MRP Raptor'!$E$3:$E$140,), MATCH("Per Share",'MRP Raptor'!$E$3:$CM$3,))</f>
        <v>1.8713066316480631</v>
      </c>
      <c r="W377" s="264">
        <f>+'MRP Raptor'!$U$3</f>
        <v>36880</v>
      </c>
      <c r="X377" s="128">
        <f>INDEX([0]!MPRR, MATCH("Paradigm Common Raptor I",'MRP Raptor'!$E$3:$E$140,), MATCH("Per Share",'MRP Raptor'!$E$3:$CM$3,))</f>
        <v>4.4375</v>
      </c>
      <c r="Y377" s="264">
        <f>+'MRP Raptor'!$U$3</f>
        <v>36880</v>
      </c>
      <c r="Z377" s="128">
        <f>INDEX([0]!MPRR, MATCH("Quicksilver Common Raptor I",'MRP Raptor'!$E$3:$E$140,), MATCH("Per Share",'MRP Raptor'!$E$3:$CM$3,))</f>
        <v>8</v>
      </c>
      <c r="AA377" s="264">
        <f>+'MRP Raptor'!$U$3</f>
        <v>36880</v>
      </c>
      <c r="AB377" s="128">
        <f>INDEX([0]!MPRR, MATCH("Catalytica Common Raptor I",'MRP Raptor'!$E$3:$E$140,), MATCH("Per Share",'MRP Raptor'!$E$3:$CM$3,))</f>
        <v>12.875</v>
      </c>
      <c r="AE377" s="133"/>
      <c r="AI377" s="128"/>
    </row>
    <row r="378" spans="1:35" x14ac:dyDescent="0.25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25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25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25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25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25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25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25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25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25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25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25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25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25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25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25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25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25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25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25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25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25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25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25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25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25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25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25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25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25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25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25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25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25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25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25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25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25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25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25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25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D3:AE3"/>
    <mergeCell ref="S3:T3"/>
    <mergeCell ref="Y3:Z3"/>
    <mergeCell ref="C3:D3"/>
    <mergeCell ref="Q3:R3"/>
    <mergeCell ref="U3:V3"/>
    <mergeCell ref="AA3:AB3"/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2" workbookViewId="0">
      <selection activeCell="A103" sqref="A103:IV103"/>
    </sheetView>
  </sheetViews>
  <sheetFormatPr defaultRowHeight="15.75" x14ac:dyDescent="0.25"/>
  <cols>
    <col min="1" max="1" width="8.75" style="264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1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1" t="s">
        <v>161</v>
      </c>
      <c r="B1" s="124"/>
      <c r="C1" s="2"/>
      <c r="D1" s="127"/>
    </row>
    <row r="2" spans="1:35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25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Position'!$H$13)/0.6*0.3612</f>
        <v>7305134.8357232939</v>
      </c>
      <c r="AI4" s="145"/>
    </row>
    <row r="5" spans="1:35" x14ac:dyDescent="0.25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Position'!$H$13)/0.6*0.3612</f>
        <v>7404719.3011017488</v>
      </c>
      <c r="AI5" s="145"/>
    </row>
    <row r="6" spans="1:35" x14ac:dyDescent="0.25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Position'!$H$13)/0.6*0.3612</f>
        <v>7523398.6784797823</v>
      </c>
      <c r="AI6" s="145"/>
    </row>
    <row r="7" spans="1:35" x14ac:dyDescent="0.25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Position'!$H$13)/0.6*0.3612</f>
        <v>7458213.0824981257</v>
      </c>
      <c r="AI7" s="145"/>
    </row>
    <row r="8" spans="1:35" x14ac:dyDescent="0.25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Position'!$H$13)/0.6*0.3612</f>
        <v>7578794.9510216443</v>
      </c>
      <c r="AI8" s="145"/>
    </row>
    <row r="9" spans="1:35" x14ac:dyDescent="0.25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Position'!$H$13)/0.6*0.3612</f>
        <v>7549277.3709103456</v>
      </c>
      <c r="AI9" s="145"/>
    </row>
    <row r="10" spans="1:35" x14ac:dyDescent="0.25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Position'!$H$13)/0.6*0.3612</f>
        <v>7558431.5867028479</v>
      </c>
      <c r="AI10" s="145"/>
    </row>
    <row r="11" spans="1:35" x14ac:dyDescent="0.25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Position'!$H$13)/0.6*0.3612</f>
        <v>7589274.5056273108</v>
      </c>
      <c r="AI11" s="145"/>
    </row>
    <row r="12" spans="1:35" x14ac:dyDescent="0.25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Position'!$H$13)/0.6*0.3612</f>
        <v>7624613.174546469</v>
      </c>
      <c r="AI12" s="145"/>
    </row>
    <row r="13" spans="1:35" x14ac:dyDescent="0.25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Position'!$H$13)/0.6*0.3612</f>
        <v>7765227.0797651503</v>
      </c>
      <c r="AI13" s="145"/>
    </row>
    <row r="14" spans="1:35" x14ac:dyDescent="0.25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Position'!$H$13)/0.6*0.3612</f>
        <v>7672091.1006598137</v>
      </c>
      <c r="AI14" s="145"/>
    </row>
    <row r="15" spans="1:35" x14ac:dyDescent="0.25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Position'!$H$13)/0.6*0.3612</f>
        <v>7589777.6129987463</v>
      </c>
      <c r="AI15" s="145"/>
    </row>
    <row r="16" spans="1:35" x14ac:dyDescent="0.25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Position'!$H$13)/0.6*0.3612</f>
        <v>7678466.0108692711</v>
      </c>
      <c r="AI16" s="145"/>
    </row>
    <row r="17" spans="1:35" x14ac:dyDescent="0.25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Position'!$H$13)/0.6*0.3612</f>
        <v>7679632.9722745679</v>
      </c>
      <c r="AI17" s="145"/>
    </row>
    <row r="18" spans="1:35" x14ac:dyDescent="0.25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Position'!$H$13)/0.6*0.3612</f>
        <v>7884064.5074093426</v>
      </c>
      <c r="AI18" s="145"/>
    </row>
    <row r="19" spans="1:35" x14ac:dyDescent="0.25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Position'!$H$13)/0.6*0.3612</f>
        <v>7978494.0437594904</v>
      </c>
    </row>
    <row r="20" spans="1:35" x14ac:dyDescent="0.25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Position'!$H$13)/0.6*0.3612</f>
        <v>7963994.1778202429</v>
      </c>
    </row>
    <row r="21" spans="1:35" x14ac:dyDescent="0.25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Position'!$H$13)/0.6*0.3612</f>
        <v>7939636.0084839938</v>
      </c>
    </row>
    <row r="22" spans="1:35" x14ac:dyDescent="0.25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Position'!$H$13)/0.6*0.3612</f>
        <v>7914166.4943286357</v>
      </c>
    </row>
    <row r="23" spans="1:35" x14ac:dyDescent="0.25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Position'!$H$13)/0.6*0.3612</f>
        <v>8012561.3421022631</v>
      </c>
    </row>
    <row r="24" spans="1:35" x14ac:dyDescent="0.25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Position'!$H$13)/0.6*0.3612</f>
        <v>8039327.0979289468</v>
      </c>
    </row>
    <row r="25" spans="1:35" x14ac:dyDescent="0.25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Position'!$H$13)/0.6*0.3612</f>
        <v>7955869.867276758</v>
      </c>
    </row>
    <row r="26" spans="1:35" x14ac:dyDescent="0.25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Position'!$H$13)/0.6*0.3612</f>
        <v>7918418.8541880371</v>
      </c>
    </row>
    <row r="27" spans="1:35" x14ac:dyDescent="0.25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Position'!$H$13)/0.6*0.3612</f>
        <v>8068205.5580421966</v>
      </c>
    </row>
    <row r="28" spans="1:35" x14ac:dyDescent="0.25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Position'!$H$13)/0.6*0.3612</f>
        <v>8041950.6123933112</v>
      </c>
    </row>
    <row r="29" spans="1:35" x14ac:dyDescent="0.25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Position'!$H$13)/0.6*0.3612</f>
        <v>7999857.4943882991</v>
      </c>
    </row>
    <row r="30" spans="1:35" x14ac:dyDescent="0.25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Position'!$H$13)/0.6*0.3612</f>
        <v>7889106.9468475962</v>
      </c>
    </row>
    <row r="31" spans="1:35" x14ac:dyDescent="0.25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Position'!$H$13)/0.6*0.3612</f>
        <v>7848589.0523968963</v>
      </c>
    </row>
    <row r="32" spans="1:35" x14ac:dyDescent="0.25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Position'!$H$13)/0.6*0.3612</f>
        <v>7928863.5775729269</v>
      </c>
    </row>
    <row r="33" spans="1:34" x14ac:dyDescent="0.25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Position'!$H$13)/0.6*0.3612</f>
        <v>7935286.0461356817</v>
      </c>
    </row>
    <row r="34" spans="1:34" x14ac:dyDescent="0.25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Position'!$H$13)/0.6*0.3612</f>
        <v>7831755.4341768678</v>
      </c>
    </row>
    <row r="35" spans="1:34" x14ac:dyDescent="0.25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4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4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257" ht="14.25" customHeight="1" x14ac:dyDescent="0.25"/>
    <row r="374" spans="1:34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25">
      <c r="A376" s="264">
        <f>+'MRP Raptor'!$U$3</f>
        <v>36880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Position'!O20&gt;'Daily Position'!X20,0,INDEX([0]!MPRR,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Position'!$H$21-'Private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Position'!$H$25-'Private Cash'!K375</f>
        <v>23507915.00000019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Position'!$H$45-'Private Cash'!AE375</f>
        <v>80687584.609999999</v>
      </c>
      <c r="AF376" s="4">
        <f>INDEX([0]!MPRR, MATCH("WB Oil &amp; Gas Raptor I",'MRP Raptor'!$E$3:$E$140,), MATCH("Per Share",'MRP Raptor'!$E$3:$CM$3,))*'Daily Position'!$H$46-'Private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7754384.3164993217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103" workbookViewId="0">
      <selection activeCell="A103" sqref="A103:IV103"/>
    </sheetView>
  </sheetViews>
  <sheetFormatPr defaultRowHeight="15.75" x14ac:dyDescent="0.25"/>
  <cols>
    <col min="1" max="1" width="8.75" style="264" customWidth="1"/>
    <col min="2" max="2" width="11.125" style="128" customWidth="1"/>
    <col min="3" max="3" width="12" customWidth="1"/>
    <col min="4" max="4" width="11.125" style="128" customWidth="1"/>
    <col min="5" max="5" width="11.125" customWidth="1"/>
    <col min="6" max="6" width="12.125" style="128" customWidth="1"/>
    <col min="7" max="7" width="14.5" customWidth="1"/>
    <col min="8" max="8" width="11.125" style="128" customWidth="1"/>
    <col min="9" max="9" width="12.125" customWidth="1"/>
    <col min="10" max="10" width="11.125" style="131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1.12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1.12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1" t="s">
        <v>161</v>
      </c>
      <c r="B1" s="124"/>
      <c r="C1" s="2"/>
      <c r="D1" s="127"/>
    </row>
    <row r="2" spans="1:34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25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25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25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25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25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25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25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25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25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25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25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25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25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25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25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25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4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4">
        <v>36880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257" ht="14.25" customHeight="1" x14ac:dyDescent="0.25"/>
    <row r="374" spans="1:33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25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84413.160000000149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-1.9371509552001953E-7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-15435458.610000001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4">
        <f>+A379</f>
        <v>36880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4" t="s">
        <v>549</v>
      </c>
      <c r="C378" s="275">
        <f>SUM(B377:AG377)</f>
        <v>-3.7252902984619141E-9</v>
      </c>
    </row>
    <row r="379" spans="1:33" x14ac:dyDescent="0.25">
      <c r="A379" s="264">
        <f>+'MRP Raptor'!$U$3</f>
        <v>36880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Position'!$H$21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Position'!$H$25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880788.38999999873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Position'!$H$45</f>
        <v>81695723.129999995</v>
      </c>
      <c r="AF379" s="4">
        <f>INDEX([0]!MPRR, MATCH("WB Oil &amp; Gas Raptor I",'MRP Raptor'!$E$3:$E$140,), MATCH("Per Share",'MRP Raptor'!$E$3:$CM$3,))*'Daily Position'!$H$46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4">
        <f>+A379-1</f>
        <v>36879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1233217.29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880788.38999999873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4">
        <f>+A379</f>
        <v>36880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300">
        <f>+Summary!C5</f>
        <v>36880</v>
      </c>
      <c r="I2" s="300"/>
      <c r="J2" s="97"/>
      <c r="L2" s="300">
        <f>H2</f>
        <v>36880</v>
      </c>
      <c r="M2" s="300"/>
      <c r="N2" s="300"/>
      <c r="O2" s="300"/>
      <c r="P2" s="300"/>
    </row>
    <row r="3" spans="1:18" ht="16.5" thickBot="1" x14ac:dyDescent="0.3">
      <c r="H3" s="301" t="s">
        <v>101</v>
      </c>
      <c r="I3" s="301"/>
      <c r="J3" s="98"/>
      <c r="L3" s="301" t="s">
        <v>101</v>
      </c>
      <c r="M3" s="301"/>
      <c r="N3" s="301"/>
      <c r="O3" s="301"/>
      <c r="P3" s="301"/>
    </row>
    <row r="4" spans="1:18" x14ac:dyDescent="0.25">
      <c r="A4" s="295" t="s">
        <v>32</v>
      </c>
      <c r="B4" s="295"/>
      <c r="C4" s="295"/>
      <c r="D4" s="295"/>
      <c r="E4" s="295"/>
      <c r="F4" s="295"/>
      <c r="H4" s="118" t="s">
        <v>102</v>
      </c>
      <c r="I4" s="119"/>
      <c r="J4" s="13"/>
    </row>
    <row r="5" spans="1:18" ht="16.5" thickBot="1" x14ac:dyDescent="0.3">
      <c r="A5" s="296" t="s">
        <v>33</v>
      </c>
      <c r="B5" s="296"/>
      <c r="D5" s="296" t="s">
        <v>34</v>
      </c>
      <c r="E5" s="296"/>
      <c r="H5" s="120" t="s">
        <v>103</v>
      </c>
      <c r="I5" s="135">
        <f>+VLOOKUP(+Summary!C5,ene,2)</f>
        <v>79.75</v>
      </c>
      <c r="J5" s="13"/>
      <c r="L5" s="295" t="s">
        <v>123</v>
      </c>
      <c r="M5" s="295"/>
      <c r="N5" s="295"/>
      <c r="O5" s="295"/>
      <c r="P5" s="295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36880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2" t="s">
        <v>162</v>
      </c>
      <c r="I7" s="303"/>
      <c r="J7" s="13"/>
      <c r="L7" s="296" t="s">
        <v>33</v>
      </c>
      <c r="M7" s="296"/>
      <c r="O7" s="296" t="s">
        <v>34</v>
      </c>
      <c r="P7" s="296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40389124.483940348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9" t="s">
        <v>105</v>
      </c>
      <c r="I10" s="299"/>
      <c r="J10" s="13"/>
      <c r="L10" s="7" t="s">
        <v>41</v>
      </c>
      <c r="M10" s="7">
        <f>B8+I15</f>
        <v>391993674.87671232</v>
      </c>
      <c r="N10" s="18"/>
      <c r="O10" s="7" t="s">
        <v>121</v>
      </c>
      <c r="P10" s="7">
        <f>IF(I20&gt;0,0,-I20)</f>
        <v>303068128.58353794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36880</v>
      </c>
      <c r="J11" s="13"/>
      <c r="L11" s="7" t="s">
        <v>45</v>
      </c>
      <c r="M11" s="7">
        <f>+Amort!B28</f>
        <v>777777.77777777775</v>
      </c>
      <c r="O11" s="7" t="s">
        <v>559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386360378.14059615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2774235.5950514819</v>
      </c>
      <c r="J13" s="29"/>
      <c r="L13" s="7" t="s">
        <v>560</v>
      </c>
      <c r="M13" s="7">
        <f>IF(I19&gt;0,I19,0)</f>
        <v>9519912.5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2391666.666666667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-232814331.08570361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41993674.87671233</v>
      </c>
      <c r="J15" s="33" t="s">
        <v>59</v>
      </c>
      <c r="L15" s="92" t="s">
        <v>7</v>
      </c>
      <c r="M15" s="12">
        <f>SUM(M8:M14)</f>
        <v>492680489.63843048</v>
      </c>
      <c r="N15" s="20"/>
      <c r="O15" s="92" t="s">
        <v>7</v>
      </c>
      <c r="P15" s="12">
        <f>SUM(P8:P14)</f>
        <v>492680489.63843048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-18460840.140596174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65732884.997834302</v>
      </c>
      <c r="L17" s="238" t="s">
        <v>50</v>
      </c>
      <c r="M17" s="237"/>
      <c r="N17" s="237"/>
      <c r="O17" s="237"/>
      <c r="P17" s="237"/>
      <c r="Q17" s="16"/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492680489.63843048</v>
      </c>
      <c r="Q18" s="107" t="s">
        <v>155</v>
      </c>
    </row>
    <row r="19" spans="1:20" ht="16.5" thickTop="1" x14ac:dyDescent="0.25">
      <c r="H19" s="7" t="s">
        <v>558</v>
      </c>
      <c r="I19" s="7">
        <f>IF(I5&lt;81,(81-I5)*(D14+D15),IF(I5&gt;116,(116-I5)*(+D14+D15),0))</f>
        <v>9519912.5</v>
      </c>
      <c r="J19" s="13"/>
      <c r="L19" s="7" t="s">
        <v>537</v>
      </c>
      <c r="M19" s="93">
        <f>+'Daily Position'!I47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5" thickBot="1" x14ac:dyDescent="0.3">
      <c r="A20" s="297" t="s">
        <v>62</v>
      </c>
      <c r="B20" s="297"/>
      <c r="C20" s="297"/>
      <c r="D20" s="297"/>
      <c r="E20" s="297"/>
      <c r="H20" s="7" t="s">
        <v>119</v>
      </c>
      <c r="I20" s="7">
        <f>+'Daily Position'!P59</f>
        <v>-303068128.58353794</v>
      </c>
      <c r="L20" s="7" t="s">
        <v>154</v>
      </c>
      <c r="M20" s="93">
        <f>+'Daily Position'!I59-M19</f>
        <v>640320139.07000005</v>
      </c>
      <c r="N20" s="93"/>
      <c r="O20" s="93">
        <f>-P10</f>
        <v>-303068128.58353794</v>
      </c>
      <c r="P20" s="27">
        <f>+M20+O20</f>
        <v>337252010.48646212</v>
      </c>
    </row>
    <row r="21" spans="1:20" x14ac:dyDescent="0.25">
      <c r="A21" s="298" t="s">
        <v>52</v>
      </c>
      <c r="B21" s="298"/>
      <c r="E21" s="7">
        <f>B11</f>
        <v>471001000</v>
      </c>
      <c r="F21" s="34" t="s">
        <v>46</v>
      </c>
      <c r="H21" s="7" t="s">
        <v>120</v>
      </c>
      <c r="I21" s="27">
        <f>+'Daily Position'!Q59</f>
        <v>-267573.34567883867</v>
      </c>
      <c r="J21" s="13"/>
      <c r="K21" s="7"/>
      <c r="L21" s="7" t="s">
        <v>153</v>
      </c>
      <c r="P21" s="7">
        <f>+P18+P19+P20</f>
        <v>887612776.12489259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-293815789.4292168</v>
      </c>
      <c r="J22" s="13"/>
      <c r="K22" s="7"/>
      <c r="L22" s="7" t="s">
        <v>54</v>
      </c>
      <c r="P22" s="30">
        <f>E27</f>
        <v>3.0200000000000001E-2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-228082904.43138251</v>
      </c>
      <c r="J23" s="39" t="s">
        <v>66</v>
      </c>
      <c r="L23" s="7" t="s">
        <v>57</v>
      </c>
      <c r="P23" s="7">
        <f>P21*P22</f>
        <v>26805905.838971756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9" t="s">
        <v>106</v>
      </c>
      <c r="I25" s="299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-26805905.838971756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562</v>
      </c>
      <c r="I31" s="16">
        <f>I23</f>
        <v>-228082904.43138251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5" thickBot="1" x14ac:dyDescent="0.3">
      <c r="A32" s="44" t="s">
        <v>149</v>
      </c>
      <c r="B32" s="45"/>
      <c r="H32" s="13" t="s">
        <v>561</v>
      </c>
      <c r="I32" s="16">
        <f>(D14+D15)*(I5-E14)</f>
        <v>70447352.5</v>
      </c>
      <c r="J32" s="39"/>
      <c r="L32" s="7" t="s">
        <v>75</v>
      </c>
      <c r="M32" s="27">
        <f>E10</f>
        <v>1000</v>
      </c>
    </row>
    <row r="33" spans="1:14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25">
      <c r="A34" s="49">
        <f>+Summary!C5</f>
        <v>36880</v>
      </c>
      <c r="B34" s="13" t="s">
        <v>84</v>
      </c>
      <c r="C34"/>
      <c r="D34"/>
      <c r="E34"/>
      <c r="H34" s="13" t="s">
        <v>150</v>
      </c>
      <c r="I34" s="16">
        <f>-I15</f>
        <v>-41993674.87671233</v>
      </c>
      <c r="J34" s="33" t="s">
        <v>59</v>
      </c>
      <c r="L34" s="7" t="s">
        <v>78</v>
      </c>
      <c r="M34" s="7">
        <f>I23</f>
        <v>-228082904.43138251</v>
      </c>
    </row>
    <row r="35" spans="1:14" ht="16.5" thickBot="1" x14ac:dyDescent="0.3">
      <c r="A35" s="50">
        <f>A34-A33</f>
        <v>246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-17706161.808094837</v>
      </c>
      <c r="J36" s="13"/>
      <c r="L36" s="7" t="s">
        <v>80</v>
      </c>
      <c r="M36" s="7">
        <f>SUM(M33:M35)</f>
        <v>-233081904.43138251</v>
      </c>
    </row>
    <row r="37" spans="1:14" ht="16.5" customHeight="1" thickTop="1" x14ac:dyDescent="0.25">
      <c r="A37"/>
      <c r="B37"/>
      <c r="C37"/>
      <c r="D37"/>
      <c r="E37"/>
      <c r="H37" s="7" t="s">
        <v>557</v>
      </c>
      <c r="K37" s="7"/>
      <c r="L37" s="7" t="s">
        <v>157</v>
      </c>
      <c r="M37" s="7">
        <f>P13</f>
        <v>0</v>
      </c>
    </row>
    <row r="38" spans="1:14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-232814331.08570361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-267573.34567889571</v>
      </c>
      <c r="N39" s="43" t="str">
        <f>IF(ROUND(M39,0)=0,"OK","Not OK")</f>
        <v>Not OK</v>
      </c>
    </row>
    <row r="40" spans="1:14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-267573</v>
      </c>
      <c r="N40" s="106" t="str">
        <f>IF(M40=0,"OK","Not OK")</f>
        <v>Not 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4" t="s">
        <v>113</v>
      </c>
      <c r="B1" s="304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4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4" t="s">
        <v>108</v>
      </c>
      <c r="B21" s="304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-228082904.43138251</v>
      </c>
    </row>
    <row r="26" spans="1:4" x14ac:dyDescent="0.25">
      <c r="A26" t="s">
        <v>110</v>
      </c>
      <c r="B26" s="7">
        <f>-Financials!I15</f>
        <v>-41993674.87671233</v>
      </c>
    </row>
    <row r="27" spans="1:4" x14ac:dyDescent="0.25">
      <c r="A27" s="7" t="str">
        <f>+Financials!H20</f>
        <v>Unrealized Gains / (Losses)</v>
      </c>
      <c r="B27" s="7">
        <f>-Financials!I20-Financials!I19-Financials!I21</f>
        <v>293815789.4292168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-777777.77777777775</v>
      </c>
    </row>
    <row r="32" spans="1:4" x14ac:dyDescent="0.25">
      <c r="A32" t="s">
        <v>115</v>
      </c>
      <c r="B32" s="7">
        <f>-Financials!E7+Financials!P12</f>
        <v>-13639621.859403849</v>
      </c>
    </row>
    <row r="33" spans="1:6" x14ac:dyDescent="0.25">
      <c r="A33" t="s">
        <v>550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40389124.483940348</v>
      </c>
      <c r="D38" s="7">
        <f>+B23+B15+B16+B41+B19</f>
        <v>40389124.48394037</v>
      </c>
      <c r="E38" s="7"/>
    </row>
    <row r="39" spans="1:6" ht="16.5" thickTop="1" x14ac:dyDescent="0.25"/>
    <row r="40" spans="1:6" ht="16.5" thickBot="1" x14ac:dyDescent="0.3">
      <c r="A40" s="304" t="s">
        <v>159</v>
      </c>
      <c r="B40" s="304"/>
      <c r="C40" s="304"/>
      <c r="D40" s="304"/>
      <c r="E40" s="304"/>
      <c r="F40" s="304"/>
    </row>
    <row r="41" spans="1:6" x14ac:dyDescent="0.25">
      <c r="A41" s="110" t="s">
        <v>118</v>
      </c>
      <c r="B41" s="111">
        <f>+B47+B53+B59</f>
        <v>2774235.5950514819</v>
      </c>
    </row>
    <row r="42" spans="1:6" x14ac:dyDescent="0.25">
      <c r="A42" s="53"/>
      <c r="E42" s="220" t="s">
        <v>82</v>
      </c>
      <c r="F42" s="221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36880</v>
      </c>
      <c r="E57" s="1">
        <v>36845</v>
      </c>
      <c r="F57" s="48"/>
    </row>
    <row r="58" spans="1:6" x14ac:dyDescent="0.25">
      <c r="A58" t="s">
        <v>81</v>
      </c>
      <c r="B58" s="3">
        <f>+B57-B55</f>
        <v>80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675137.77899999998</v>
      </c>
    </row>
    <row r="61" spans="1:6" ht="16.5" thickBot="1" x14ac:dyDescent="0.3">
      <c r="A61" s="304" t="s">
        <v>197</v>
      </c>
      <c r="B61" s="304"/>
      <c r="C61" s="304"/>
      <c r="D61" s="304"/>
      <c r="E61" s="304"/>
      <c r="F61" s="304"/>
    </row>
    <row r="62" spans="1:6" x14ac:dyDescent="0.25">
      <c r="A62" s="110" t="s">
        <v>194</v>
      </c>
      <c r="B62" s="111">
        <f>+B64+B71+B77</f>
        <v>18460840.140596174</v>
      </c>
    </row>
    <row r="63" spans="1:6" x14ac:dyDescent="0.25">
      <c r="A63" s="53"/>
    </row>
    <row r="64" spans="1:6" x14ac:dyDescent="0.25">
      <c r="A64" t="s">
        <v>198</v>
      </c>
      <c r="B64" s="3">
        <f>+Amort!B61</f>
        <v>18829103.774096176</v>
      </c>
      <c r="E64" s="305"/>
      <c r="F64" s="306"/>
    </row>
    <row r="65" spans="1:6" x14ac:dyDescent="0.25">
      <c r="B65" s="3"/>
      <c r="E65" s="220"/>
      <c r="F65" s="221"/>
    </row>
    <row r="66" spans="1:6" x14ac:dyDescent="0.25">
      <c r="A66" t="s">
        <v>506</v>
      </c>
      <c r="B66" s="7"/>
      <c r="E66" s="47"/>
      <c r="F66" s="48"/>
    </row>
    <row r="67" spans="1:6" x14ac:dyDescent="0.25">
      <c r="A67" t="s">
        <v>199</v>
      </c>
      <c r="B67" s="1">
        <v>36741</v>
      </c>
      <c r="E67" s="47"/>
      <c r="F67" s="48"/>
    </row>
    <row r="68" spans="1:6" x14ac:dyDescent="0.25">
      <c r="A68" t="s">
        <v>200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505</v>
      </c>
      <c r="B71" s="54">
        <f>+B68*0.07/360*B70</f>
        <v>45497.135444444444</v>
      </c>
    </row>
    <row r="73" spans="1:6" x14ac:dyDescent="0.25">
      <c r="A73" t="s">
        <v>199</v>
      </c>
      <c r="B73" s="1">
        <f>+D12</f>
        <v>36741</v>
      </c>
    </row>
    <row r="74" spans="1:6" x14ac:dyDescent="0.25">
      <c r="A74" t="s">
        <v>200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505</v>
      </c>
      <c r="B77" s="54">
        <f>+B74*0.07/360*B76</f>
        <v>-413760.76894444448</v>
      </c>
    </row>
    <row r="79" spans="1:6" ht="16.5" thickBot="1" x14ac:dyDescent="0.3">
      <c r="A79" s="304" t="s">
        <v>510</v>
      </c>
      <c r="B79" s="304"/>
      <c r="C79" s="304"/>
      <c r="D79" s="304"/>
      <c r="E79" s="304"/>
      <c r="F79" s="304"/>
    </row>
    <row r="81" spans="1:4" x14ac:dyDescent="0.25">
      <c r="A81" t="s">
        <v>129</v>
      </c>
      <c r="B81" s="1">
        <f>+Summary!C5</f>
        <v>36880</v>
      </c>
    </row>
    <row r="82" spans="1:4" x14ac:dyDescent="0.25">
      <c r="A82" t="s">
        <v>511</v>
      </c>
      <c r="B82" s="1">
        <v>36634</v>
      </c>
      <c r="D82" s="4">
        <f>IF(B81&gt;(B82-1),30000000,0)</f>
        <v>30000000</v>
      </c>
    </row>
    <row r="83" spans="1:4" x14ac:dyDescent="0.25">
      <c r="A83" t="s">
        <v>512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513</v>
      </c>
      <c r="B84" s="1">
        <f>+Summary!C5</f>
        <v>36880</v>
      </c>
      <c r="D84" s="223">
        <f>IF(B84&gt;B83,+(+B84-B83)/365*0.12*D83,0)</f>
        <v>274191.78082191781</v>
      </c>
    </row>
    <row r="85" spans="1:4" x14ac:dyDescent="0.25">
      <c r="A85" t="s">
        <v>514</v>
      </c>
      <c r="D85" s="5">
        <f>SUM(D82:D84)</f>
        <v>36274191.780821919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191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7">
        <f>+Summary!C5</f>
        <v>36880</v>
      </c>
      <c r="B23" s="307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80</v>
      </c>
      <c r="E27" s="117"/>
    </row>
    <row r="28" spans="1:9" s="104" customFormat="1" x14ac:dyDescent="0.25">
      <c r="A28" s="117" t="s">
        <v>30</v>
      </c>
      <c r="B28" s="104">
        <f>F25*B27/(F26-F24)</f>
        <v>777777.77777777775</v>
      </c>
    </row>
    <row r="29" spans="1:9" s="104" customFormat="1" x14ac:dyDescent="0.25">
      <c r="A29" s="117" t="s">
        <v>31</v>
      </c>
      <c r="B29" s="104">
        <f>+B25+B28</f>
        <v>2391666.666666667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7">
        <f>+Summary!C5</f>
        <v>36880</v>
      </c>
      <c r="B55" s="307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80</v>
      </c>
      <c r="C59" s="104"/>
      <c r="D59" s="104"/>
      <c r="E59" s="117"/>
      <c r="F59" s="104"/>
      <c r="G59" s="104"/>
    </row>
    <row r="60" spans="1:9" x14ac:dyDescent="0.25">
      <c r="A60" s="117" t="s">
        <v>193</v>
      </c>
      <c r="B60" s="104">
        <f>F57*B59/(F58-F56)</f>
        <v>5917992.6629850632</v>
      </c>
      <c r="C60" s="104"/>
      <c r="D60" s="104"/>
      <c r="E60" s="104"/>
      <c r="F60" s="104"/>
      <c r="G60" s="104"/>
    </row>
    <row r="61" spans="1:9" x14ac:dyDescent="0.25">
      <c r="A61" s="117" t="s">
        <v>194</v>
      </c>
      <c r="B61" s="104">
        <f>+B57+B60</f>
        <v>18829103.774096176</v>
      </c>
      <c r="C61" s="104"/>
      <c r="D61" s="104"/>
      <c r="E61" s="104"/>
      <c r="F61" s="104"/>
      <c r="G61" s="104"/>
    </row>
    <row r="63" spans="1:9" x14ac:dyDescent="0.25">
      <c r="A63" s="7" t="s">
        <v>507</v>
      </c>
    </row>
    <row r="64" spans="1:9" x14ac:dyDescent="0.25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1" workbookViewId="0">
      <pane xSplit="5" topLeftCell="CA1" activePane="topRight" state="frozen"/>
      <selection activeCell="E1" sqref="E1"/>
      <selection pane="topRight" activeCell="E1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" hidden="1" customWidth="1"/>
    <col min="45" max="45" width="16.625" hidden="1" customWidth="1"/>
    <col min="46" max="46" width="14.375" hidden="1" customWidth="1"/>
    <col min="47" max="47" width="10.625" hidden="1" customWidth="1"/>
    <col min="48" max="48" width="13.8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09" t="s">
        <v>266</v>
      </c>
      <c r="S1" s="309"/>
      <c r="T1" s="309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08" t="s">
        <v>268</v>
      </c>
      <c r="AE1" s="308"/>
      <c r="AF1" s="308"/>
      <c r="AG1" s="308"/>
      <c r="AH1" s="308"/>
      <c r="AI1" s="308"/>
      <c r="AJ1" s="308"/>
      <c r="AK1" s="308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08" t="s">
        <v>270</v>
      </c>
      <c r="AU1" s="308"/>
      <c r="AV1" s="308"/>
      <c r="AW1" s="308"/>
      <c r="AX1" s="308"/>
      <c r="AY1" s="308"/>
      <c r="AZ1" s="308"/>
      <c r="BA1" s="308"/>
      <c r="BB1" s="151" t="s">
        <v>261</v>
      </c>
      <c r="BC1" s="151" t="s">
        <v>262</v>
      </c>
      <c r="BD1" s="308" t="s">
        <v>271</v>
      </c>
      <c r="BE1" s="308"/>
      <c r="BF1" s="308"/>
      <c r="BG1" s="308"/>
      <c r="BH1" s="308"/>
      <c r="BI1" s="308"/>
      <c r="BJ1" s="308"/>
      <c r="BK1" s="308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10" t="s">
        <v>278</v>
      </c>
      <c r="CH1" s="310"/>
      <c r="CI1" s="310"/>
      <c r="CJ1" s="310"/>
      <c r="CK1" s="148" t="s">
        <v>279</v>
      </c>
      <c r="CL1" s="148" t="s">
        <v>280</v>
      </c>
    </row>
    <row r="2" spans="1:90" x14ac:dyDescent="0.25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11" t="s">
        <v>289</v>
      </c>
      <c r="AE2" s="311"/>
      <c r="AF2" s="311"/>
      <c r="AG2" s="311"/>
      <c r="AH2" s="312" t="s">
        <v>290</v>
      </c>
      <c r="AI2" s="308"/>
      <c r="AJ2" s="308"/>
      <c r="AK2" s="313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11" t="s">
        <v>296</v>
      </c>
      <c r="AU2" s="311"/>
      <c r="AV2" s="311"/>
      <c r="AW2" s="311"/>
      <c r="AX2" s="311" t="s">
        <v>291</v>
      </c>
      <c r="AY2" s="311"/>
      <c r="AZ2" s="311"/>
      <c r="BA2" s="311"/>
      <c r="BB2" s="156" t="s">
        <v>294</v>
      </c>
      <c r="BC2" s="156" t="s">
        <v>294</v>
      </c>
      <c r="BD2" s="311" t="s">
        <v>296</v>
      </c>
      <c r="BE2" s="311"/>
      <c r="BF2" s="311"/>
      <c r="BG2" s="311"/>
      <c r="BH2" s="311" t="s">
        <v>291</v>
      </c>
      <c r="BI2" s="311"/>
      <c r="BJ2" s="311"/>
      <c r="BK2" s="311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11" t="s">
        <v>304</v>
      </c>
      <c r="CH2" s="311"/>
      <c r="CI2" s="311"/>
      <c r="CJ2" s="311"/>
      <c r="CK2" s="155" t="s">
        <v>305</v>
      </c>
      <c r="CL2" s="155" t="s">
        <v>279</v>
      </c>
    </row>
    <row r="3" spans="1:90" x14ac:dyDescent="0.25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36880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25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25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25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25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1.6414970453053186</v>
      </c>
      <c r="P7" s="172">
        <v>1.6414970453053186</v>
      </c>
      <c r="Q7" s="172">
        <v>0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1.6414970453053186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1.6414970453053186</v>
      </c>
      <c r="BC7" s="170">
        <v>1.6414970453053186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1.6414970453053186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25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25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25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18.875</v>
      </c>
      <c r="P10" s="172">
        <v>22.8125</v>
      </c>
      <c r="Q10" s="172">
        <v>-3.9375</v>
      </c>
      <c r="R10" s="173">
        <v>0</v>
      </c>
      <c r="S10" s="173">
        <v>0</v>
      </c>
      <c r="T10" s="173">
        <v>0</v>
      </c>
      <c r="U10" s="249">
        <v>20638415.75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24943780.625</v>
      </c>
      <c r="AD10" s="170">
        <v>-4305364.875</v>
      </c>
      <c r="AE10" s="170">
        <v>0</v>
      </c>
      <c r="AF10" s="170">
        <v>4305364.875</v>
      </c>
      <c r="AG10" s="170">
        <v>0</v>
      </c>
      <c r="AH10" s="250">
        <v>-83373732.5</v>
      </c>
      <c r="AI10" s="170">
        <v>0</v>
      </c>
      <c r="AJ10" s="170">
        <v>157043309.25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20638415.75</v>
      </c>
      <c r="AS10" s="170">
        <v>18.875</v>
      </c>
      <c r="AT10" s="170">
        <v>-2460208.5</v>
      </c>
      <c r="AU10" s="170">
        <v>0</v>
      </c>
      <c r="AV10" s="170">
        <v>2460208.5</v>
      </c>
      <c r="AW10" s="170">
        <v>0</v>
      </c>
      <c r="AX10" s="170">
        <v>-157043309.25</v>
      </c>
      <c r="AY10" s="170">
        <v>0</v>
      </c>
      <c r="AZ10" s="170">
        <v>157043309.25</v>
      </c>
      <c r="BA10" s="170">
        <v>0</v>
      </c>
      <c r="BB10" s="170">
        <v>18.875</v>
      </c>
      <c r="BC10" s="170">
        <v>22.8125</v>
      </c>
      <c r="BD10" s="170">
        <v>1845156.375</v>
      </c>
      <c r="BE10" s="170">
        <v>0</v>
      </c>
      <c r="BF10" s="170">
        <v>-1845156.375</v>
      </c>
      <c r="BG10" s="170">
        <v>0</v>
      </c>
      <c r="BH10" s="170">
        <v>-152737944.375</v>
      </c>
      <c r="BI10" s="170">
        <v>0</v>
      </c>
      <c r="BJ10" s="170">
        <v>152737944.375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152737944.375</v>
      </c>
      <c r="BQ10" s="172">
        <v>3</v>
      </c>
      <c r="BR10" s="171">
        <v>3280278</v>
      </c>
      <c r="BS10" s="177">
        <v>58</v>
      </c>
      <c r="BT10" s="171">
        <v>-4305364.875</v>
      </c>
      <c r="BU10" s="235">
        <v>0</v>
      </c>
      <c r="BV10" s="171">
        <v>74</v>
      </c>
      <c r="BW10" s="178">
        <v>18.875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-79068367.625</v>
      </c>
      <c r="CH10" s="170">
        <v>0</v>
      </c>
      <c r="CI10" s="170">
        <v>152737944.375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25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20638415.75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24943780.625</v>
      </c>
      <c r="AD11" s="184">
        <v>-4305364.875</v>
      </c>
      <c r="AE11" s="184">
        <v>0</v>
      </c>
      <c r="AF11" s="184">
        <v>4305364.875</v>
      </c>
      <c r="AG11" s="184">
        <v>0</v>
      </c>
      <c r="AH11" s="253">
        <v>-83373732.5</v>
      </c>
      <c r="AI11" s="184">
        <v>0</v>
      </c>
      <c r="AJ11" s="184">
        <v>157043309.25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-2460208.5</v>
      </c>
      <c r="AU11" s="184">
        <v>0</v>
      </c>
      <c r="AV11" s="184">
        <v>2460208.5</v>
      </c>
      <c r="AW11" s="184">
        <v>0</v>
      </c>
      <c r="AX11" s="184">
        <v>-157043309.25</v>
      </c>
      <c r="AY11" s="184">
        <v>0</v>
      </c>
      <c r="AZ11" s="184">
        <v>157043309.25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25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20638415.75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24943780.625</v>
      </c>
      <c r="AD12" s="195">
        <v>-4305364.875</v>
      </c>
      <c r="AE12" s="195">
        <v>0</v>
      </c>
      <c r="AF12" s="195">
        <v>4305364.875</v>
      </c>
      <c r="AG12" s="195">
        <v>0</v>
      </c>
      <c r="AH12" s="256">
        <v>-83373732.5</v>
      </c>
      <c r="AI12" s="195">
        <v>0</v>
      </c>
      <c r="AJ12" s="195">
        <v>157043309.25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-2460208.5</v>
      </c>
      <c r="AU12" s="195">
        <v>0</v>
      </c>
      <c r="AV12" s="195">
        <v>2460208.5</v>
      </c>
      <c r="AW12" s="195">
        <v>0</v>
      </c>
      <c r="AX12" s="195">
        <v>-157043309.25</v>
      </c>
      <c r="AY12" s="195">
        <v>0</v>
      </c>
      <c r="AZ12" s="195">
        <v>157043309.25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25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25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563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25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563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25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563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25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563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25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880788.38999999873</v>
      </c>
      <c r="P18" s="171">
        <v>880788.38999999873</v>
      </c>
      <c r="Q18" s="171">
        <v>0</v>
      </c>
      <c r="R18" s="173" t="s">
        <v>367</v>
      </c>
      <c r="S18" s="173">
        <v>0</v>
      </c>
      <c r="T18" s="173">
        <v>0</v>
      </c>
      <c r="U18" s="249">
        <v>880788.38999999873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880788.38999999873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880788.38999999873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-12114787.5</v>
      </c>
      <c r="CA18" s="170">
        <v>-13530967.369999999</v>
      </c>
      <c r="CB18" s="170">
        <v>880788.3900000006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25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25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39485321.710000001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39485321.710000001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-13901500.85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25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39485321.710000001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39485321.710000001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-13901500.85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25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3.4767405672898599E-2</v>
      </c>
      <c r="M22" s="171">
        <v>0</v>
      </c>
      <c r="N22" s="171">
        <v>0.33699590835683935</v>
      </c>
      <c r="O22" s="170">
        <v>1.6691441320188194</v>
      </c>
      <c r="P22" s="171">
        <v>1.6206359049870502</v>
      </c>
      <c r="Q22" s="171">
        <v>4.8508227031769158E-2</v>
      </c>
      <c r="R22" s="173">
        <v>0</v>
      </c>
      <c r="S22" s="173">
        <v>0</v>
      </c>
      <c r="T22" s="173">
        <v>0</v>
      </c>
      <c r="U22" s="249">
        <v>78376.331863075684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76098.57955457193</v>
      </c>
      <c r="AD22" s="170">
        <v>2277.7523085037537</v>
      </c>
      <c r="AE22" s="170">
        <v>0</v>
      </c>
      <c r="AF22" s="170">
        <v>-2277.7523085037537</v>
      </c>
      <c r="AG22" s="170">
        <v>0</v>
      </c>
      <c r="AH22" s="250">
        <v>-6494.0541639645817</v>
      </c>
      <c r="AI22" s="170">
        <v>0</v>
      </c>
      <c r="AJ22" s="170">
        <v>-23030.257863075596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24284.007224052322</v>
      </c>
      <c r="AP22" s="170">
        <v>84870.386027040266</v>
      </c>
      <c r="AQ22" s="175">
        <v>1</v>
      </c>
      <c r="AR22" s="170">
        <v>235381.70060795575</v>
      </c>
      <c r="AS22" s="170">
        <v>14.875</v>
      </c>
      <c r="AT22" s="170">
        <v>2196.6143865371414</v>
      </c>
      <c r="AU22" s="170">
        <v>0</v>
      </c>
      <c r="AV22" s="170">
        <v>-2196.6143865371414</v>
      </c>
      <c r="AW22" s="170">
        <v>0</v>
      </c>
      <c r="AX22" s="170">
        <v>23030.257863075691</v>
      </c>
      <c r="AY22" s="170">
        <v>0</v>
      </c>
      <c r="AZ22" s="170">
        <v>-23030.257863075596</v>
      </c>
      <c r="BA22" s="170">
        <v>9.4587448984384537E-11</v>
      </c>
      <c r="BB22" s="170">
        <v>14.875</v>
      </c>
      <c r="BC22" s="170">
        <v>14.6875</v>
      </c>
      <c r="BD22" s="170">
        <v>-81.137921966612339</v>
      </c>
      <c r="BE22" s="170">
        <v>0</v>
      </c>
      <c r="BF22" s="170">
        <v>81.137921966612339</v>
      </c>
      <c r="BG22" s="170">
        <v>0</v>
      </c>
      <c r="BH22" s="170">
        <v>20752.505554571937</v>
      </c>
      <c r="BI22" s="170">
        <v>0</v>
      </c>
      <c r="BJ22" s="170">
        <v>-20752.505554571842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-20752.505554571842</v>
      </c>
      <c r="BQ22" s="171">
        <v>0</v>
      </c>
      <c r="BR22" s="171">
        <v>0</v>
      </c>
      <c r="BS22" s="177">
        <v>42</v>
      </c>
      <c r="BT22" s="171">
        <v>0</v>
      </c>
      <c r="BU22" s="235">
        <v>15823.979872803748</v>
      </c>
      <c r="BV22" s="171">
        <v>368</v>
      </c>
      <c r="BW22" s="178">
        <v>14.875</v>
      </c>
      <c r="BX22" s="178">
        <v>14.875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-8771.8064724683354</v>
      </c>
      <c r="CH22" s="170">
        <v>0</v>
      </c>
      <c r="CI22" s="170">
        <v>-20752.505554571842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25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78376.331863075684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76098.57955457193</v>
      </c>
      <c r="AD23" s="184">
        <v>2277.7523085037537</v>
      </c>
      <c r="AE23" s="184">
        <v>0</v>
      </c>
      <c r="AF23" s="184">
        <v>-2277.7523085037537</v>
      </c>
      <c r="AG23" s="184">
        <v>0</v>
      </c>
      <c r="AH23" s="253">
        <v>-6494.0541639645817</v>
      </c>
      <c r="AI23" s="184">
        <v>0</v>
      </c>
      <c r="AJ23" s="184">
        <v>-23030.257863075596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2196.6143865371414</v>
      </c>
      <c r="AU23" s="184">
        <v>0</v>
      </c>
      <c r="AV23" s="184">
        <v>-2196.6143865371414</v>
      </c>
      <c r="AW23" s="184">
        <v>0</v>
      </c>
      <c r="AX23" s="184">
        <v>23030.257863075691</v>
      </c>
      <c r="AY23" s="184">
        <v>0</v>
      </c>
      <c r="AZ23" s="184">
        <v>-23030.257863075596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25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78376.331863075684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76098.57955457193</v>
      </c>
      <c r="AD24" s="195">
        <v>2277.7523085037537</v>
      </c>
      <c r="AE24" s="195">
        <v>0</v>
      </c>
      <c r="AF24" s="195">
        <v>-2277.7523085037537</v>
      </c>
      <c r="AG24" s="195">
        <v>0</v>
      </c>
      <c r="AH24" s="256">
        <v>-6494.0541639645817</v>
      </c>
      <c r="AI24" s="195">
        <v>0</v>
      </c>
      <c r="AJ24" s="195">
        <v>-23030.257863075596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2196.6143865371414</v>
      </c>
      <c r="AU24" s="195">
        <v>0</v>
      </c>
      <c r="AV24" s="195">
        <v>-2196.6143865371414</v>
      </c>
      <c r="AW24" s="195">
        <v>0</v>
      </c>
      <c r="AX24" s="195">
        <v>23030.257863075691</v>
      </c>
      <c r="AY24" s="195">
        <v>0</v>
      </c>
      <c r="AZ24" s="195">
        <v>-23030.257863075596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25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564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25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564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25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25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25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13228050</v>
      </c>
      <c r="P29" s="171">
        <v>13228050</v>
      </c>
      <c r="Q29" s="171">
        <v>0</v>
      </c>
      <c r="R29" s="173" t="s">
        <v>391</v>
      </c>
      <c r="S29" s="173">
        <v>0</v>
      </c>
      <c r="T29" s="173">
        <v>0</v>
      </c>
      <c r="U29" s="249">
        <v>13228050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13228050</v>
      </c>
      <c r="AD29" s="170">
        <v>0</v>
      </c>
      <c r="AE29" s="170">
        <v>0</v>
      </c>
      <c r="AF29" s="170">
        <v>0</v>
      </c>
      <c r="AG29" s="170">
        <v>0</v>
      </c>
      <c r="AH29" s="250">
        <v>0</v>
      </c>
      <c r="AI29" s="170">
        <v>0</v>
      </c>
      <c r="AJ29" s="170">
        <v>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13228050</v>
      </c>
      <c r="AQ29" s="175">
        <v>1</v>
      </c>
      <c r="AR29" s="170">
        <v>0</v>
      </c>
      <c r="AS29" s="170">
        <v>13228050</v>
      </c>
      <c r="AT29" s="170">
        <v>0</v>
      </c>
      <c r="AU29" s="170">
        <v>0</v>
      </c>
      <c r="AV29" s="170">
        <v>0</v>
      </c>
      <c r="AW29" s="170">
        <v>0</v>
      </c>
      <c r="AX29" s="170">
        <v>0</v>
      </c>
      <c r="AY29" s="170">
        <v>0</v>
      </c>
      <c r="AZ29" s="170">
        <v>0</v>
      </c>
      <c r="BA29" s="170">
        <v>0</v>
      </c>
      <c r="BB29" s="170" t="s">
        <v>202</v>
      </c>
      <c r="BC29" s="170" t="s">
        <v>202</v>
      </c>
      <c r="BD29" s="170">
        <v>0</v>
      </c>
      <c r="BE29" s="170">
        <v>0</v>
      </c>
      <c r="BF29" s="170">
        <v>0</v>
      </c>
      <c r="BG29" s="170">
        <v>0</v>
      </c>
      <c r="BH29" s="170">
        <v>0</v>
      </c>
      <c r="BI29" s="170">
        <v>0</v>
      </c>
      <c r="BJ29" s="170">
        <v>0</v>
      </c>
      <c r="BK29" s="170">
        <v>0</v>
      </c>
      <c r="BL29" s="170">
        <v>13228050</v>
      </c>
      <c r="BM29" s="170" t="s">
        <v>352</v>
      </c>
      <c r="BN29" s="170">
        <v>0</v>
      </c>
      <c r="BO29" s="170" t="b">
        <v>0</v>
      </c>
      <c r="BP29" s="170">
        <v>0</v>
      </c>
      <c r="BQ29" s="172">
        <v>0</v>
      </c>
      <c r="BR29" s="171">
        <v>0</v>
      </c>
      <c r="BS29" s="177">
        <v>78</v>
      </c>
      <c r="BT29" s="171">
        <v>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0</v>
      </c>
      <c r="CH29" s="170">
        <v>0</v>
      </c>
      <c r="CI29" s="170">
        <v>0</v>
      </c>
      <c r="CJ29" s="170">
        <v>0</v>
      </c>
      <c r="CK29" s="171">
        <v>0</v>
      </c>
      <c r="CL29" s="171">
        <v>0</v>
      </c>
    </row>
    <row r="30" spans="1:90" outlineLevel="3" x14ac:dyDescent="0.25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25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106974638.676478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106974638.676478</v>
      </c>
      <c r="AD31" s="184">
        <v>0</v>
      </c>
      <c r="AE31" s="184">
        <v>0</v>
      </c>
      <c r="AF31" s="184">
        <v>0</v>
      </c>
      <c r="AG31" s="184">
        <v>0</v>
      </c>
      <c r="AH31" s="253">
        <v>0</v>
      </c>
      <c r="AI31" s="184">
        <v>0</v>
      </c>
      <c r="AJ31" s="184">
        <v>0</v>
      </c>
      <c r="AK31" s="254">
        <v>0</v>
      </c>
      <c r="AL31" s="188"/>
      <c r="AM31" s="184">
        <v>106974638.676478</v>
      </c>
      <c r="AN31" s="185"/>
      <c r="AO31" s="188"/>
      <c r="AP31" s="184">
        <v>106974638.676478</v>
      </c>
      <c r="AQ31" s="189"/>
      <c r="AR31" s="184"/>
      <c r="AS31" s="184"/>
      <c r="AT31" s="184">
        <v>0</v>
      </c>
      <c r="AU31" s="184">
        <v>0</v>
      </c>
      <c r="AV31" s="184">
        <v>0</v>
      </c>
      <c r="AW31" s="184">
        <v>0</v>
      </c>
      <c r="AX31" s="184">
        <v>0</v>
      </c>
      <c r="AY31" s="184">
        <v>0</v>
      </c>
      <c r="AZ31" s="184">
        <v>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25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106974638.676478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106974638.676478</v>
      </c>
      <c r="AD32" s="195">
        <v>0</v>
      </c>
      <c r="AE32" s="195">
        <v>0</v>
      </c>
      <c r="AF32" s="195">
        <v>0</v>
      </c>
      <c r="AG32" s="195">
        <v>0</v>
      </c>
      <c r="AH32" s="256">
        <v>0</v>
      </c>
      <c r="AI32" s="195">
        <v>0</v>
      </c>
      <c r="AJ32" s="195">
        <v>0</v>
      </c>
      <c r="AK32" s="257">
        <v>0</v>
      </c>
      <c r="AL32" s="199"/>
      <c r="AM32" s="195">
        <v>106974638.676478</v>
      </c>
      <c r="AN32" s="196"/>
      <c r="AO32" s="199"/>
      <c r="AP32" s="195">
        <v>106974638.676478</v>
      </c>
      <c r="AQ32" s="200"/>
      <c r="AR32" s="195"/>
      <c r="AS32" s="195"/>
      <c r="AT32" s="195">
        <v>0</v>
      </c>
      <c r="AU32" s="195">
        <v>0</v>
      </c>
      <c r="AV32" s="195">
        <v>0</v>
      </c>
      <c r="AW32" s="195">
        <v>0</v>
      </c>
      <c r="AX32" s="195">
        <v>0</v>
      </c>
      <c r="AY32" s="195">
        <v>0</v>
      </c>
      <c r="AZ32" s="195">
        <v>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25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565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15.25</v>
      </c>
      <c r="P33" s="172">
        <v>17.625</v>
      </c>
      <c r="Q33" s="172">
        <v>-2.375</v>
      </c>
      <c r="R33" s="173" t="s">
        <v>398</v>
      </c>
      <c r="S33" s="173">
        <v>0</v>
      </c>
      <c r="T33" s="173">
        <v>0</v>
      </c>
      <c r="U33" s="249">
        <v>19464840.75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22496250.375</v>
      </c>
      <c r="AD33" s="170">
        <v>-3031409.625</v>
      </c>
      <c r="AE33" s="170">
        <v>0</v>
      </c>
      <c r="AF33" s="170">
        <v>3031409.625</v>
      </c>
      <c r="AG33" s="170">
        <v>0</v>
      </c>
      <c r="AH33" s="250">
        <v>-59670905.25</v>
      </c>
      <c r="AI33" s="170">
        <v>0</v>
      </c>
      <c r="AJ33" s="170">
        <v>48183458.5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19464840.75</v>
      </c>
      <c r="AS33" s="170">
        <v>15.25</v>
      </c>
      <c r="AT33" s="170">
        <v>1994348.4375</v>
      </c>
      <c r="AU33" s="170">
        <v>0</v>
      </c>
      <c r="AV33" s="170">
        <v>-1994348.4375</v>
      </c>
      <c r="AW33" s="170">
        <v>0</v>
      </c>
      <c r="AX33" s="170">
        <v>-48183458.5</v>
      </c>
      <c r="AY33" s="170">
        <v>0</v>
      </c>
      <c r="AZ33" s="170">
        <v>48183458.5</v>
      </c>
      <c r="BA33" s="170">
        <v>0</v>
      </c>
      <c r="BB33" s="170">
        <v>15.25</v>
      </c>
      <c r="BC33" s="170">
        <v>17.625</v>
      </c>
      <c r="BD33" s="170">
        <v>5025758.0625</v>
      </c>
      <c r="BE33" s="170">
        <v>0</v>
      </c>
      <c r="BF33" s="170">
        <v>-5025758.0625</v>
      </c>
      <c r="BG33" s="170">
        <v>0</v>
      </c>
      <c r="BH33" s="170">
        <v>-45152048.875</v>
      </c>
      <c r="BI33" s="170">
        <v>0</v>
      </c>
      <c r="BJ33" s="170">
        <v>45152048.875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45152048.875</v>
      </c>
      <c r="BQ33" s="172">
        <v>0</v>
      </c>
      <c r="BR33" s="171">
        <v>0</v>
      </c>
      <c r="BS33" s="177">
        <v>70</v>
      </c>
      <c r="BT33" s="171">
        <v>-3031409.625</v>
      </c>
      <c r="BU33" s="235">
        <v>0</v>
      </c>
      <c r="BV33" s="171">
        <v>43</v>
      </c>
      <c r="BW33" s="178">
        <v>15.25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-56639495.625</v>
      </c>
      <c r="CH33" s="170">
        <v>0</v>
      </c>
      <c r="CI33" s="170">
        <v>45152048.875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25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19464840.75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22496250.375</v>
      </c>
      <c r="AD34" s="184">
        <v>-3031409.625</v>
      </c>
      <c r="AE34" s="184">
        <v>0</v>
      </c>
      <c r="AF34" s="184">
        <v>3031409.625</v>
      </c>
      <c r="AG34" s="184">
        <v>0</v>
      </c>
      <c r="AH34" s="253">
        <v>-59670905.25</v>
      </c>
      <c r="AI34" s="184">
        <v>0</v>
      </c>
      <c r="AJ34" s="184">
        <v>48183458.5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1994348.4375</v>
      </c>
      <c r="AU34" s="184">
        <v>0</v>
      </c>
      <c r="AV34" s="184">
        <v>-1994348.4375</v>
      </c>
      <c r="AW34" s="184">
        <v>0</v>
      </c>
      <c r="AX34" s="184">
        <v>-48183458.5</v>
      </c>
      <c r="AY34" s="184">
        <v>0</v>
      </c>
      <c r="AZ34" s="184">
        <v>48183458.5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25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19464840.75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22496250.375</v>
      </c>
      <c r="AD35" s="195">
        <v>-3031409.625</v>
      </c>
      <c r="AE35" s="195">
        <v>0</v>
      </c>
      <c r="AF35" s="195">
        <v>3031409.625</v>
      </c>
      <c r="AG35" s="195">
        <v>0</v>
      </c>
      <c r="AH35" s="256">
        <v>-59670905.25</v>
      </c>
      <c r="AI35" s="195">
        <v>0</v>
      </c>
      <c r="AJ35" s="195">
        <v>48183458.5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1994348.4375</v>
      </c>
      <c r="AU35" s="195">
        <v>0</v>
      </c>
      <c r="AV35" s="195">
        <v>-1994348.4375</v>
      </c>
      <c r="AW35" s="195">
        <v>0</v>
      </c>
      <c r="AX35" s="195">
        <v>-48183458.5</v>
      </c>
      <c r="AY35" s="195">
        <v>0</v>
      </c>
      <c r="AZ35" s="195">
        <v>48183458.5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25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25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1.6414970453053186</v>
      </c>
      <c r="P37" s="172">
        <v>1.6414970453053186</v>
      </c>
      <c r="Q37" s="172">
        <v>0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1.6414970453053186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1.6414970453053186</v>
      </c>
      <c r="BC37" s="170">
        <v>1.6414970453053186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1.6414970453053186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25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25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25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25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7.5</v>
      </c>
      <c r="P41" s="172">
        <v>7.25</v>
      </c>
      <c r="Q41" s="172">
        <v>0.25</v>
      </c>
      <c r="R41" s="173">
        <v>0</v>
      </c>
      <c r="S41" s="173">
        <v>0</v>
      </c>
      <c r="T41" s="173">
        <v>0</v>
      </c>
      <c r="U41" s="249">
        <v>45757.719000000034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44232.461700000029</v>
      </c>
      <c r="AD41" s="170">
        <v>1525.2573000000048</v>
      </c>
      <c r="AE41" s="170">
        <v>0</v>
      </c>
      <c r="AF41" s="170">
        <v>-1525.2573000000048</v>
      </c>
      <c r="AG41" s="170">
        <v>0</v>
      </c>
      <c r="AH41" s="250">
        <v>339983.16256800009</v>
      </c>
      <c r="AI41" s="170">
        <v>0</v>
      </c>
      <c r="AJ41" s="170">
        <v>-185308.71899999998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45757.719000000034</v>
      </c>
      <c r="AS41" s="170">
        <v>7.5</v>
      </c>
      <c r="AT41" s="170">
        <v>18586.020075</v>
      </c>
      <c r="AU41" s="170">
        <v>0</v>
      </c>
      <c r="AV41" s="170">
        <v>-18586.020075</v>
      </c>
      <c r="AW41" s="170">
        <v>0</v>
      </c>
      <c r="AX41" s="170">
        <v>185308.7190000001</v>
      </c>
      <c r="AY41" s="170">
        <v>0</v>
      </c>
      <c r="AZ41" s="170">
        <v>-185308.71899999998</v>
      </c>
      <c r="BA41" s="170">
        <v>0</v>
      </c>
      <c r="BB41" s="170">
        <v>7.5</v>
      </c>
      <c r="BC41" s="170">
        <v>7.25</v>
      </c>
      <c r="BD41" s="170">
        <v>17060.762774999996</v>
      </c>
      <c r="BE41" s="170">
        <v>0</v>
      </c>
      <c r="BF41" s="170">
        <v>-17060.762774999996</v>
      </c>
      <c r="BG41" s="170">
        <v>0</v>
      </c>
      <c r="BH41" s="170">
        <v>183783.4617000001</v>
      </c>
      <c r="BI41" s="170">
        <v>0</v>
      </c>
      <c r="BJ41" s="170">
        <v>-183783.46169999999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-183783.46169999999</v>
      </c>
      <c r="BQ41" s="171">
        <v>0</v>
      </c>
      <c r="BR41" s="171">
        <v>0</v>
      </c>
      <c r="BS41" s="177">
        <v>41</v>
      </c>
      <c r="BT41" s="171">
        <v>1525.2573000000048</v>
      </c>
      <c r="BU41" s="235">
        <v>6101.0292000000045</v>
      </c>
      <c r="BV41" s="171">
        <v>355</v>
      </c>
      <c r="BW41" s="178">
        <v>7.5</v>
      </c>
      <c r="BX41" s="178">
        <v>0</v>
      </c>
      <c r="BY41" s="170">
        <v>0</v>
      </c>
      <c r="BZ41" s="170">
        <v>-537285</v>
      </c>
      <c r="CA41" s="170">
        <v>-537285</v>
      </c>
      <c r="CB41" s="170">
        <v>-139551</v>
      </c>
      <c r="CC41" s="170">
        <v>0</v>
      </c>
      <c r="CD41" s="170">
        <v>0</v>
      </c>
      <c r="CE41" s="170">
        <v>0</v>
      </c>
      <c r="CF41" s="170">
        <v>0</v>
      </c>
      <c r="CG41" s="170">
        <v>338457.90526800009</v>
      </c>
      <c r="CH41" s="170">
        <v>0</v>
      </c>
      <c r="CI41" s="170">
        <v>-183783.46169999999</v>
      </c>
      <c r="CJ41" s="170">
        <v>154674.44356800013</v>
      </c>
      <c r="CK41" s="171">
        <v>0</v>
      </c>
      <c r="CL41" s="171">
        <v>0</v>
      </c>
    </row>
    <row r="42" spans="1:90" outlineLevel="3" x14ac:dyDescent="0.25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8</v>
      </c>
      <c r="P42" s="172">
        <v>8</v>
      </c>
      <c r="Q42" s="172">
        <v>0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8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8</v>
      </c>
      <c r="BC42" s="170">
        <v>8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8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25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45757.719000000034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44232.461700000029</v>
      </c>
      <c r="AD43" s="184">
        <v>1525.2573000000048</v>
      </c>
      <c r="AE43" s="184">
        <v>0</v>
      </c>
      <c r="AF43" s="184">
        <v>-1525.2573000000048</v>
      </c>
      <c r="AG43" s="184">
        <v>0</v>
      </c>
      <c r="AH43" s="253">
        <v>-1127004.5407319996</v>
      </c>
      <c r="AI43" s="184">
        <v>0</v>
      </c>
      <c r="AJ43" s="184">
        <v>252850.69580000028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-691910.61135000025</v>
      </c>
      <c r="AU43" s="184">
        <v>0</v>
      </c>
      <c r="AV43" s="184">
        <v>691910.61135000025</v>
      </c>
      <c r="AW43" s="184">
        <v>0</v>
      </c>
      <c r="AX43" s="184">
        <v>-252850.69579999981</v>
      </c>
      <c r="AY43" s="184">
        <v>0</v>
      </c>
      <c r="AZ43" s="184">
        <v>252850.69580000028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-3790801.5852000001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25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25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25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3249839.8895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3248314.6321999999</v>
      </c>
      <c r="AD46" s="195">
        <v>1525.2573000000048</v>
      </c>
      <c r="AE46" s="195">
        <v>0</v>
      </c>
      <c r="AF46" s="195">
        <v>-1525.2573000000048</v>
      </c>
      <c r="AG46" s="195">
        <v>0</v>
      </c>
      <c r="AH46" s="256">
        <v>-939372.32434120425</v>
      </c>
      <c r="AI46" s="195">
        <v>0</v>
      </c>
      <c r="AJ46" s="195">
        <v>140450.38595223031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-691910.61135000025</v>
      </c>
      <c r="AU46" s="195">
        <v>0</v>
      </c>
      <c r="AV46" s="195">
        <v>691910.61135000025</v>
      </c>
      <c r="AW46" s="195">
        <v>0</v>
      </c>
      <c r="AX46" s="195">
        <v>-140450.38595222944</v>
      </c>
      <c r="AY46" s="195">
        <v>0</v>
      </c>
      <c r="AZ46" s="195">
        <v>140450.38595223031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-4497307.4146999996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25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2220747.16</v>
      </c>
      <c r="P47" s="171">
        <v>2220747.16</v>
      </c>
      <c r="Q47" s="171">
        <v>0</v>
      </c>
      <c r="R47" s="173" t="s">
        <v>424</v>
      </c>
      <c r="S47" s="173">
        <v>0</v>
      </c>
      <c r="T47" s="173">
        <v>0</v>
      </c>
      <c r="U47" s="249">
        <v>2220747.16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2220747.16</v>
      </c>
      <c r="AD47" s="170">
        <v>0</v>
      </c>
      <c r="AE47" s="170">
        <v>0</v>
      </c>
      <c r="AF47" s="170">
        <v>0</v>
      </c>
      <c r="AG47" s="170">
        <v>0</v>
      </c>
      <c r="AH47" s="250">
        <v>0</v>
      </c>
      <c r="AI47" s="170">
        <v>0</v>
      </c>
      <c r="AJ47" s="170">
        <v>0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2136334</v>
      </c>
      <c r="AQ47" s="175">
        <v>1</v>
      </c>
      <c r="AR47" s="170">
        <v>0</v>
      </c>
      <c r="AS47" s="170">
        <v>2220747.16</v>
      </c>
      <c r="AT47" s="170">
        <v>0</v>
      </c>
      <c r="AU47" s="170">
        <v>0</v>
      </c>
      <c r="AV47" s="170">
        <v>0</v>
      </c>
      <c r="AW47" s="170">
        <v>0</v>
      </c>
      <c r="AX47" s="170">
        <v>0</v>
      </c>
      <c r="AY47" s="170">
        <v>0</v>
      </c>
      <c r="AZ47" s="170">
        <v>0</v>
      </c>
      <c r="BA47" s="170">
        <v>0</v>
      </c>
      <c r="BB47" s="170" t="s">
        <v>202</v>
      </c>
      <c r="BC47" s="170" t="s">
        <v>202</v>
      </c>
      <c r="BD47" s="170">
        <v>0</v>
      </c>
      <c r="BE47" s="170">
        <v>0</v>
      </c>
      <c r="BF47" s="170">
        <v>0</v>
      </c>
      <c r="BG47" s="170">
        <v>0</v>
      </c>
      <c r="BH47" s="170">
        <v>0</v>
      </c>
      <c r="BI47" s="170">
        <v>0</v>
      </c>
      <c r="BJ47" s="170">
        <v>0</v>
      </c>
      <c r="BK47" s="170">
        <v>0</v>
      </c>
      <c r="BL47" s="170">
        <v>2136334</v>
      </c>
      <c r="BM47" s="170" t="s">
        <v>345</v>
      </c>
      <c r="BN47" s="170">
        <v>0</v>
      </c>
      <c r="BO47" s="170" t="b">
        <v>0</v>
      </c>
      <c r="BP47" s="170">
        <v>0</v>
      </c>
      <c r="BQ47" s="172">
        <v>0</v>
      </c>
      <c r="BR47" s="171">
        <v>0</v>
      </c>
      <c r="BS47" s="177">
        <v>72</v>
      </c>
      <c r="BT47" s="171">
        <v>0</v>
      </c>
      <c r="BU47" s="235">
        <v>0</v>
      </c>
      <c r="BV47" s="171">
        <v>320</v>
      </c>
      <c r="BW47" s="178">
        <v>0</v>
      </c>
      <c r="BX47" s="178">
        <v>0</v>
      </c>
      <c r="BY47" s="170">
        <v>0</v>
      </c>
      <c r="BZ47" s="170">
        <v>0</v>
      </c>
      <c r="CA47" s="170">
        <v>84413.16</v>
      </c>
      <c r="CB47" s="170">
        <v>2220747.16</v>
      </c>
      <c r="CC47" s="170">
        <v>0</v>
      </c>
      <c r="CD47" s="170">
        <v>0</v>
      </c>
      <c r="CE47" s="170">
        <v>0</v>
      </c>
      <c r="CF47" s="170">
        <v>0</v>
      </c>
      <c r="CG47" s="170">
        <v>0</v>
      </c>
      <c r="CH47" s="170">
        <v>0</v>
      </c>
      <c r="CI47" s="170">
        <v>0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25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2220747.16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2220747.16</v>
      </c>
      <c r="AD48" s="184">
        <v>0</v>
      </c>
      <c r="AE48" s="184">
        <v>0</v>
      </c>
      <c r="AF48" s="184">
        <v>0</v>
      </c>
      <c r="AG48" s="184">
        <v>0</v>
      </c>
      <c r="AH48" s="253">
        <v>0</v>
      </c>
      <c r="AI48" s="184">
        <v>0</v>
      </c>
      <c r="AJ48" s="184">
        <v>0</v>
      </c>
      <c r="AK48" s="254">
        <v>0</v>
      </c>
      <c r="AL48" s="188"/>
      <c r="AM48" s="184">
        <v>2136334</v>
      </c>
      <c r="AN48" s="185"/>
      <c r="AO48" s="188"/>
      <c r="AP48" s="184">
        <v>2136334</v>
      </c>
      <c r="AQ48" s="189"/>
      <c r="AR48" s="184"/>
      <c r="AS48" s="184"/>
      <c r="AT48" s="184">
        <v>0</v>
      </c>
      <c r="AU48" s="184">
        <v>0</v>
      </c>
      <c r="AV48" s="184">
        <v>0</v>
      </c>
      <c r="AW48" s="184">
        <v>0</v>
      </c>
      <c r="AX48" s="184">
        <v>0</v>
      </c>
      <c r="AY48" s="184">
        <v>0</v>
      </c>
      <c r="AZ48" s="184">
        <v>0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84413.16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25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25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25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25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3.75</v>
      </c>
      <c r="P52" s="172">
        <v>3.75</v>
      </c>
      <c r="Q52" s="172">
        <v>0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3.75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3.75</v>
      </c>
      <c r="BC52" s="170">
        <v>3.75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3.75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25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1.375</v>
      </c>
      <c r="P53" s="172">
        <v>1.375</v>
      </c>
      <c r="Q53" s="172">
        <v>0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1.375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1.375</v>
      </c>
      <c r="BC53" s="170">
        <v>1.375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1.375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25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7.5</v>
      </c>
      <c r="P54" s="172">
        <v>7.25</v>
      </c>
      <c r="Q54" s="172">
        <v>0.25</v>
      </c>
      <c r="R54" s="173" t="s">
        <v>431</v>
      </c>
      <c r="S54" s="173">
        <v>0</v>
      </c>
      <c r="T54" s="173">
        <v>0</v>
      </c>
      <c r="U54" s="249">
        <v>76009.5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73475.850000000006</v>
      </c>
      <c r="AD54" s="170">
        <v>2533.6500000000378</v>
      </c>
      <c r="AE54" s="170">
        <v>0</v>
      </c>
      <c r="AF54" s="170">
        <v>-2533.6500000000378</v>
      </c>
      <c r="AG54" s="170">
        <v>0</v>
      </c>
      <c r="AH54" s="250">
        <v>564756.08400000131</v>
      </c>
      <c r="AI54" s="170">
        <v>0</v>
      </c>
      <c r="AJ54" s="170">
        <v>-307821.65999999997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76009.5</v>
      </c>
      <c r="AS54" s="170">
        <v>7.5</v>
      </c>
      <c r="AT54" s="170">
        <v>30873.787500000166</v>
      </c>
      <c r="AU54" s="170">
        <v>0</v>
      </c>
      <c r="AV54" s="170">
        <v>-30873.787500000166</v>
      </c>
      <c r="AW54" s="170">
        <v>0</v>
      </c>
      <c r="AX54" s="170">
        <v>307821.65999999997</v>
      </c>
      <c r="AY54" s="170">
        <v>0</v>
      </c>
      <c r="AZ54" s="170">
        <v>-307821.65999999997</v>
      </c>
      <c r="BA54" s="170">
        <v>0</v>
      </c>
      <c r="BB54" s="170">
        <v>7.5</v>
      </c>
      <c r="BC54" s="170">
        <v>7.25</v>
      </c>
      <c r="BD54" s="170">
        <v>28340.137500000128</v>
      </c>
      <c r="BE54" s="170">
        <v>0</v>
      </c>
      <c r="BF54" s="170">
        <v>-28340.137500000128</v>
      </c>
      <c r="BG54" s="170">
        <v>0</v>
      </c>
      <c r="BH54" s="170">
        <v>305288.01</v>
      </c>
      <c r="BI54" s="170">
        <v>0</v>
      </c>
      <c r="BJ54" s="170">
        <v>-305288.01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-305288.01</v>
      </c>
      <c r="BQ54" s="172">
        <v>1.1200000000000001</v>
      </c>
      <c r="BR54" s="171">
        <v>11350.752000000008</v>
      </c>
      <c r="BS54" s="177">
        <v>70</v>
      </c>
      <c r="BT54" s="171">
        <v>2533.6500000000378</v>
      </c>
      <c r="BU54" s="235">
        <v>10134.6</v>
      </c>
      <c r="BV54" s="171">
        <v>14</v>
      </c>
      <c r="BW54" s="178">
        <v>7.5</v>
      </c>
      <c r="BX54" s="178">
        <v>0</v>
      </c>
      <c r="BY54" s="170">
        <v>0</v>
      </c>
      <c r="BZ54" s="170">
        <v>-892500</v>
      </c>
      <c r="CA54" s="170">
        <v>-892500</v>
      </c>
      <c r="CB54" s="170">
        <v>-231812.16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562222.43400000129</v>
      </c>
      <c r="CH54" s="170">
        <v>0</v>
      </c>
      <c r="CI54" s="170">
        <v>-305288.01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25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76009.5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73475.850000000006</v>
      </c>
      <c r="AD55" s="184">
        <v>2533.6500000000378</v>
      </c>
      <c r="AE55" s="184">
        <v>0</v>
      </c>
      <c r="AF55" s="184">
        <v>-2533.6500000000378</v>
      </c>
      <c r="AG55" s="184">
        <v>0</v>
      </c>
      <c r="AH55" s="253">
        <v>564756.08400000131</v>
      </c>
      <c r="AI55" s="184">
        <v>0</v>
      </c>
      <c r="AJ55" s="184">
        <v>-307821.65999999997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30873.787500000166</v>
      </c>
      <c r="AU55" s="184">
        <v>0</v>
      </c>
      <c r="AV55" s="184">
        <v>-30873.787500000166</v>
      </c>
      <c r="AW55" s="184">
        <v>0</v>
      </c>
      <c r="AX55" s="184">
        <v>307821.65999999997</v>
      </c>
      <c r="AY55" s="184">
        <v>0</v>
      </c>
      <c r="AZ55" s="184">
        <v>-307821.65999999997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-892500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25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25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1233217.29</v>
      </c>
      <c r="Q57" s="171">
        <v>0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1233217.29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0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25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25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25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25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9255027.2899999991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25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25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25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1.5717985410644904E-2</v>
      </c>
      <c r="M64" s="171">
        <v>0</v>
      </c>
      <c r="N64" s="171">
        <v>0.94680665582208146</v>
      </c>
      <c r="O64" s="170">
        <v>5.5794913609718657</v>
      </c>
      <c r="P64" s="171">
        <v>5.9482707819414173</v>
      </c>
      <c r="Q64" s="171">
        <v>-0.36877942096955163</v>
      </c>
      <c r="R64" s="173" t="s">
        <v>445</v>
      </c>
      <c r="S64" s="173">
        <v>0</v>
      </c>
      <c r="T64" s="173">
        <v>0</v>
      </c>
      <c r="U64" s="249">
        <v>871795.52515185403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929417.3096783465</v>
      </c>
      <c r="AD64" s="170">
        <v>-57621.784526492469</v>
      </c>
      <c r="AE64" s="170">
        <v>0</v>
      </c>
      <c r="AF64" s="170">
        <v>57621.784526492469</v>
      </c>
      <c r="AG64" s="170">
        <v>0</v>
      </c>
      <c r="AH64" s="250">
        <v>-840072.86303229362</v>
      </c>
      <c r="AI64" s="170">
        <v>0</v>
      </c>
      <c r="AJ64" s="170">
        <v>-216263.95860637422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21182.441276064423</v>
      </c>
      <c r="AP64" s="170">
        <v>1711868.3881841477</v>
      </c>
      <c r="AQ64" s="175">
        <v>1</v>
      </c>
      <c r="AR64" s="170">
        <v>1275969.907260227</v>
      </c>
      <c r="AS64" s="170">
        <v>8.625</v>
      </c>
      <c r="AT64" s="170">
        <v>84194.639628963196</v>
      </c>
      <c r="AU64" s="170">
        <v>0</v>
      </c>
      <c r="AV64" s="170">
        <v>-84194.639628963196</v>
      </c>
      <c r="AW64" s="170">
        <v>0</v>
      </c>
      <c r="AX64" s="170">
        <v>216263.95860637387</v>
      </c>
      <c r="AY64" s="170">
        <v>0</v>
      </c>
      <c r="AZ64" s="170">
        <v>-216263.95860637422</v>
      </c>
      <c r="BA64" s="170">
        <v>0</v>
      </c>
      <c r="BB64" s="170">
        <v>8.625</v>
      </c>
      <c r="BC64" s="170">
        <v>9</v>
      </c>
      <c r="BD64" s="170">
        <v>141816.42415545566</v>
      </c>
      <c r="BE64" s="170">
        <v>0</v>
      </c>
      <c r="BF64" s="170">
        <v>-141816.42415545566</v>
      </c>
      <c r="BG64" s="170">
        <v>0</v>
      </c>
      <c r="BH64" s="170">
        <v>273885.74313286634</v>
      </c>
      <c r="BI64" s="170">
        <v>0</v>
      </c>
      <c r="BJ64" s="170">
        <v>-273885.74313286669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-273885.74313286669</v>
      </c>
      <c r="BQ64" s="171">
        <v>0</v>
      </c>
      <c r="BR64" s="171">
        <v>0</v>
      </c>
      <c r="BS64" s="177">
        <v>74</v>
      </c>
      <c r="BT64" s="171">
        <v>0</v>
      </c>
      <c r="BU64" s="235">
        <v>147938.53997220023</v>
      </c>
      <c r="BV64" s="171">
        <v>142</v>
      </c>
      <c r="BW64" s="178">
        <v>8.625</v>
      </c>
      <c r="BX64" s="178">
        <v>8.625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-782451.07850580115</v>
      </c>
      <c r="CH64" s="170">
        <v>0</v>
      </c>
      <c r="CI64" s="170">
        <v>-273885.74313286669</v>
      </c>
      <c r="CJ64" s="170">
        <v>-1056336.821638668</v>
      </c>
      <c r="CK64" s="171">
        <v>0</v>
      </c>
      <c r="CL64" s="171">
        <v>0</v>
      </c>
    </row>
    <row r="65" spans="1:90" outlineLevel="3" x14ac:dyDescent="0.25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3.4761468084569876E-2</v>
      </c>
      <c r="M65" s="171">
        <v>0.5</v>
      </c>
      <c r="N65" s="171">
        <v>0.33620518526089044</v>
      </c>
      <c r="O65" s="170">
        <v>1.6691441320188194</v>
      </c>
      <c r="P65" s="171">
        <v>1.6206359049870502</v>
      </c>
      <c r="Q65" s="171">
        <v>4.8508227031769158E-2</v>
      </c>
      <c r="R65" s="173" t="s">
        <v>446</v>
      </c>
      <c r="S65" s="173">
        <v>0</v>
      </c>
      <c r="T65" s="173">
        <v>0</v>
      </c>
      <c r="U65" s="249">
        <v>130193.24229746791</v>
      </c>
      <c r="V65" s="170" t="s">
        <v>344</v>
      </c>
      <c r="W65" s="170">
        <v>195041.03309947407</v>
      </c>
      <c r="X65" s="170">
        <v>0</v>
      </c>
      <c r="Y65" s="170">
        <v>195041.03309947407</v>
      </c>
      <c r="Z65" s="170">
        <v>0</v>
      </c>
      <c r="AA65" s="170">
        <v>0</v>
      </c>
      <c r="AB65" s="170">
        <v>0</v>
      </c>
      <c r="AC65" s="249">
        <v>126409.60058898992</v>
      </c>
      <c r="AD65" s="170">
        <v>3783.6417084779823</v>
      </c>
      <c r="AE65" s="170">
        <v>0</v>
      </c>
      <c r="AF65" s="170">
        <v>-3783.6417084779823</v>
      </c>
      <c r="AG65" s="170">
        <v>0</v>
      </c>
      <c r="AH65" s="250">
        <v>-10787.465388645491</v>
      </c>
      <c r="AI65" s="170">
        <v>0</v>
      </c>
      <c r="AJ65" s="170">
        <v>-38256.184096635836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40331.993345122195</v>
      </c>
      <c r="AP65" s="170">
        <v>140980.7076861134</v>
      </c>
      <c r="AQ65" s="175">
        <v>1</v>
      </c>
      <c r="AR65" s="170">
        <v>390082.06619894813</v>
      </c>
      <c r="AS65" s="170">
        <v>14.875</v>
      </c>
      <c r="AT65" s="170">
        <v>3648.8611072045605</v>
      </c>
      <c r="AU65" s="170">
        <v>0</v>
      </c>
      <c r="AV65" s="170">
        <v>-3648.8611072045605</v>
      </c>
      <c r="AW65" s="170">
        <v>0</v>
      </c>
      <c r="AX65" s="170">
        <v>38256.1840966358</v>
      </c>
      <c r="AY65" s="170">
        <v>0</v>
      </c>
      <c r="AZ65" s="170">
        <v>-38256.184096635836</v>
      </c>
      <c r="BA65" s="170">
        <v>0</v>
      </c>
      <c r="BB65" s="170">
        <v>14.875</v>
      </c>
      <c r="BC65" s="170">
        <v>14.6875</v>
      </c>
      <c r="BD65" s="170">
        <v>-134.78060127342178</v>
      </c>
      <c r="BE65" s="170">
        <v>0</v>
      </c>
      <c r="BF65" s="170">
        <v>134.78060127342178</v>
      </c>
      <c r="BG65" s="170">
        <v>0</v>
      </c>
      <c r="BH65" s="170">
        <v>34472.542388157817</v>
      </c>
      <c r="BI65" s="170">
        <v>0</v>
      </c>
      <c r="BJ65" s="170">
        <v>-34472.542388157854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-34472.542388157854</v>
      </c>
      <c r="BQ65" s="171">
        <v>0</v>
      </c>
      <c r="BR65" s="171">
        <v>0</v>
      </c>
      <c r="BS65" s="177">
        <v>74</v>
      </c>
      <c r="BT65" s="171">
        <v>0</v>
      </c>
      <c r="BU65" s="235">
        <v>26224.004450349454</v>
      </c>
      <c r="BV65" s="171">
        <v>146</v>
      </c>
      <c r="BW65" s="178">
        <v>14.875</v>
      </c>
      <c r="BX65" s="178">
        <v>14.875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-14571.107097123473</v>
      </c>
      <c r="CH65" s="170">
        <v>0</v>
      </c>
      <c r="CI65" s="170">
        <v>-34472.542388157854</v>
      </c>
      <c r="CJ65" s="170">
        <v>-49043.649485281327</v>
      </c>
      <c r="CK65" s="171">
        <v>0.5</v>
      </c>
      <c r="CL65" s="171">
        <v>0</v>
      </c>
    </row>
    <row r="66" spans="1:90" outlineLevel="3" x14ac:dyDescent="0.25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3.75</v>
      </c>
      <c r="BC66" s="170">
        <v>3.75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3.75</v>
      </c>
      <c r="BX66" s="178">
        <v>3.75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25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1001988.7674493219</v>
      </c>
      <c r="V67" s="184"/>
      <c r="W67" s="184">
        <v>684384.93744649808</v>
      </c>
      <c r="X67" s="184">
        <v>0</v>
      </c>
      <c r="Y67" s="184">
        <v>684384.93744649808</v>
      </c>
      <c r="Z67" s="184">
        <v>0</v>
      </c>
      <c r="AA67" s="184">
        <v>0</v>
      </c>
      <c r="AB67" s="184">
        <v>0</v>
      </c>
      <c r="AC67" s="252">
        <v>1055826.9102673365</v>
      </c>
      <c r="AD67" s="184">
        <v>-53838.142818014487</v>
      </c>
      <c r="AE67" s="184">
        <v>0</v>
      </c>
      <c r="AF67" s="184">
        <v>53838.142818014487</v>
      </c>
      <c r="AG67" s="184">
        <v>0</v>
      </c>
      <c r="AH67" s="253">
        <v>-850860.32842093916</v>
      </c>
      <c r="AI67" s="184">
        <v>0</v>
      </c>
      <c r="AJ67" s="184">
        <v>-254520.14270301006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87843.500736167756</v>
      </c>
      <c r="AU67" s="184">
        <v>0</v>
      </c>
      <c r="AV67" s="184">
        <v>-87843.500736167756</v>
      </c>
      <c r="AW67" s="184">
        <v>0</v>
      </c>
      <c r="AX67" s="184">
        <v>254520.14270300965</v>
      </c>
      <c r="AY67" s="184">
        <v>0</v>
      </c>
      <c r="AZ67" s="184">
        <v>-254520.14270301006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25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49920651.717449322</v>
      </c>
      <c r="V68" s="195"/>
      <c r="W68" s="195">
        <v>12438342.437446497</v>
      </c>
      <c r="X68" s="195">
        <v>0</v>
      </c>
      <c r="Y68" s="195">
        <v>12438342.437446497</v>
      </c>
      <c r="Z68" s="195">
        <v>0</v>
      </c>
      <c r="AA68" s="195">
        <v>0</v>
      </c>
      <c r="AB68" s="195">
        <v>0</v>
      </c>
      <c r="AC68" s="255">
        <v>49971956.210267335</v>
      </c>
      <c r="AD68" s="195">
        <v>-51304.492818014449</v>
      </c>
      <c r="AE68" s="195">
        <v>0</v>
      </c>
      <c r="AF68" s="195">
        <v>51304.492818014449</v>
      </c>
      <c r="AG68" s="195">
        <v>0</v>
      </c>
      <c r="AH68" s="256">
        <v>-220596.81442093808</v>
      </c>
      <c r="AI68" s="195">
        <v>0</v>
      </c>
      <c r="AJ68" s="195">
        <v>-627849.23270300974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55465926.511870258</v>
      </c>
      <c r="AQ68" s="200"/>
      <c r="AR68" s="195"/>
      <c r="AS68" s="195"/>
      <c r="AT68" s="195">
        <v>118717.28823616792</v>
      </c>
      <c r="AU68" s="195">
        <v>0</v>
      </c>
      <c r="AV68" s="195">
        <v>-118717.28823616792</v>
      </c>
      <c r="AW68" s="195">
        <v>0</v>
      </c>
      <c r="AX68" s="195">
        <v>627849.23270300939</v>
      </c>
      <c r="AY68" s="195">
        <v>0</v>
      </c>
      <c r="AZ68" s="195">
        <v>-627849.23270300974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-17861612.640000001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25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566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25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25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556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25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566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25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566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25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25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566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25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25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566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25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25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25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1.8713066316480631</v>
      </c>
      <c r="P80" s="172">
        <v>1.9041365725541695</v>
      </c>
      <c r="Q80" s="172">
        <v>-3.2829940906106359E-2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1.8713066316480631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1.8713066316480631</v>
      </c>
      <c r="BC80" s="170">
        <v>1.9041365725541695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1.8713066316480631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25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4.4375</v>
      </c>
      <c r="P81" s="172">
        <v>4.625</v>
      </c>
      <c r="Q81" s="172">
        <v>-0.1875</v>
      </c>
      <c r="R81" s="173" t="s">
        <v>467</v>
      </c>
      <c r="S81" s="173">
        <v>0</v>
      </c>
      <c r="T81" s="173">
        <v>0</v>
      </c>
      <c r="U81" s="249">
        <v>265766.3125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276995.875</v>
      </c>
      <c r="AD81" s="170">
        <v>-11229.5625</v>
      </c>
      <c r="AE81" s="170">
        <v>0</v>
      </c>
      <c r="AF81" s="170">
        <v>11229.5625</v>
      </c>
      <c r="AG81" s="170">
        <v>0</v>
      </c>
      <c r="AH81" s="250">
        <v>-119782</v>
      </c>
      <c r="AI81" s="170">
        <v>0</v>
      </c>
      <c r="AJ81" s="170">
        <v>86093.9375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265766.3125</v>
      </c>
      <c r="AS81" s="170">
        <v>4.4375</v>
      </c>
      <c r="AT81" s="170">
        <v>-7486.375</v>
      </c>
      <c r="AU81" s="170">
        <v>0</v>
      </c>
      <c r="AV81" s="170">
        <v>7486.375</v>
      </c>
      <c r="AW81" s="170">
        <v>0</v>
      </c>
      <c r="AX81" s="170">
        <v>-86093.9375</v>
      </c>
      <c r="AY81" s="170">
        <v>0</v>
      </c>
      <c r="AZ81" s="170">
        <v>86093.9375</v>
      </c>
      <c r="BA81" s="170">
        <v>0</v>
      </c>
      <c r="BB81" s="170">
        <v>4.4375</v>
      </c>
      <c r="BC81" s="170">
        <v>4.625</v>
      </c>
      <c r="BD81" s="170">
        <v>3743.1875</v>
      </c>
      <c r="BE81" s="170">
        <v>0</v>
      </c>
      <c r="BF81" s="170">
        <v>-3743.1875</v>
      </c>
      <c r="BG81" s="170">
        <v>0</v>
      </c>
      <c r="BH81" s="170">
        <v>-74864.375</v>
      </c>
      <c r="BI81" s="170">
        <v>0</v>
      </c>
      <c r="BJ81" s="170">
        <v>74864.375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74864.375</v>
      </c>
      <c r="BQ81" s="172">
        <v>1.1200000000000001</v>
      </c>
      <c r="BR81" s="171">
        <v>67077.919999999998</v>
      </c>
      <c r="BS81" s="177">
        <v>70</v>
      </c>
      <c r="BT81" s="171">
        <v>-11229.5625</v>
      </c>
      <c r="BU81" s="235">
        <v>59891</v>
      </c>
      <c r="BV81" s="171">
        <v>12</v>
      </c>
      <c r="BW81" s="178">
        <v>4.4375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-108552.4375</v>
      </c>
      <c r="CH81" s="170">
        <v>0</v>
      </c>
      <c r="CI81" s="170">
        <v>74864.375</v>
      </c>
      <c r="CJ81" s="170">
        <v>-33688.0625</v>
      </c>
      <c r="CK81" s="171">
        <v>0</v>
      </c>
      <c r="CL81" s="171">
        <v>0</v>
      </c>
    </row>
    <row r="82" spans="1:90" outlineLevel="3" x14ac:dyDescent="0.25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25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567</v>
      </c>
      <c r="F83" s="141" t="s">
        <v>568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12.875</v>
      </c>
      <c r="P83" s="172">
        <v>12.875</v>
      </c>
      <c r="Q83" s="172">
        <v>0</v>
      </c>
      <c r="R83" s="173">
        <v>0</v>
      </c>
      <c r="S83" s="173">
        <v>0</v>
      </c>
      <c r="T83" s="173">
        <v>0</v>
      </c>
      <c r="U83" s="249">
        <v>17243307.25</v>
      </c>
      <c r="V83" s="170" t="s">
        <v>344</v>
      </c>
      <c r="W83" s="170">
        <v>517299.21749999997</v>
      </c>
      <c r="X83" s="170">
        <v>0</v>
      </c>
      <c r="Y83" s="170">
        <v>517299.21749999997</v>
      </c>
      <c r="Z83" s="170">
        <v>0</v>
      </c>
      <c r="AA83" s="170">
        <v>0</v>
      </c>
      <c r="AB83" s="170">
        <v>0</v>
      </c>
      <c r="AC83" s="249">
        <v>17243307.25</v>
      </c>
      <c r="AD83" s="170">
        <v>0</v>
      </c>
      <c r="AE83" s="170">
        <v>0</v>
      </c>
      <c r="AF83" s="170">
        <v>0</v>
      </c>
      <c r="AG83" s="170">
        <v>0</v>
      </c>
      <c r="AH83" s="250">
        <v>-43356713.75</v>
      </c>
      <c r="AI83" s="170">
        <v>0</v>
      </c>
      <c r="AJ83" s="170">
        <v>43356713.75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17243307.25</v>
      </c>
      <c r="AS83" s="170">
        <v>12.875</v>
      </c>
      <c r="AT83" s="170">
        <v>-43356713.75</v>
      </c>
      <c r="AU83" s="170">
        <v>0</v>
      </c>
      <c r="AV83" s="170">
        <v>43356713.75</v>
      </c>
      <c r="AW83" s="170">
        <v>0</v>
      </c>
      <c r="AX83" s="170">
        <v>-43356713.75</v>
      </c>
      <c r="AY83" s="170">
        <v>0</v>
      </c>
      <c r="AZ83" s="170">
        <v>43356713.75</v>
      </c>
      <c r="BA83" s="170">
        <v>0</v>
      </c>
      <c r="BB83" s="170">
        <v>12.875</v>
      </c>
      <c r="BC83" s="170">
        <v>12.875</v>
      </c>
      <c r="BD83" s="170">
        <v>-43356713.75</v>
      </c>
      <c r="BE83" s="170">
        <v>0</v>
      </c>
      <c r="BF83" s="170">
        <v>43356713.75</v>
      </c>
      <c r="BG83" s="170">
        <v>0</v>
      </c>
      <c r="BH83" s="170">
        <v>-43356713.75</v>
      </c>
      <c r="BI83" s="170">
        <v>0</v>
      </c>
      <c r="BJ83" s="170">
        <v>43356713.75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43356713.75</v>
      </c>
      <c r="BQ83" s="172">
        <v>0</v>
      </c>
      <c r="BR83" s="171">
        <v>0</v>
      </c>
      <c r="BS83" s="177">
        <v>70</v>
      </c>
      <c r="BT83" s="171">
        <v>0</v>
      </c>
      <c r="BU83" s="235">
        <v>1339286</v>
      </c>
      <c r="BV83" s="171">
        <v>38</v>
      </c>
      <c r="BW83" s="178">
        <v>12.875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-43356713.75</v>
      </c>
      <c r="CH83" s="170">
        <v>0</v>
      </c>
      <c r="CI83" s="170">
        <v>43356713.75</v>
      </c>
      <c r="CJ83" s="170">
        <v>0</v>
      </c>
      <c r="CK83" s="171">
        <v>0.03</v>
      </c>
      <c r="CL83" s="171">
        <v>0</v>
      </c>
    </row>
    <row r="84" spans="1:90" outlineLevel="3" x14ac:dyDescent="0.25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8</v>
      </c>
      <c r="P84" s="172">
        <v>8</v>
      </c>
      <c r="Q84" s="172">
        <v>0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8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8</v>
      </c>
      <c r="BC84" s="170">
        <v>8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8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25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17509073.5625</v>
      </c>
      <c r="V85" s="184"/>
      <c r="W85" s="184">
        <v>517299.21749999997</v>
      </c>
      <c r="X85" s="184">
        <v>0</v>
      </c>
      <c r="Y85" s="184">
        <v>517299.21749999997</v>
      </c>
      <c r="Z85" s="184">
        <v>0</v>
      </c>
      <c r="AA85" s="184">
        <v>0</v>
      </c>
      <c r="AB85" s="184">
        <v>0</v>
      </c>
      <c r="AC85" s="252">
        <v>17520303.125</v>
      </c>
      <c r="AD85" s="184">
        <v>-11229.5625</v>
      </c>
      <c r="AE85" s="184">
        <v>0</v>
      </c>
      <c r="AF85" s="184">
        <v>11229.5625</v>
      </c>
      <c r="AG85" s="184">
        <v>0</v>
      </c>
      <c r="AH85" s="253">
        <v>-45913352.399999999</v>
      </c>
      <c r="AI85" s="184">
        <v>0</v>
      </c>
      <c r="AJ85" s="184">
        <v>44170648.149999999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-44544427.087499999</v>
      </c>
      <c r="AU85" s="184">
        <v>0</v>
      </c>
      <c r="AV85" s="184">
        <v>44544427.087499999</v>
      </c>
      <c r="AW85" s="184">
        <v>0</v>
      </c>
      <c r="AX85" s="184">
        <v>-44170648.149999999</v>
      </c>
      <c r="AY85" s="184">
        <v>0</v>
      </c>
      <c r="AZ85" s="184">
        <v>44170648.149999999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25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25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25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566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25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25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25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138773894.2524839</v>
      </c>
      <c r="V91" s="195"/>
      <c r="W91" s="195">
        <v>517299.21749999997</v>
      </c>
      <c r="X91" s="195">
        <v>0</v>
      </c>
      <c r="Y91" s="195">
        <v>517299.21749999997</v>
      </c>
      <c r="Z91" s="195">
        <v>0</v>
      </c>
      <c r="AA91" s="195">
        <v>0</v>
      </c>
      <c r="AB91" s="195">
        <v>0</v>
      </c>
      <c r="AC91" s="255">
        <v>138785123.8149839</v>
      </c>
      <c r="AD91" s="195">
        <v>-11229.5625</v>
      </c>
      <c r="AE91" s="195">
        <v>0</v>
      </c>
      <c r="AF91" s="195">
        <v>11229.5625</v>
      </c>
      <c r="AG91" s="195">
        <v>0</v>
      </c>
      <c r="AH91" s="256">
        <v>-103089027.03153913</v>
      </c>
      <c r="AI91" s="195">
        <v>0</v>
      </c>
      <c r="AJ91" s="195">
        <v>101165987.96564065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-101730994.56750001</v>
      </c>
      <c r="AU91" s="195">
        <v>0</v>
      </c>
      <c r="AV91" s="195">
        <v>101730994.56750001</v>
      </c>
      <c r="AW91" s="195">
        <v>0</v>
      </c>
      <c r="AX91" s="195">
        <v>-101165987.96564065</v>
      </c>
      <c r="AY91" s="195">
        <v>0</v>
      </c>
      <c r="AZ91" s="195">
        <v>101165987.96564065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25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388097624.95777428</v>
      </c>
      <c r="V92" s="184"/>
      <c r="W92" s="184">
        <v>12955641.654946497</v>
      </c>
      <c r="X92" s="184">
        <v>0</v>
      </c>
      <c r="Y92" s="184">
        <v>12955641.654946497</v>
      </c>
      <c r="Z92" s="184">
        <v>0</v>
      </c>
      <c r="AA92" s="184">
        <v>0</v>
      </c>
      <c r="AB92" s="184">
        <v>0</v>
      </c>
      <c r="AC92" s="252">
        <v>395493130.50348371</v>
      </c>
      <c r="AD92" s="184">
        <v>-7395505.5457095103</v>
      </c>
      <c r="AE92" s="184">
        <v>0</v>
      </c>
      <c r="AF92" s="184">
        <v>7395505.5457095103</v>
      </c>
      <c r="AG92" s="184">
        <v>0</v>
      </c>
      <c r="AH92" s="253">
        <v>-246940979.82188919</v>
      </c>
      <c r="AI92" s="184">
        <v>0</v>
      </c>
      <c r="AJ92" s="184">
        <v>305649521.07363063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609981989.52901459</v>
      </c>
      <c r="AQ92" s="189"/>
      <c r="AR92" s="184"/>
      <c r="AS92" s="184"/>
      <c r="AT92" s="184">
        <v>-102720384.60872731</v>
      </c>
      <c r="AU92" s="184">
        <v>0</v>
      </c>
      <c r="AV92" s="184">
        <v>102720384.60872731</v>
      </c>
      <c r="AW92" s="184">
        <v>0</v>
      </c>
      <c r="AX92" s="184">
        <v>-305648148.40287429</v>
      </c>
      <c r="AY92" s="184">
        <v>-1372.6707564118635</v>
      </c>
      <c r="AZ92" s="184">
        <v>305649521.07363063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-42345213.719351165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388097624.95777428</v>
      </c>
      <c r="V93" s="211"/>
      <c r="W93" s="211">
        <v>12955641.654946497</v>
      </c>
      <c r="X93" s="211">
        <v>0</v>
      </c>
      <c r="Y93" s="211">
        <v>12955641.654946497</v>
      </c>
      <c r="Z93" s="211">
        <v>0</v>
      </c>
      <c r="AA93" s="211">
        <v>0</v>
      </c>
      <c r="AB93" s="211">
        <v>0</v>
      </c>
      <c r="AC93" s="258">
        <v>395493130.50348371</v>
      </c>
      <c r="AD93" s="211">
        <v>-7395505.5457095103</v>
      </c>
      <c r="AE93" s="211">
        <v>0</v>
      </c>
      <c r="AF93" s="211">
        <v>7395505.5457095103</v>
      </c>
      <c r="AG93" s="211">
        <v>0</v>
      </c>
      <c r="AH93" s="259">
        <v>-246940979.82188919</v>
      </c>
      <c r="AI93" s="211">
        <v>0</v>
      </c>
      <c r="AJ93" s="211">
        <v>305649521.07363063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609981989.52901459</v>
      </c>
      <c r="AQ93" s="214"/>
      <c r="AR93" s="211"/>
      <c r="AS93" s="211"/>
      <c r="AT93" s="211">
        <v>-102720384.60872731</v>
      </c>
      <c r="AU93" s="211">
        <v>0</v>
      </c>
      <c r="AV93" s="211">
        <v>102720384.60872731</v>
      </c>
      <c r="AW93" s="211">
        <v>0</v>
      </c>
      <c r="AX93" s="211">
        <v>-305648148.40287429</v>
      </c>
      <c r="AY93" s="211">
        <v>-1372.6707564118635</v>
      </c>
      <c r="AZ93" s="211">
        <v>305649521.07363063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-42345213.719351165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2023-09-17T16:24:16Z</dcterms:modified>
</cp:coreProperties>
</file>