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5EFBE9-56C3-4453-9D21-E8A873028F3C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B42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<sst xmlns="http://schemas.openxmlformats.org/spreadsheetml/2006/main" count="285" uniqueCount="211">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</sst>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154" t="s">
        <v>199</v>
      </c>
      <c r="C2" s="154"/>
      <c r="D2" s="154"/>
      <c r="E2" s="154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4"/>
      <c r="D4" s="64"/>
      <c r="E4" s="64"/>
      <c r="F4" s="63"/>
    </row>
    <row r="5" spans="1:6" x14ac:dyDescent="0.25">
      <c r="A5" s="62"/>
      <c r="B5" s="64" t="s">
        <v>13</v>
      </c>
      <c r="C5" s="66">
        <v>36880</v>
      </c>
      <c r="D5" s="67" t="s">
        <v>18</v>
      </c>
      <c r="E5" s="68">
        <f>+C5-1</f>
        <v>36879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118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25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IF(+Financials!P27=0,"No Capacity Available",+Financials!P27)</f>
        <v>105699311.11258879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+Financials!I36</f>
        <v>287911243.81918055</v>
      </c>
      <c r="D21" s="64"/>
      <c r="E21" s="64"/>
      <c r="F21" s="63"/>
    </row>
    <row r="22" spans="1:6" x14ac:dyDescent="0.25">
      <c r="A22" s="62"/>
      <c r="B22" s="64"/>
      <c r="C22" s="70"/>
      <c r="D22" s="64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150" customWidth="1"/>
    <col min="3" max="3" width="10.875" style="150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5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19" s="78" customFormat="1" x14ac:dyDescent="0.25">
      <c r="A1" s="78" t="s">
        <v>125</v>
      </c>
      <c r="B1" s="148" t="s">
        <v>126</v>
      </c>
      <c r="C1" s="148" t="s">
        <v>127</v>
      </c>
      <c r="D1" s="78" t="s">
        <v>129</v>
      </c>
      <c r="E1" s="80"/>
      <c r="F1" s="78" t="s">
        <v>131</v>
      </c>
      <c r="G1" s="81" t="s">
        <v>132</v>
      </c>
      <c r="H1" s="157" t="s">
        <v>133</v>
      </c>
      <c r="I1" s="158"/>
      <c r="J1" s="78" t="s">
        <v>134</v>
      </c>
      <c r="K1" s="148"/>
      <c r="L1" s="85" t="s">
        <v>136</v>
      </c>
      <c r="M1" s="89" t="s">
        <v>137</v>
      </c>
      <c r="N1" s="86" t="s">
        <v>138</v>
      </c>
      <c r="O1" s="155" t="s">
        <v>139</v>
      </c>
      <c r="P1" s="156"/>
      <c r="Q1" s="85" t="s">
        <v>139</v>
      </c>
      <c r="R1" s="89"/>
      <c r="S1" s="86"/>
    </row>
    <row r="2" spans="1:19" s="79" customFormat="1" ht="15" customHeight="1" thickBot="1" x14ac:dyDescent="0.3">
      <c r="A2" s="82" t="s">
        <v>140</v>
      </c>
      <c r="B2" s="149" t="s">
        <v>1</v>
      </c>
      <c r="C2" s="149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3" t="s">
        <v>135</v>
      </c>
      <c r="J2" s="82" t="s">
        <v>175</v>
      </c>
      <c r="K2" s="149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175</v>
      </c>
      <c r="R2" s="82" t="s">
        <v>188</v>
      </c>
      <c r="S2" s="88" t="s">
        <v>164</v>
      </c>
    </row>
    <row r="3" spans="1:19" x14ac:dyDescent="0.25">
      <c r="A3" s="128" t="s">
        <v>163</v>
      </c>
      <c r="J3" s="2"/>
      <c r="L3" s="4"/>
      <c r="M3" s="4"/>
      <c r="N3" s="5"/>
      <c r="P3" s="4"/>
      <c r="Q3" s="4"/>
      <c r="R3" s="4"/>
    </row>
    <row r="4" spans="1:19" x14ac:dyDescent="0.25">
      <c r="A4" s="130" t="s">
        <v>202</v>
      </c>
      <c r="J4" s="4"/>
      <c r="L4" s="4"/>
      <c r="M4" s="4"/>
      <c r="N4" s="5"/>
      <c r="P4" s="4"/>
      <c r="Q4" s="4"/>
      <c r="R4" s="138"/>
      <c r="S4" s="131"/>
    </row>
    <row r="5" spans="1:19" x14ac:dyDescent="0.25">
      <c r="A5" s="130" t="s">
        <v>204</v>
      </c>
      <c r="J5" s="4"/>
      <c r="L5" s="4"/>
      <c r="M5" s="4"/>
      <c r="N5" s="5"/>
      <c r="P5" s="4"/>
      <c r="Q5" s="4"/>
      <c r="R5" s="138"/>
      <c r="S5" s="131"/>
    </row>
    <row r="6" spans="1:19" x14ac:dyDescent="0.25">
      <c r="A6" s="130" t="s">
        <v>203</v>
      </c>
      <c r="B6" s="150">
        <v>36791</v>
      </c>
      <c r="C6" s="150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5">
        <f>+Summary!C5</f>
        <v>36880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8"/>
      <c r="S6" s="131"/>
    </row>
    <row r="7" spans="1:19" x14ac:dyDescent="0.25">
      <c r="A7" t="s">
        <v>198</v>
      </c>
    </row>
    <row r="8" spans="1:19" ht="16.5" thickBot="1" x14ac:dyDescent="0.3">
      <c r="B8" s="151" t="s">
        <v>17</v>
      </c>
      <c r="E8" s="77">
        <f>SUM(E3:E7)</f>
        <v>0</v>
      </c>
      <c r="I8" s="144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2"/>
      <c r="R8" s="132"/>
      <c r="S8" s="77">
        <f>SUM(S3:S7)</f>
        <v>0</v>
      </c>
    </row>
    <row r="9" spans="1:19" ht="16.5" thickTop="1" x14ac:dyDescent="0.25"/>
    <row r="10" spans="1:19" x14ac:dyDescent="0.25">
      <c r="S10" s="5"/>
    </row>
    <row r="11" spans="1:19" x14ac:dyDescent="0.25">
      <c r="S11" s="136"/>
    </row>
    <row r="12" spans="1:19" x14ac:dyDescent="0.25">
      <c r="S12" s="137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48" activePane="bottomLeft" state="frozen"/>
      <selection pane="bottomLeft" activeCell="A69" sqref="A69"/>
    </sheetView>
  </sheetViews>
  <sheetFormatPr defaultRowHeight="15.75" x14ac:dyDescent="0.25"/>
  <cols>
    <col min="1" max="1" width="10" style="1" bestFit="1" customWidth="1"/>
    <col min="2" max="2" width="9.75" style="126" bestFit="1" customWidth="1"/>
  </cols>
  <sheetData>
    <row r="1" spans="1:2" x14ac:dyDescent="0.25">
      <c r="A1" s="146" t="s">
        <v>156</v>
      </c>
      <c r="B1" s="123"/>
    </row>
    <row r="2" spans="1:2" x14ac:dyDescent="0.25">
      <c r="B2" s="124"/>
    </row>
    <row r="3" spans="1:2" x14ac:dyDescent="0.25">
      <c r="A3" s="159" t="s">
        <v>4</v>
      </c>
      <c r="B3" s="160"/>
    </row>
    <row r="4" spans="1:2" x14ac:dyDescent="0.25">
      <c r="A4" s="147" t="s">
        <v>1</v>
      </c>
      <c r="B4" s="125" t="s">
        <v>12</v>
      </c>
    </row>
    <row r="5" spans="1:2" x14ac:dyDescent="0.25">
      <c r="A5" s="1">
        <v>36789</v>
      </c>
      <c r="B5" s="126">
        <v>82.171999999999997</v>
      </c>
    </row>
    <row r="6" spans="1:2" x14ac:dyDescent="0.25">
      <c r="A6" s="1">
        <v>36790</v>
      </c>
      <c r="B6" s="126">
        <v>80.75</v>
      </c>
    </row>
    <row r="7" spans="1:2" x14ac:dyDescent="0.25">
      <c r="A7" s="1">
        <v>36791</v>
      </c>
      <c r="B7" s="126">
        <v>83</v>
      </c>
    </row>
    <row r="8" spans="1:2" x14ac:dyDescent="0.25">
      <c r="A8" s="1">
        <v>36794</v>
      </c>
      <c r="B8" s="126">
        <v>84.438000000000002</v>
      </c>
    </row>
    <row r="9" spans="1:2" x14ac:dyDescent="0.25">
      <c r="A9" s="1">
        <v>36795</v>
      </c>
      <c r="B9" s="126">
        <v>85.5</v>
      </c>
    </row>
    <row r="10" spans="1:2" x14ac:dyDescent="0.25">
      <c r="A10" s="1">
        <v>36796</v>
      </c>
      <c r="B10" s="126">
        <v>87.453000000000003</v>
      </c>
    </row>
    <row r="11" spans="1:2" x14ac:dyDescent="0.25">
      <c r="A11" s="1">
        <v>36797</v>
      </c>
      <c r="B11" s="126">
        <v>89.25</v>
      </c>
    </row>
    <row r="12" spans="1:2" x14ac:dyDescent="0.25">
      <c r="A12" s="1">
        <v>36798</v>
      </c>
      <c r="B12" s="126">
        <v>87.641000000000005</v>
      </c>
    </row>
    <row r="13" spans="1:2" x14ac:dyDescent="0.25">
      <c r="A13" s="1">
        <v>36801</v>
      </c>
      <c r="B13" s="126">
        <v>86.438000000000002</v>
      </c>
    </row>
    <row r="14" spans="1:2" x14ac:dyDescent="0.25">
      <c r="A14" s="1">
        <v>36802</v>
      </c>
      <c r="B14" s="126">
        <v>85.563000000000002</v>
      </c>
    </row>
    <row r="15" spans="1:2" x14ac:dyDescent="0.25">
      <c r="A15" s="1">
        <v>36803</v>
      </c>
      <c r="B15" s="126">
        <v>83.063000000000002</v>
      </c>
    </row>
    <row r="16" spans="1:2" x14ac:dyDescent="0.25">
      <c r="A16" s="1">
        <v>36804</v>
      </c>
      <c r="B16" s="126">
        <v>83</v>
      </c>
    </row>
    <row r="17" spans="1:2" x14ac:dyDescent="0.25">
      <c r="A17" s="1">
        <v>36805</v>
      </c>
      <c r="B17" s="126">
        <v>81.625</v>
      </c>
    </row>
    <row r="18" spans="1:2" x14ac:dyDescent="0.25">
      <c r="A18" s="1">
        <v>36808</v>
      </c>
      <c r="B18" s="126">
        <v>83</v>
      </c>
    </row>
    <row r="19" spans="1:2" x14ac:dyDescent="0.25">
      <c r="A19" s="1">
        <v>36809</v>
      </c>
      <c r="B19" s="126">
        <v>81.688000000000002</v>
      </c>
    </row>
    <row r="20" spans="1:2" x14ac:dyDescent="0.25">
      <c r="A20" s="1">
        <v>36810</v>
      </c>
      <c r="B20" s="126">
        <v>82.813000000000002</v>
      </c>
    </row>
    <row r="21" spans="1:2" x14ac:dyDescent="0.25">
      <c r="A21" s="1">
        <v>36811</v>
      </c>
      <c r="B21" s="126">
        <v>79.875</v>
      </c>
    </row>
    <row r="22" spans="1:2" x14ac:dyDescent="0.25">
      <c r="A22" s="1">
        <v>36812</v>
      </c>
      <c r="B22" s="126">
        <v>79.5</v>
      </c>
    </row>
    <row r="23" spans="1:2" x14ac:dyDescent="0.25">
      <c r="A23" s="145">
        <v>36815</v>
      </c>
      <c r="B23" s="126">
        <v>80</v>
      </c>
    </row>
    <row r="24" spans="1:2" x14ac:dyDescent="0.25">
      <c r="A24" s="145">
        <v>36816</v>
      </c>
      <c r="B24" s="126">
        <v>79.188000000000002</v>
      </c>
    </row>
    <row r="25" spans="1:2" x14ac:dyDescent="0.25">
      <c r="A25" s="145">
        <v>36817</v>
      </c>
      <c r="B25" s="126">
        <v>78.75</v>
      </c>
    </row>
    <row r="26" spans="1:2" x14ac:dyDescent="0.25">
      <c r="A26" s="145">
        <v>36818</v>
      </c>
      <c r="B26" s="126">
        <v>79</v>
      </c>
    </row>
    <row r="27" spans="1:2" x14ac:dyDescent="0.25">
      <c r="A27" s="145">
        <v>36819</v>
      </c>
      <c r="B27" s="126">
        <v>80.5</v>
      </c>
    </row>
    <row r="28" spans="1:2" x14ac:dyDescent="0.25">
      <c r="A28" s="145">
        <v>36822</v>
      </c>
      <c r="B28" s="126">
        <v>82</v>
      </c>
    </row>
    <row r="29" spans="1:2" x14ac:dyDescent="0.25">
      <c r="A29" s="145">
        <v>36823</v>
      </c>
      <c r="B29" s="126">
        <v>80.1875</v>
      </c>
    </row>
    <row r="30" spans="1:2" x14ac:dyDescent="0.25">
      <c r="A30" s="145">
        <v>36824</v>
      </c>
      <c r="B30" s="126">
        <v>76.125</v>
      </c>
    </row>
    <row r="31" spans="1:2" x14ac:dyDescent="0.25">
      <c r="A31" s="145">
        <v>36825</v>
      </c>
      <c r="B31" s="126">
        <v>77.5</v>
      </c>
    </row>
    <row r="32" spans="1:2" x14ac:dyDescent="0.25">
      <c r="A32" s="145">
        <v>36826</v>
      </c>
      <c r="B32" s="126">
        <v>78.875</v>
      </c>
    </row>
    <row r="33" spans="1:2" x14ac:dyDescent="0.25">
      <c r="A33" s="145">
        <v>36829</v>
      </c>
      <c r="B33" s="126">
        <v>80.688000000000002</v>
      </c>
    </row>
    <row r="34" spans="1:2" x14ac:dyDescent="0.25">
      <c r="A34" s="145">
        <v>36830</v>
      </c>
      <c r="B34" s="126">
        <v>82.063000000000002</v>
      </c>
    </row>
    <row r="35" spans="1:2" x14ac:dyDescent="0.25">
      <c r="A35" s="145">
        <v>36831</v>
      </c>
      <c r="B35" s="126">
        <v>83.25</v>
      </c>
    </row>
    <row r="36" spans="1:2" x14ac:dyDescent="0.25">
      <c r="A36" s="145">
        <v>36832</v>
      </c>
      <c r="B36" s="126">
        <v>81.75</v>
      </c>
    </row>
    <row r="37" spans="1:2" x14ac:dyDescent="0.25">
      <c r="A37" s="145">
        <v>36833</v>
      </c>
      <c r="B37" s="126">
        <v>77.375</v>
      </c>
    </row>
    <row r="38" spans="1:2" x14ac:dyDescent="0.25">
      <c r="A38" s="145">
        <v>36836</v>
      </c>
      <c r="B38" s="126">
        <v>81.563000000000002</v>
      </c>
    </row>
    <row r="39" spans="1:2" x14ac:dyDescent="0.25">
      <c r="A39" s="145">
        <v>36837</v>
      </c>
      <c r="B39" s="126">
        <v>81.813000000000002</v>
      </c>
    </row>
    <row r="40" spans="1:2" x14ac:dyDescent="0.25">
      <c r="A40" s="145">
        <v>36838</v>
      </c>
      <c r="B40" s="126">
        <v>82.125</v>
      </c>
    </row>
    <row r="41" spans="1:2" x14ac:dyDescent="0.25">
      <c r="A41" s="145">
        <v>36839</v>
      </c>
      <c r="B41" s="126">
        <v>82.938000000000002</v>
      </c>
    </row>
    <row r="42" spans="1:2" x14ac:dyDescent="0.25">
      <c r="A42" s="145">
        <v>36840</v>
      </c>
      <c r="B42" s="126">
        <f>82+0.9375</f>
        <v>82.9375</v>
      </c>
    </row>
    <row r="43" spans="1:2" x14ac:dyDescent="0.25">
      <c r="A43" s="145">
        <v>36843</v>
      </c>
      <c r="B43" s="126">
        <v>79.438000000000002</v>
      </c>
    </row>
    <row r="44" spans="1:2" x14ac:dyDescent="0.25">
      <c r="A44" s="145">
        <v>36844</v>
      </c>
      <c r="B44" s="126">
        <v>79.563000000000002</v>
      </c>
    </row>
    <row r="45" spans="1:2" x14ac:dyDescent="0.25">
      <c r="A45" s="145">
        <v>36845</v>
      </c>
      <c r="B45" s="126">
        <v>80.375</v>
      </c>
    </row>
    <row r="46" spans="1:2" x14ac:dyDescent="0.25">
      <c r="A46" s="145">
        <v>36846</v>
      </c>
      <c r="B46" s="126">
        <v>81.25</v>
      </c>
    </row>
    <row r="47" spans="1:2" x14ac:dyDescent="0.25">
      <c r="A47" s="145">
        <v>36847</v>
      </c>
      <c r="B47" s="126">
        <v>81.5</v>
      </c>
    </row>
    <row r="48" spans="1:2" x14ac:dyDescent="0.25">
      <c r="A48" s="145">
        <v>36850</v>
      </c>
      <c r="B48" s="126">
        <v>80.25</v>
      </c>
    </row>
    <row r="49" spans="1:2" x14ac:dyDescent="0.25">
      <c r="A49" s="145">
        <v>36851</v>
      </c>
      <c r="B49" s="126">
        <v>80.375</v>
      </c>
    </row>
    <row r="50" spans="1:2" x14ac:dyDescent="0.25">
      <c r="A50" s="145">
        <v>36852</v>
      </c>
      <c r="B50" s="126">
        <v>75.563000000000002</v>
      </c>
    </row>
    <row r="51" spans="1:2" x14ac:dyDescent="0.25">
      <c r="A51" s="145">
        <v>36854</v>
      </c>
      <c r="B51" s="126">
        <v>77.75</v>
      </c>
    </row>
    <row r="52" spans="1:2" x14ac:dyDescent="0.25">
      <c r="A52" s="145">
        <v>36857</v>
      </c>
      <c r="B52" s="126">
        <v>78.875</v>
      </c>
    </row>
    <row r="53" spans="1:2" x14ac:dyDescent="0.25">
      <c r="A53" s="145">
        <v>36858</v>
      </c>
      <c r="B53" s="126">
        <v>78.438000000000002</v>
      </c>
    </row>
    <row r="54" spans="1:2" x14ac:dyDescent="0.25">
      <c r="A54" s="145">
        <v>36859</v>
      </c>
      <c r="B54" s="126">
        <v>70.25</v>
      </c>
    </row>
    <row r="55" spans="1:2" x14ac:dyDescent="0.25">
      <c r="A55" s="145">
        <v>36860</v>
      </c>
      <c r="B55" s="126">
        <v>64.75</v>
      </c>
    </row>
    <row r="56" spans="1:2" x14ac:dyDescent="0.25">
      <c r="A56" s="145">
        <v>36861</v>
      </c>
      <c r="B56" s="126">
        <v>65.5</v>
      </c>
    </row>
    <row r="57" spans="1:2" x14ac:dyDescent="0.25">
      <c r="A57" s="145">
        <v>36864</v>
      </c>
      <c r="B57" s="126">
        <v>65.938000000000002</v>
      </c>
    </row>
    <row r="58" spans="1:2" x14ac:dyDescent="0.25">
      <c r="A58" s="145">
        <v>36865</v>
      </c>
      <c r="B58" s="126">
        <v>68.25</v>
      </c>
    </row>
    <row r="59" spans="1:2" x14ac:dyDescent="0.25">
      <c r="A59" s="145">
        <v>36866</v>
      </c>
      <c r="B59" s="126">
        <v>71.938000000000002</v>
      </c>
    </row>
    <row r="60" spans="1:2" x14ac:dyDescent="0.25">
      <c r="A60" s="145">
        <v>36867</v>
      </c>
      <c r="B60" s="126">
        <v>72.875</v>
      </c>
    </row>
    <row r="61" spans="1:2" x14ac:dyDescent="0.25">
      <c r="A61" s="145">
        <v>36868</v>
      </c>
      <c r="B61" s="126">
        <v>73.063000000000002</v>
      </c>
    </row>
    <row r="62" spans="1:2" x14ac:dyDescent="0.25">
      <c r="A62" s="145">
        <v>36871</v>
      </c>
      <c r="B62" s="126">
        <v>76.5</v>
      </c>
    </row>
    <row r="63" spans="1:2" x14ac:dyDescent="0.25">
      <c r="A63" s="145">
        <v>36872</v>
      </c>
      <c r="B63" s="126">
        <v>77.188000000000002</v>
      </c>
    </row>
    <row r="64" spans="1:2" x14ac:dyDescent="0.25">
      <c r="A64" s="145">
        <v>36873</v>
      </c>
      <c r="B64" s="126">
        <v>74.5</v>
      </c>
    </row>
    <row r="65" spans="1:2" x14ac:dyDescent="0.25">
      <c r="A65" s="145">
        <v>36874</v>
      </c>
      <c r="B65" s="126">
        <v>76.5</v>
      </c>
    </row>
    <row r="66" spans="1:2" x14ac:dyDescent="0.25">
      <c r="A66" s="145">
        <v>36875</v>
      </c>
      <c r="B66" s="126">
        <v>77.563000000000002</v>
      </c>
    </row>
    <row r="67" spans="1:2" x14ac:dyDescent="0.25">
      <c r="A67" s="145">
        <v>36878</v>
      </c>
      <c r="B67" s="126">
        <v>79.563000000000002</v>
      </c>
    </row>
    <row r="68" spans="1:2" x14ac:dyDescent="0.25">
      <c r="A68" s="145">
        <v>36879</v>
      </c>
      <c r="B68" s="126">
        <v>79.75</v>
      </c>
    </row>
    <row r="69" spans="1:2" x14ac:dyDescent="0.25">
      <c r="A69" s="145">
        <v>36880</v>
      </c>
      <c r="B69" s="126">
        <v>79.75</v>
      </c>
    </row>
    <row r="223" ht="14.25" customHeight="1" x14ac:dyDescent="0.25"/>
    <row r="340" spans="1:2" x14ac:dyDescent="0.25">
      <c r="A340" s="1" t="s">
        <v>162</v>
      </c>
    </row>
    <row r="342" spans="1:2" x14ac:dyDescent="0.25">
      <c r="A342" s="145"/>
    </row>
    <row r="343" spans="1:2" x14ac:dyDescent="0.25">
      <c r="B343"/>
    </row>
    <row r="344" spans="1:2" x14ac:dyDescent="0.25">
      <c r="B344"/>
    </row>
    <row r="345" spans="1:2" x14ac:dyDescent="0.25">
      <c r="B345"/>
    </row>
    <row r="346" spans="1:2" x14ac:dyDescent="0.25">
      <c r="B346"/>
    </row>
    <row r="347" spans="1:2" x14ac:dyDescent="0.25">
      <c r="B347"/>
    </row>
    <row r="348" spans="1:2" x14ac:dyDescent="0.25">
      <c r="B348"/>
    </row>
    <row r="349" spans="1:2" x14ac:dyDescent="0.25">
      <c r="B349"/>
    </row>
    <row r="350" spans="1:2" x14ac:dyDescent="0.25">
      <c r="B350"/>
    </row>
    <row r="351" spans="1:2" x14ac:dyDescent="0.25">
      <c r="B351"/>
    </row>
    <row r="352" spans="1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6" workbookViewId="0">
      <selection activeCell="P1" sqref="P1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84</v>
      </c>
    </row>
    <row r="2" spans="1:18" x14ac:dyDescent="0.25">
      <c r="A2" s="7" t="s">
        <v>200</v>
      </c>
      <c r="H2" s="168">
        <f>+Summary!C5</f>
        <v>36880</v>
      </c>
      <c r="I2" s="168"/>
      <c r="J2" s="96"/>
      <c r="L2" s="168">
        <f>H2</f>
        <v>36880</v>
      </c>
      <c r="M2" s="168"/>
      <c r="N2" s="168"/>
      <c r="O2" s="168"/>
      <c r="P2" s="168"/>
    </row>
    <row r="3" spans="1:18" ht="16.5" thickBot="1" x14ac:dyDescent="0.3">
      <c r="H3" s="169" t="s">
        <v>97</v>
      </c>
      <c r="I3" s="169"/>
      <c r="J3" s="97"/>
      <c r="L3" s="169" t="s">
        <v>97</v>
      </c>
      <c r="M3" s="169"/>
      <c r="N3" s="169"/>
      <c r="O3" s="169"/>
      <c r="P3" s="169"/>
    </row>
    <row r="4" spans="1:18" x14ac:dyDescent="0.25">
      <c r="A4" s="161" t="s">
        <v>201</v>
      </c>
      <c r="B4" s="161"/>
      <c r="C4" s="161"/>
      <c r="D4" s="161"/>
      <c r="E4" s="161"/>
      <c r="F4" s="161"/>
      <c r="H4" s="117" t="s">
        <v>98</v>
      </c>
      <c r="I4" s="118"/>
      <c r="J4" s="13"/>
    </row>
    <row r="5" spans="1:18" ht="16.5" thickBot="1" x14ac:dyDescent="0.3">
      <c r="A5" s="162" t="s">
        <v>30</v>
      </c>
      <c r="B5" s="162"/>
      <c r="D5" s="162" t="s">
        <v>31</v>
      </c>
      <c r="E5" s="162"/>
      <c r="H5" s="119" t="s">
        <v>99</v>
      </c>
      <c r="I5" s="127">
        <f>+VLOOKUP(+Summary!C5,ene,2)</f>
        <v>79.75</v>
      </c>
      <c r="J5" s="13"/>
      <c r="L5" s="161" t="s">
        <v>119</v>
      </c>
      <c r="M5" s="161"/>
      <c r="N5" s="161"/>
      <c r="O5" s="161"/>
      <c r="P5" s="161"/>
      <c r="Q5" s="97"/>
    </row>
    <row r="6" spans="1:18" x14ac:dyDescent="0.25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+'Cash-Int-Trans'!F45</f>
        <v>7.2925000000000004E-2</v>
      </c>
      <c r="J6" s="13"/>
      <c r="L6" s="93" t="s">
        <v>142</v>
      </c>
      <c r="M6" s="98">
        <f>H2</f>
        <v>36880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64" t="s">
        <v>157</v>
      </c>
      <c r="I7" s="165"/>
      <c r="J7" s="13"/>
      <c r="L7" s="162" t="s">
        <v>30</v>
      </c>
      <c r="M7" s="162"/>
      <c r="O7" s="162" t="s">
        <v>31</v>
      </c>
      <c r="P7" s="162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33773275.48437503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167" t="s">
        <v>101</v>
      </c>
      <c r="I10" s="167"/>
      <c r="J10" s="13"/>
      <c r="L10" s="7" t="s">
        <v>38</v>
      </c>
      <c r="M10" s="7">
        <f>B8+I15</f>
        <v>379702842.80821919</v>
      </c>
      <c r="N10" s="18"/>
      <c r="O10" s="7" t="s">
        <v>117</v>
      </c>
      <c r="P10" s="7">
        <f>IF(I20&gt;0,0,-I20)</f>
        <v>0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36880</v>
      </c>
      <c r="J11" s="13"/>
      <c r="L11" s="7" t="s">
        <v>42</v>
      </c>
      <c r="M11" s="7">
        <f>+Amort!B28</f>
        <v>1691666.6666666667</v>
      </c>
      <c r="O11" s="7" t="s">
        <v>210</v>
      </c>
      <c r="P11" s="7">
        <f>IF(I19&lt;0,-I19,0)</f>
        <v>0</v>
      </c>
      <c r="R11" s="3"/>
    </row>
    <row r="12" spans="1:18" ht="16.5" thickTop="1" x14ac:dyDescent="0.25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420383450.83186114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2672275.4843750005</v>
      </c>
      <c r="J13" s="29"/>
      <c r="L13" s="7" t="s">
        <v>209</v>
      </c>
      <c r="M13" s="7">
        <f>IF(I19&gt;0,I19,0)</f>
        <v>0</v>
      </c>
      <c r="O13" s="7" t="s">
        <v>40</v>
      </c>
      <c r="P13" s="7">
        <f>IF(+I23+I35+'Cash-Int-Trans'!D64-'Cash-Int-Trans'!D63&gt;'Cash-Int-Trans'!D64,'Cash-Int-Trans'!D64,IF(+I23+I35+'Cash-Int-Trans'!D64&lt;0,0,+I23+I35+'Cash-Int-Trans'!D64-'Cash-Int-Trans'!D63))</f>
        <v>31132186.301369864</v>
      </c>
      <c r="Q13" s="107" t="s">
        <v>151</v>
      </c>
    </row>
    <row r="14" spans="1:18" x14ac:dyDescent="0.2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191</v>
      </c>
      <c r="I14" s="16">
        <f>+Amort!B29</f>
        <v>1691666.6666666667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13652147.826029897</v>
      </c>
    </row>
    <row r="15" spans="1:18" ht="16.5" thickBot="1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190</v>
      </c>
      <c r="I15" s="16">
        <f>-B17*A35/(3*365)</f>
        <v>29702842.80821918</v>
      </c>
      <c r="J15" s="33" t="s">
        <v>56</v>
      </c>
      <c r="L15" s="91" t="s">
        <v>7</v>
      </c>
      <c r="M15" s="12">
        <f>SUM(M8:M14)</f>
        <v>465167784.95926088</v>
      </c>
      <c r="N15" s="20"/>
      <c r="O15" s="91" t="s">
        <v>7</v>
      </c>
      <c r="P15" s="12">
        <f>SUM(P8:P14)</f>
        <v>465167784.95926088</v>
      </c>
      <c r="Q15" s="106" t="s">
        <v>150</v>
      </c>
    </row>
    <row r="16" spans="1:18" ht="16.5" thickTop="1" x14ac:dyDescent="0.25">
      <c r="A16" s="7" t="s">
        <v>50</v>
      </c>
      <c r="B16" s="7">
        <f>SUM(B14:B15)</f>
        <v>536923062.5</v>
      </c>
      <c r="H16" s="13" t="s">
        <v>182</v>
      </c>
      <c r="I16" s="40">
        <f>-'Cash-Int-Trans'!B47</f>
        <v>-13649861.831861112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54683334.127399743</v>
      </c>
      <c r="L17" s="140" t="s">
        <v>47</v>
      </c>
      <c r="M17" s="139"/>
      <c r="N17" s="139"/>
      <c r="O17" s="139"/>
      <c r="P17" s="139"/>
      <c r="Q17" s="16"/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I18" s="7"/>
      <c r="L18" s="141" t="s">
        <v>49</v>
      </c>
      <c r="M18" s="141"/>
      <c r="P18" s="7">
        <f>M15</f>
        <v>465167784.95926088</v>
      </c>
      <c r="Q18" s="106" t="s">
        <v>150</v>
      </c>
    </row>
    <row r="19" spans="1:20" ht="16.5" thickTop="1" x14ac:dyDescent="0.25">
      <c r="H19" s="7" t="s">
        <v>206</v>
      </c>
      <c r="I19" s="7">
        <f>IF(I5&lt;78.875,(78.875-I5)*(D14+D15),IF(I5&gt;111.8633,(111.8633-I5)*(+D14+D15),0))</f>
        <v>0</v>
      </c>
      <c r="L19" s="7" t="s">
        <v>189</v>
      </c>
      <c r="M19" s="92"/>
      <c r="N19" s="92"/>
      <c r="O19" s="92"/>
      <c r="P19" s="7">
        <f>+M19+O19</f>
        <v>0</v>
      </c>
      <c r="T19" s="142"/>
    </row>
    <row r="20" spans="1:20" ht="16.5" thickBot="1" x14ac:dyDescent="0.3">
      <c r="A20" s="163" t="s">
        <v>59</v>
      </c>
      <c r="B20" s="163"/>
      <c r="C20" s="163"/>
      <c r="D20" s="163"/>
      <c r="E20" s="163"/>
      <c r="H20" s="7" t="s">
        <v>115</v>
      </c>
      <c r="I20" s="7">
        <f>+'Daily Position'!L8</f>
        <v>0</v>
      </c>
      <c r="J20" s="13"/>
      <c r="L20" s="7" t="s">
        <v>149</v>
      </c>
      <c r="M20" s="92">
        <f>+'Daily Position'!I8-M19</f>
        <v>460000000</v>
      </c>
      <c r="N20" s="92"/>
      <c r="O20" s="92">
        <f>-P10</f>
        <v>0</v>
      </c>
      <c r="P20" s="27">
        <f>+M20+O20</f>
        <v>460000000</v>
      </c>
    </row>
    <row r="21" spans="1:20" x14ac:dyDescent="0.25">
      <c r="A21" s="166" t="s">
        <v>49</v>
      </c>
      <c r="B21" s="166"/>
      <c r="E21" s="7">
        <f>B11</f>
        <v>471001000</v>
      </c>
      <c r="F21" s="34" t="s">
        <v>43</v>
      </c>
      <c r="H21" s="7" t="s">
        <v>116</v>
      </c>
      <c r="I21" s="27">
        <f>+'Daily Position'!M8</f>
        <v>0</v>
      </c>
      <c r="L21" s="7" t="s">
        <v>148</v>
      </c>
      <c r="P21" s="7">
        <f>+P18+P19+P20</f>
        <v>925167784.95926094</v>
      </c>
    </row>
    <row r="22" spans="1:20" x14ac:dyDescent="0.25">
      <c r="A22" s="7" t="s">
        <v>61</v>
      </c>
      <c r="B22" s="7" t="s">
        <v>14</v>
      </c>
      <c r="D22" s="7">
        <v>7427536</v>
      </c>
      <c r="H22"/>
      <c r="I22" s="36">
        <f>SUM(I19:I21)</f>
        <v>0</v>
      </c>
      <c r="J22" s="13"/>
      <c r="K22" s="7"/>
      <c r="L22" s="7" t="s">
        <v>51</v>
      </c>
      <c r="P22" s="30">
        <f>E27</f>
        <v>3.0200000000000001E-2</v>
      </c>
    </row>
    <row r="23" spans="1:20" ht="16.5" thickBot="1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54683334.127399743</v>
      </c>
      <c r="J23" s="39" t="s">
        <v>63</v>
      </c>
      <c r="K23" s="7"/>
      <c r="L23" s="7" t="s">
        <v>54</v>
      </c>
      <c r="P23" s="7">
        <f>P21*P22</f>
        <v>27940067.105769683</v>
      </c>
    </row>
    <row r="24" spans="1:20" ht="16.5" thickTop="1" x14ac:dyDescent="0.25">
      <c r="A24" s="7" t="s">
        <v>67</v>
      </c>
      <c r="E24" s="7">
        <f>SUM(E21:E23)</f>
        <v>898084320</v>
      </c>
      <c r="H24" s="13"/>
      <c r="I24" s="16"/>
      <c r="J24" s="13"/>
      <c r="L24" s="7" t="s">
        <v>57</v>
      </c>
      <c r="P24" s="7">
        <f>P13</f>
        <v>31132186.301369864</v>
      </c>
      <c r="Q24" s="107" t="s">
        <v>151</v>
      </c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139" t="s">
        <v>102</v>
      </c>
      <c r="I25" s="139"/>
      <c r="J25" s="13"/>
      <c r="L25" s="35" t="s">
        <v>58</v>
      </c>
      <c r="M25" s="36"/>
      <c r="N25" s="36"/>
      <c r="O25" s="36"/>
      <c r="P25" s="108" t="str">
        <f>IF(P24&gt;=P23,"Test Passed","Test Failed")</f>
        <v>Test Passed</v>
      </c>
      <c r="Q25" s="107"/>
    </row>
    <row r="26" spans="1:20" x14ac:dyDescent="0.25">
      <c r="E26" s="7">
        <f>E24-E25</f>
        <v>857084320</v>
      </c>
      <c r="H26" s="13" t="s">
        <v>69</v>
      </c>
      <c r="I26" s="16"/>
      <c r="J26" s="13"/>
      <c r="L26" s="13" t="s">
        <v>60</v>
      </c>
      <c r="M26" s="13"/>
      <c r="N26" s="13"/>
      <c r="O26" s="13"/>
      <c r="P26" s="13">
        <f>P24-P23</f>
        <v>3192119.1956001818</v>
      </c>
    </row>
    <row r="27" spans="1:20" x14ac:dyDescent="0.25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  <c r="L27" s="37" t="s">
        <v>112</v>
      </c>
      <c r="M27" s="37"/>
      <c r="N27" s="37"/>
      <c r="O27" s="37"/>
      <c r="P27" s="37">
        <f>IF(P26&lt;0,0,P26/P22)</f>
        <v>105699311.11258879</v>
      </c>
    </row>
    <row r="28" spans="1:20" x14ac:dyDescent="0.25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25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25">
      <c r="H31" s="13" t="s">
        <v>207</v>
      </c>
      <c r="I31" s="16">
        <f>I23</f>
        <v>54683334.127399743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5" thickBot="1" x14ac:dyDescent="0.3">
      <c r="A32" s="44" t="s">
        <v>144</v>
      </c>
      <c r="B32" s="45"/>
      <c r="H32" s="13" t="s">
        <v>208</v>
      </c>
      <c r="I32" s="16">
        <f>(D14+D15)*(I5-E15)</f>
        <v>85907690</v>
      </c>
      <c r="J32" s="39"/>
      <c r="L32" s="7" t="s">
        <v>72</v>
      </c>
      <c r="M32" s="27">
        <f>E10</f>
        <v>1000</v>
      </c>
    </row>
    <row r="33" spans="1:14" x14ac:dyDescent="0.25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4" x14ac:dyDescent="0.25">
      <c r="A34" s="49">
        <f>+Summary!C5</f>
        <v>36880</v>
      </c>
      <c r="B34" s="13" t="s">
        <v>81</v>
      </c>
      <c r="C34"/>
      <c r="H34" s="13" t="s">
        <v>145</v>
      </c>
      <c r="I34" s="16">
        <f>-I15</f>
        <v>-29702842.80821918</v>
      </c>
      <c r="J34" s="33" t="s">
        <v>56</v>
      </c>
      <c r="L34" s="7" t="s">
        <v>75</v>
      </c>
      <c r="M34" s="7">
        <f>I23</f>
        <v>54683334.127399743</v>
      </c>
    </row>
    <row r="35" spans="1:14" ht="16.5" thickBot="1" x14ac:dyDescent="0.3">
      <c r="A35" s="50">
        <f>A34-A33</f>
        <v>174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4" ht="16.5" thickBot="1" x14ac:dyDescent="0.3">
      <c r="A36"/>
      <c r="B36"/>
      <c r="C36"/>
      <c r="H36" s="37" t="s">
        <v>103</v>
      </c>
      <c r="I36" s="38">
        <f>SUM(I29:I35)</f>
        <v>287911243.81918055</v>
      </c>
      <c r="J36" s="13"/>
      <c r="L36" s="7" t="s">
        <v>77</v>
      </c>
      <c r="M36" s="7">
        <f>SUM(M33:M35)</f>
        <v>44784334.127399743</v>
      </c>
    </row>
    <row r="37" spans="1:14" ht="16.5" customHeight="1" thickTop="1" x14ac:dyDescent="0.25">
      <c r="A37"/>
      <c r="B37"/>
      <c r="C37"/>
      <c r="D37"/>
      <c r="E37"/>
      <c r="H37" s="7" t="s">
        <v>205</v>
      </c>
      <c r="L37" s="7" t="s">
        <v>152</v>
      </c>
      <c r="M37" s="7">
        <f>P13</f>
        <v>31132186.301369864</v>
      </c>
    </row>
    <row r="38" spans="1:14" ht="15.75" customHeight="1" x14ac:dyDescent="0.25">
      <c r="A38"/>
      <c r="B38"/>
      <c r="C38"/>
      <c r="D38"/>
      <c r="E38"/>
      <c r="K38" s="7"/>
      <c r="L38" s="7" t="s">
        <v>153</v>
      </c>
      <c r="M38" s="27">
        <f>P14</f>
        <v>13652147.826029897</v>
      </c>
    </row>
    <row r="39" spans="1:14" ht="15.75" customHeight="1" x14ac:dyDescent="0.25">
      <c r="A39"/>
      <c r="B39"/>
      <c r="C39"/>
      <c r="D39"/>
      <c r="E39"/>
      <c r="K39" s="7"/>
      <c r="M39" s="7">
        <f>M36-M37-M38</f>
        <v>-1.862645149230957E-8</v>
      </c>
      <c r="N39" s="43" t="str">
        <f>IF(ROUND(M39,0)=0,"OK","Not OK")</f>
        <v>OK</v>
      </c>
    </row>
    <row r="40" spans="1:14" ht="16.5" customHeight="1" x14ac:dyDescent="0.25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7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4">
    <mergeCell ref="L7:M7"/>
    <mergeCell ref="O7:P7"/>
    <mergeCell ref="H10:I10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H7:I7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topLeftCell="A22" workbookViewId="0">
      <selection activeCell="D48" sqref="D48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7" ht="16.5" thickBot="1" x14ac:dyDescent="0.3">
      <c r="A1" s="170" t="s">
        <v>109</v>
      </c>
      <c r="B1" s="170"/>
    </row>
    <row r="3" spans="1:7" x14ac:dyDescent="0.25">
      <c r="A3" s="13" t="s">
        <v>121</v>
      </c>
      <c r="B3" s="14"/>
      <c r="C3" s="7"/>
    </row>
    <row r="4" spans="1:7" x14ac:dyDescent="0.25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86</v>
      </c>
      <c r="B6" s="152">
        <f>SUM(B3:B5)</f>
        <v>34266411</v>
      </c>
      <c r="C6" s="29" t="s">
        <v>87</v>
      </c>
    </row>
    <row r="7" spans="1:7" ht="16.5" thickTop="1" x14ac:dyDescent="0.25">
      <c r="A7" s="7"/>
      <c r="B7" s="14"/>
      <c r="C7" s="7"/>
    </row>
    <row r="8" spans="1:7" x14ac:dyDescent="0.25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192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96</v>
      </c>
      <c r="B11" s="14"/>
      <c r="C11" s="7"/>
    </row>
    <row r="12" spans="1:7" x14ac:dyDescent="0.25">
      <c r="A12" s="7" t="s">
        <v>193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194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197</v>
      </c>
      <c r="B15" s="14">
        <f>IF(Summary!$C$5&lt;'Cash-Int-Trans'!D15,0,-Amort!D11)</f>
        <v>0</v>
      </c>
      <c r="C15" s="7"/>
      <c r="D15" s="1">
        <v>36889</v>
      </c>
    </row>
    <row r="16" spans="1:7" x14ac:dyDescent="0.25">
      <c r="A16" s="7" t="s">
        <v>196</v>
      </c>
      <c r="B16" s="14">
        <f>-B15</f>
        <v>0</v>
      </c>
      <c r="C16" s="7"/>
      <c r="D16" s="1">
        <f>+D15</f>
        <v>36889</v>
      </c>
    </row>
    <row r="17" spans="1:5" x14ac:dyDescent="0.25">
      <c r="A17" s="7"/>
      <c r="B17" s="14"/>
      <c r="C17" s="7"/>
    </row>
    <row r="18" spans="1:5" ht="16.5" thickBot="1" x14ac:dyDescent="0.3">
      <c r="A18" s="170" t="s">
        <v>104</v>
      </c>
      <c r="B18" s="170"/>
    </row>
    <row r="20" spans="1:5" x14ac:dyDescent="0.25">
      <c r="A20" t="s">
        <v>25</v>
      </c>
      <c r="B20" s="7">
        <f>+Financials!B6</f>
        <v>71001000</v>
      </c>
      <c r="D20" s="1">
        <v>36634</v>
      </c>
    </row>
    <row r="22" spans="1:5" x14ac:dyDescent="0.25">
      <c r="A22" t="s">
        <v>105</v>
      </c>
      <c r="B22" s="7">
        <f>+Financials!I23</f>
        <v>54683334.127399743</v>
      </c>
    </row>
    <row r="23" spans="1:5" x14ac:dyDescent="0.25">
      <c r="A23" t="s">
        <v>106</v>
      </c>
      <c r="B23" s="7">
        <f>-Financials!I15</f>
        <v>-29702842.80821918</v>
      </c>
    </row>
    <row r="24" spans="1:5" x14ac:dyDescent="0.25">
      <c r="A24" s="7" t="str">
        <f>+Financials!H20</f>
        <v>Unrealized Gains / (Losses)</v>
      </c>
      <c r="B24" s="7">
        <f>-Financials!I20-Financials!I19</f>
        <v>0</v>
      </c>
    </row>
    <row r="26" spans="1:5" x14ac:dyDescent="0.25">
      <c r="A26" t="s">
        <v>108</v>
      </c>
    </row>
    <row r="27" spans="1:5" x14ac:dyDescent="0.25">
      <c r="A27" t="s">
        <v>110</v>
      </c>
      <c r="B27" s="7">
        <f>+Financials!B7-Financials!M9</f>
        <v>0</v>
      </c>
    </row>
    <row r="28" spans="1:5" x14ac:dyDescent="0.25">
      <c r="A28" t="s">
        <v>42</v>
      </c>
      <c r="B28" s="7">
        <f>0-Financials!M11</f>
        <v>-1691666.6666666667</v>
      </c>
    </row>
    <row r="29" spans="1:5" x14ac:dyDescent="0.25">
      <c r="A29" t="s">
        <v>111</v>
      </c>
      <c r="B29" s="7">
        <f>-Financials!E7+Financials!P12</f>
        <v>20383450.831861138</v>
      </c>
    </row>
    <row r="30" spans="1:5" x14ac:dyDescent="0.25">
      <c r="A30" t="s">
        <v>195</v>
      </c>
      <c r="B30" s="7">
        <f>-Financials!E6+Financials!P8+Financials!P9</f>
        <v>-41000000</v>
      </c>
      <c r="E30" s="7"/>
    </row>
    <row r="32" spans="1:5" x14ac:dyDescent="0.25">
      <c r="A32" t="s">
        <v>96</v>
      </c>
      <c r="B32" s="7">
        <f>+B12</f>
        <v>-41000000</v>
      </c>
    </row>
    <row r="33" spans="1:6" x14ac:dyDescent="0.25">
      <c r="A33" t="s">
        <v>120</v>
      </c>
      <c r="B33" s="7">
        <f>+B13</f>
        <v>1100000</v>
      </c>
    </row>
    <row r="35" spans="1:6" ht="16.5" thickBot="1" x14ac:dyDescent="0.3">
      <c r="A35" t="s">
        <v>27</v>
      </c>
      <c r="B35" s="12">
        <f>SUM(B20:B34)</f>
        <v>33773275.48437503</v>
      </c>
      <c r="D35" s="7">
        <f>+B20+B12+B13+B38+B16</f>
        <v>33773275.484375</v>
      </c>
      <c r="E35" s="7"/>
    </row>
    <row r="36" spans="1:6" ht="16.5" thickTop="1" x14ac:dyDescent="0.25"/>
    <row r="37" spans="1:6" ht="16.5" thickBot="1" x14ac:dyDescent="0.3">
      <c r="A37" s="170" t="s">
        <v>154</v>
      </c>
      <c r="B37" s="170"/>
      <c r="C37" s="170"/>
      <c r="D37" s="170"/>
      <c r="E37" s="170"/>
      <c r="F37" s="170"/>
    </row>
    <row r="38" spans="1:6" x14ac:dyDescent="0.25">
      <c r="A38" s="109" t="s">
        <v>114</v>
      </c>
      <c r="B38" s="110">
        <f>+B44</f>
        <v>2672275.4843750005</v>
      </c>
    </row>
    <row r="39" spans="1:6" x14ac:dyDescent="0.25">
      <c r="A39" s="53"/>
      <c r="E39" s="133" t="s">
        <v>79</v>
      </c>
      <c r="F39" s="134"/>
    </row>
    <row r="40" spans="1:6" x14ac:dyDescent="0.25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25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25">
      <c r="A42" t="s">
        <v>1</v>
      </c>
      <c r="B42" s="1">
        <f>IF(Summary!$C$5&lt;'Cash-Int-Trans'!B40,+'Cash-Int-Trans'!B40,Summary!$C$5)</f>
        <v>36880</v>
      </c>
      <c r="E42" s="1">
        <v>36753</v>
      </c>
      <c r="F42" s="48">
        <v>7.2400000000000006E-2</v>
      </c>
    </row>
    <row r="43" spans="1:6" x14ac:dyDescent="0.25">
      <c r="A43" t="s">
        <v>78</v>
      </c>
      <c r="B43" s="3">
        <f>+B42-B40</f>
        <v>175</v>
      </c>
      <c r="E43" s="1">
        <v>36784</v>
      </c>
      <c r="F43" s="48">
        <v>7.1999999999999995E-2</v>
      </c>
    </row>
    <row r="44" spans="1:6" x14ac:dyDescent="0.25">
      <c r="A44" t="s">
        <v>26</v>
      </c>
      <c r="B44" s="54">
        <f>+B41*(F45+0.0045)/360*B43</f>
        <v>2672275.4843750005</v>
      </c>
      <c r="E44" s="1">
        <v>36814</v>
      </c>
      <c r="F44" s="48"/>
    </row>
    <row r="45" spans="1:6" x14ac:dyDescent="0.25">
      <c r="E45" s="51" t="s">
        <v>83</v>
      </c>
      <c r="F45" s="52">
        <f>AVERAGE(F40:F44)</f>
        <v>7.2925000000000004E-2</v>
      </c>
    </row>
    <row r="46" spans="1:6" ht="16.5" thickBot="1" x14ac:dyDescent="0.3">
      <c r="A46" s="170" t="s">
        <v>171</v>
      </c>
      <c r="B46" s="170"/>
      <c r="C46" s="170"/>
      <c r="D46" s="170"/>
      <c r="E46" s="170"/>
      <c r="F46" s="170"/>
    </row>
    <row r="47" spans="1:6" x14ac:dyDescent="0.25">
      <c r="A47" s="109" t="s">
        <v>168</v>
      </c>
      <c r="B47" s="110">
        <f>+B49+B56</f>
        <v>13649861.831861112</v>
      </c>
    </row>
    <row r="48" spans="1:6" x14ac:dyDescent="0.25">
      <c r="A48" s="53"/>
    </row>
    <row r="49" spans="1:6" x14ac:dyDescent="0.25">
      <c r="A49" t="s">
        <v>172</v>
      </c>
      <c r="B49" s="3">
        <f>+Amort!B61</f>
        <v>13533333.333333334</v>
      </c>
      <c r="E49" s="171"/>
      <c r="F49" s="172"/>
    </row>
    <row r="50" spans="1:6" x14ac:dyDescent="0.25">
      <c r="B50" s="3"/>
      <c r="E50" s="133"/>
      <c r="F50" s="134"/>
    </row>
    <row r="51" spans="1:6" x14ac:dyDescent="0.25">
      <c r="A51" t="s">
        <v>179</v>
      </c>
      <c r="B51" s="7"/>
      <c r="E51" s="47"/>
      <c r="F51" s="48"/>
    </row>
    <row r="52" spans="1:6" x14ac:dyDescent="0.25">
      <c r="A52" t="s">
        <v>173</v>
      </c>
      <c r="B52" s="1">
        <v>36791</v>
      </c>
      <c r="E52" s="47"/>
      <c r="F52" s="48"/>
    </row>
    <row r="53" spans="1:6" x14ac:dyDescent="0.25">
      <c r="A53" t="s">
        <v>174</v>
      </c>
      <c r="B53" s="3">
        <f>+B9</f>
        <v>6733589</v>
      </c>
      <c r="E53" s="47"/>
      <c r="F53" s="48"/>
    </row>
    <row r="54" spans="1:6" x14ac:dyDescent="0.25">
      <c r="A54" t="s">
        <v>1</v>
      </c>
      <c r="B54" s="1">
        <f>IF(+Summary!C5&gt;Amort!A43,Amort!A43,Summary!C5)</f>
        <v>36880</v>
      </c>
    </row>
    <row r="55" spans="1:6" x14ac:dyDescent="0.25">
      <c r="A55" t="s">
        <v>78</v>
      </c>
      <c r="B55" s="3">
        <f>+B54-B52</f>
        <v>89</v>
      </c>
    </row>
    <row r="56" spans="1:6" x14ac:dyDescent="0.25">
      <c r="A56" t="s">
        <v>178</v>
      </c>
      <c r="B56" s="54">
        <f>+B53*0.07/360*B55</f>
        <v>116528.49852777779</v>
      </c>
    </row>
    <row r="58" spans="1:6" ht="16.5" thickBot="1" x14ac:dyDescent="0.3">
      <c r="A58" s="170" t="s">
        <v>183</v>
      </c>
      <c r="B58" s="170"/>
      <c r="C58" s="170"/>
      <c r="D58" s="170"/>
      <c r="E58" s="170"/>
      <c r="F58" s="170"/>
    </row>
    <row r="60" spans="1:6" x14ac:dyDescent="0.25">
      <c r="A60" t="s">
        <v>124</v>
      </c>
      <c r="B60" s="1">
        <f>+Summary!C5</f>
        <v>36880</v>
      </c>
    </row>
    <row r="61" spans="1:6" x14ac:dyDescent="0.25">
      <c r="A61" t="s">
        <v>184</v>
      </c>
      <c r="B61" s="1">
        <v>36706</v>
      </c>
      <c r="D61" s="4">
        <f>IF(B60&gt;(B61-1),30000000,0)</f>
        <v>30000000</v>
      </c>
    </row>
    <row r="62" spans="1:6" x14ac:dyDescent="0.25">
      <c r="A62" t="s">
        <v>185</v>
      </c>
      <c r="B62" s="1">
        <v>36791</v>
      </c>
      <c r="D62" s="4">
        <f>IF(B60&gt;(B62-1),1100000,0)</f>
        <v>1100000</v>
      </c>
    </row>
    <row r="63" spans="1:6" ht="18" x14ac:dyDescent="0.4">
      <c r="A63" t="s">
        <v>186</v>
      </c>
      <c r="B63" s="1">
        <f>+Summary!C5</f>
        <v>36880</v>
      </c>
      <c r="D63" s="135">
        <f>IF(B63&gt;B62,+(+B63-B62)/365*0.12*D62,0)</f>
        <v>32186.301369863013</v>
      </c>
    </row>
    <row r="64" spans="1:6" x14ac:dyDescent="0.25">
      <c r="A64" t="s">
        <v>187</v>
      </c>
      <c r="D64" s="5">
        <f>SUM(D61:D63)</f>
        <v>31132186.301369864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165</v>
      </c>
      <c r="B1" s="6"/>
      <c r="G1" s="8"/>
      <c r="H1" s="8"/>
    </row>
    <row r="2" spans="1:9" x14ac:dyDescent="0.25">
      <c r="B2" s="111" t="s">
        <v>155</v>
      </c>
    </row>
    <row r="3" spans="1:9" x14ac:dyDescent="0.25">
      <c r="A3" s="7" t="s">
        <v>20</v>
      </c>
      <c r="B3" s="112">
        <v>50000000</v>
      </c>
    </row>
    <row r="4" spans="1:9" x14ac:dyDescent="0.25">
      <c r="A4" s="7" t="s">
        <v>21</v>
      </c>
      <c r="B4" s="113">
        <v>7.0000000000000007E-2</v>
      </c>
    </row>
    <row r="5" spans="1:9" x14ac:dyDescent="0.25">
      <c r="A5" s="7" t="s">
        <v>22</v>
      </c>
      <c r="B5" s="114">
        <f>5*12</f>
        <v>60</v>
      </c>
    </row>
    <row r="6" spans="1:9" x14ac:dyDescent="0.25">
      <c r="A6" s="7" t="s">
        <v>23</v>
      </c>
      <c r="B6" s="115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169</v>
      </c>
    </row>
    <row r="10" spans="1:9" x14ac:dyDescent="0.25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25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6"/>
      <c r="B22" s="116"/>
    </row>
    <row r="23" spans="1:9" s="103" customFormat="1" x14ac:dyDescent="0.25">
      <c r="A23" s="173">
        <f>+Summary!C5</f>
        <v>36880</v>
      </c>
      <c r="B23" s="173"/>
      <c r="E23" s="103" t="s">
        <v>91</v>
      </c>
      <c r="F23" s="103">
        <f>VLOOKUP(+A23,Amort,2)</f>
        <v>0</v>
      </c>
    </row>
    <row r="24" spans="1:9" s="103" customFormat="1" x14ac:dyDescent="0.25">
      <c r="A24" s="103" t="s">
        <v>88</v>
      </c>
      <c r="B24" s="103">
        <v>0</v>
      </c>
      <c r="E24" s="103" t="s">
        <v>1</v>
      </c>
      <c r="F24" s="116">
        <f>VLOOKUP(+A23,Amort,1)</f>
        <v>36706</v>
      </c>
    </row>
    <row r="25" spans="1:9" s="103" customFormat="1" x14ac:dyDescent="0.25">
      <c r="A25" s="103" t="s">
        <v>89</v>
      </c>
      <c r="B25" s="129">
        <f>VLOOKUP(+A23,Note,8)</f>
        <v>0</v>
      </c>
      <c r="E25" s="103" t="s">
        <v>92</v>
      </c>
      <c r="F25" s="103">
        <f>VLOOKUP(+F23+1,NotePeriod,5)</f>
        <v>1779166.6666666667</v>
      </c>
    </row>
    <row r="26" spans="1:9" s="103" customFormat="1" x14ac:dyDescent="0.25">
      <c r="A26" s="116" t="s">
        <v>90</v>
      </c>
      <c r="B26" s="103">
        <f>+B24+B25</f>
        <v>0</v>
      </c>
      <c r="E26" s="103" t="s">
        <v>93</v>
      </c>
      <c r="F26" s="116">
        <f>VLOOKUP(+F23+1,NotePeriod,8)</f>
        <v>36889</v>
      </c>
    </row>
    <row r="27" spans="1:9" s="103" customFormat="1" x14ac:dyDescent="0.25">
      <c r="A27" s="116" t="s">
        <v>94</v>
      </c>
      <c r="B27" s="103">
        <f>A23-F24</f>
        <v>174</v>
      </c>
      <c r="E27" s="116"/>
    </row>
    <row r="28" spans="1:9" s="103" customFormat="1" x14ac:dyDescent="0.25">
      <c r="A28" s="116" t="s">
        <v>28</v>
      </c>
      <c r="B28" s="103">
        <f>F25*B27/(F26-F24)</f>
        <v>1691666.6666666667</v>
      </c>
    </row>
    <row r="29" spans="1:9" s="103" customFormat="1" x14ac:dyDescent="0.25">
      <c r="A29" s="116" t="s">
        <v>29</v>
      </c>
      <c r="B29" s="103">
        <f>+B25+B28</f>
        <v>1691666.6666666667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166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91</v>
      </c>
      <c r="C41" s="10" t="s">
        <v>25</v>
      </c>
      <c r="D41" s="10" t="s">
        <v>176</v>
      </c>
      <c r="E41" s="10" t="s">
        <v>20</v>
      </c>
      <c r="F41" s="10" t="s">
        <v>26</v>
      </c>
      <c r="G41" s="10" t="s">
        <v>27</v>
      </c>
      <c r="H41" s="10" t="s">
        <v>169</v>
      </c>
    </row>
    <row r="42" spans="1:9" s="103" customFormat="1" x14ac:dyDescent="0.25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25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25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25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25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25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25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25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25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5" thickTop="1" x14ac:dyDescent="0.25">
      <c r="A54" s="116"/>
      <c r="B54" s="116"/>
    </row>
    <row r="55" spans="1:9" s="103" customFormat="1" x14ac:dyDescent="0.25">
      <c r="A55" s="173">
        <f>+Summary!C5</f>
        <v>36880</v>
      </c>
      <c r="B55" s="173"/>
      <c r="E55" s="103" t="s">
        <v>91</v>
      </c>
      <c r="F55" s="103">
        <f>VLOOKUP(+A55,Note,2)</f>
        <v>0</v>
      </c>
    </row>
    <row r="56" spans="1:9" x14ac:dyDescent="0.25">
      <c r="A56" s="103"/>
      <c r="B56" s="103"/>
      <c r="C56" s="103"/>
      <c r="D56" s="103"/>
      <c r="E56" s="103" t="s">
        <v>1</v>
      </c>
      <c r="F56" s="116">
        <f>VLOOKUP(+A55,Note,1)</f>
        <v>36706</v>
      </c>
      <c r="G56" s="103"/>
    </row>
    <row r="57" spans="1:9" x14ac:dyDescent="0.25">
      <c r="A57" s="103" t="s">
        <v>170</v>
      </c>
      <c r="B57" s="129">
        <f>VLOOKUP(+A55,Loan,8)</f>
        <v>0</v>
      </c>
      <c r="C57" s="103"/>
      <c r="D57" s="103"/>
      <c r="E57" s="103" t="s">
        <v>92</v>
      </c>
      <c r="F57" s="103">
        <f>VLOOKUP(+F55+1,LoanPeriod,5)</f>
        <v>14233333.333333334</v>
      </c>
      <c r="G57" s="103"/>
    </row>
    <row r="58" spans="1:9" x14ac:dyDescent="0.25">
      <c r="A58" s="116" t="s">
        <v>7</v>
      </c>
      <c r="B58" s="103">
        <f>+B56+B57</f>
        <v>0</v>
      </c>
      <c r="C58" s="103"/>
      <c r="D58" s="103"/>
      <c r="E58" s="103" t="s">
        <v>93</v>
      </c>
      <c r="F58" s="116">
        <f>VLOOKUP(+F55+1,NotePeriod,8)</f>
        <v>36889</v>
      </c>
      <c r="G58" s="103"/>
    </row>
    <row r="59" spans="1:9" x14ac:dyDescent="0.25">
      <c r="A59" s="116" t="s">
        <v>94</v>
      </c>
      <c r="B59" s="103">
        <f>A55-F56</f>
        <v>174</v>
      </c>
      <c r="C59" s="103"/>
      <c r="D59" s="103"/>
      <c r="E59" s="116"/>
      <c r="F59" s="103"/>
      <c r="G59" s="103"/>
    </row>
    <row r="60" spans="1:9" x14ac:dyDescent="0.25">
      <c r="A60" s="116" t="s">
        <v>167</v>
      </c>
      <c r="B60" s="103">
        <f>F57*B59/(F58-F56)</f>
        <v>13533333.333333334</v>
      </c>
      <c r="C60" s="103"/>
      <c r="D60" s="103"/>
      <c r="E60" s="103"/>
      <c r="F60" s="103"/>
      <c r="G60" s="103"/>
    </row>
    <row r="61" spans="1:9" x14ac:dyDescent="0.25">
      <c r="A61" s="116" t="s">
        <v>168</v>
      </c>
      <c r="B61" s="103">
        <f>+B57+B60</f>
        <v>13533333.333333334</v>
      </c>
      <c r="C61" s="103"/>
      <c r="D61" s="103"/>
      <c r="E61" s="103"/>
      <c r="F61" s="103"/>
      <c r="G61" s="103"/>
    </row>
    <row r="63" spans="1:9" x14ac:dyDescent="0.25">
      <c r="A63" s="7" t="s">
        <v>180</v>
      </c>
    </row>
    <row r="64" spans="1:9" x14ac:dyDescent="0.25">
      <c r="A64" s="1">
        <f>+'Cash-Int-Trans'!B52</f>
        <v>36791</v>
      </c>
      <c r="B64" s="7" t="s">
        <v>177</v>
      </c>
      <c r="E64" s="7">
        <f>+'Cash-Int-Trans'!B53</f>
        <v>6733589</v>
      </c>
    </row>
    <row r="65" spans="1:5" x14ac:dyDescent="0.25">
      <c r="A65" s="1">
        <f>+A64</f>
        <v>36791</v>
      </c>
      <c r="B65" s="7" t="s">
        <v>181</v>
      </c>
      <c r="C65" s="1"/>
      <c r="D65" s="1">
        <f>+'Cash-Int-Trans'!B54</f>
        <v>36880</v>
      </c>
      <c r="E65" s="153">
        <f>+'Cash-Int-Trans'!B56</f>
        <v>116528.49852777779</v>
      </c>
    </row>
    <row r="66" spans="1:5" x14ac:dyDescent="0.25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2000-11-07T19:45:10Z</cp:lastPrinted>
  <dcterms:created xsi:type="dcterms:W3CDTF">2000-08-10T21:11:42Z</dcterms:created>
  <dcterms:modified xsi:type="dcterms:W3CDTF">2023-09-17T16:24:26Z</dcterms:modified>
</cp:coreProperties>
</file>