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C67F9A-A579-4367-853F-C66D2C6D14A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<sst xmlns="http://schemas.openxmlformats.org/spreadsheetml/2006/main" count="1571" uniqueCount="579">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</sst>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36881</v>
      </c>
      <c r="D5" s="67" t="s">
        <v>20</v>
      </c>
      <c r="E5" s="68">
        <f>+C5-1</f>
        <v>36880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-301584423.91353792</v>
      </c>
      <c r="D12" s="71">
        <f>+'Daily Position'!S59</f>
        <v>-267573.34567883867</v>
      </c>
      <c r="E12" s="71">
        <f>+C12-D12</f>
        <v>-301316850.56785905</v>
      </c>
      <c r="F12" s="63"/>
    </row>
    <row r="13" spans="1:6" x14ac:dyDescent="0.25">
      <c r="A13" s="62"/>
      <c r="B13" s="64" t="s">
        <v>10</v>
      </c>
      <c r="C13" s="56">
        <f>+C15-C12</f>
        <v>-10194404.035678923</v>
      </c>
      <c r="D13" s="56">
        <f>+D15-D12</f>
        <v>0</v>
      </c>
      <c r="E13" s="56">
        <f>+E15-E12</f>
        <v>-10194404.035678923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-311778827.94921684</v>
      </c>
      <c r="D15" s="57">
        <f>+'Daily Position'!Q59</f>
        <v>-267573.34567883867</v>
      </c>
      <c r="E15" s="57">
        <f>+C15-D15</f>
        <v>-311511254.60353798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-26205101.289999999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1.4762109765378695</v>
      </c>
      <c r="O4" s="264">
        <f>+Summary!$C$5</f>
        <v>36881</v>
      </c>
      <c r="P4" s="4">
        <f t="shared" ref="P4:P9" si="1">IF(O4&lt;B4,0,ROUND((+N4*H4),2)-I4-Q4)</f>
        <v>23207.12000000001</v>
      </c>
      <c r="Q4" s="4">
        <v>0</v>
      </c>
      <c r="R4" s="5">
        <f t="shared" ref="R4:R13" si="2">+P4+Q4</f>
        <v>23207.12000000001</v>
      </c>
      <c r="S4" s="4">
        <v>0</v>
      </c>
      <c r="T4" s="4">
        <f>IF(Summary!$E$5&lt;'Daily Position'!B4,0,ROUND(+U4*H4,2)-I4)</f>
        <v>38255.900000000009</v>
      </c>
      <c r="U4" s="2">
        <f>+VLOOKUP(+Summary!$E$5,wtten,2)</f>
        <v>1.6691441320188194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16.9375</v>
      </c>
      <c r="O5" s="264">
        <f>+Summary!$C$5</f>
        <v>36881</v>
      </c>
      <c r="P5" s="4">
        <f t="shared" si="1"/>
        <v>-46029562.189999998</v>
      </c>
      <c r="Q5" s="4">
        <v>0</v>
      </c>
      <c r="R5" s="5">
        <f t="shared" si="2"/>
        <v>-46029562.189999998</v>
      </c>
      <c r="S5" s="4">
        <v>0</v>
      </c>
      <c r="T5" s="4">
        <f>IF(Summary!$E$5&lt;'Daily Position'!B5,0,ROUND(+U5*H5,2)-I5)</f>
        <v>-48183458.5</v>
      </c>
      <c r="U5" s="2">
        <f>+VLOOKUP(+Summary!$E$5,acpw,2)</f>
        <v>15.25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19.8125</v>
      </c>
      <c r="O6" s="264">
        <f>+Summary!$C$5</f>
        <v>36881</v>
      </c>
      <c r="P6" s="4">
        <f t="shared" si="1"/>
        <v>-156018222.37</v>
      </c>
      <c r="Q6" s="4">
        <v>0</v>
      </c>
      <c r="R6" s="5">
        <f>+P6+Q6</f>
        <v>-156018222.37</v>
      </c>
      <c r="S6" s="4">
        <v>0</v>
      </c>
      <c r="T6" s="4">
        <f>IF(Summary!$E$5&lt;'Daily Position'!B6,0,ROUND(+U6*H6,2)-I6)</f>
        <v>-157043309.25</v>
      </c>
      <c r="U6" s="2">
        <f>+VLOOKUP(+Summary!$E$5,avci,2)</f>
        <v>18.875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4.9833865544885354</v>
      </c>
      <c r="O7" s="264">
        <f>+Summary!$C$5</f>
        <v>36881</v>
      </c>
      <c r="P7" s="4">
        <f t="shared" si="1"/>
        <v>123122.51000000001</v>
      </c>
      <c r="Q7" s="4">
        <v>0</v>
      </c>
      <c r="R7" s="5">
        <f t="shared" si="2"/>
        <v>123122.51000000001</v>
      </c>
      <c r="S7" s="4">
        <v>0</v>
      </c>
      <c r="T7" s="4">
        <f>IF(Summary!$E$5&lt;'Daily Position'!B7,0,ROUND(+U7*H7,2)-I7)</f>
        <v>216263.89</v>
      </c>
      <c r="U7" s="2">
        <f>+VLOOKUP(+Summary!$E$5,wcrzo,2)</f>
        <v>5.5794913609718657</v>
      </c>
      <c r="V7" s="2"/>
      <c r="W7" s="144">
        <f>+N7*H7-'MRP Raptor'!U64</f>
        <v>0</v>
      </c>
      <c r="X7" s="217"/>
    </row>
    <row r="8" spans="1:26" x14ac:dyDescent="0.25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16.5</v>
      </c>
      <c r="O8" s="264">
        <f>+Summary!$C$5</f>
        <v>36881</v>
      </c>
      <c r="P8" s="4">
        <f t="shared" si="1"/>
        <v>-94401781</v>
      </c>
      <c r="Q8" s="4">
        <v>0</v>
      </c>
      <c r="R8" s="5">
        <f>+P8+Q8</f>
        <v>-94401781</v>
      </c>
      <c r="S8" s="4">
        <v>0</v>
      </c>
      <c r="T8" s="4">
        <f>IF(O8&gt;X8-1,IF(Summary!$E$5&lt;'Daily Position'!B8,0,ROUND(+U8*H8,2)-I8),0)</f>
        <v>-96493745.730000004</v>
      </c>
      <c r="U8" s="2">
        <f>IF(O8&gt;X8-1,+VLOOKUP(+Summary!$E$5,cesiv,2),0)</f>
        <v>14.938000000000001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4.34375</v>
      </c>
      <c r="O9" s="264">
        <f>+Summary!$C$5</f>
        <v>36881</v>
      </c>
      <c r="P9" s="4">
        <f t="shared" si="1"/>
        <v>-91708.1</v>
      </c>
      <c r="Q9" s="4">
        <v>0</v>
      </c>
      <c r="R9" s="5">
        <f t="shared" si="2"/>
        <v>-91708.1</v>
      </c>
      <c r="S9" s="4">
        <v>0</v>
      </c>
      <c r="T9" s="4">
        <f>IF(Summary!$E$5&lt;'Daily Position'!B9,0,ROUND(+U9*H9,2)-I9)</f>
        <v>-86093.32</v>
      </c>
      <c r="U9" s="2">
        <f>+VLOOKUP(+Summary!$E$5,pgeo,2)</f>
        <v>4.4375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1.6447368421052631</v>
      </c>
      <c r="O10" s="264">
        <f>+Summary!$C$5</f>
        <v>36881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25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7.5</v>
      </c>
      <c r="O11" s="264">
        <f>+Summary!$C$5</f>
        <v>36881</v>
      </c>
      <c r="P11" s="4">
        <f>IF(O11&lt;B11,0,ROUND((+N11*(H11-L11)),2)-ROUND(((H11-L11)*G11),2))</f>
        <v>-66277.91</v>
      </c>
      <c r="Q11" s="4">
        <f>IF(J11&lt;(O11+1),(+K11-G11)*L11,0)</f>
        <v>0</v>
      </c>
      <c r="R11" s="5">
        <f t="shared" si="2"/>
        <v>-66277.91</v>
      </c>
      <c r="S11" s="4">
        <f>IF(J11&lt;O11,+Q11,0)</f>
        <v>0</v>
      </c>
      <c r="T11" s="4">
        <f>IF(Summary!$E$5&lt;'Daily Position'!B11,0,ROUND(+U11*H11,2)-I11)</f>
        <v>-66277.91</v>
      </c>
      <c r="U11" s="2">
        <f>IF(O11=(X11+1),+'Stock Prices'!N65/(229391/12234952),+VLOOKUP(+Summary!$E$5,qsri,2))</f>
        <v>7.5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25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7.5</v>
      </c>
      <c r="O12" s="264">
        <f>+Summary!$C$5</f>
        <v>36881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437850</v>
      </c>
      <c r="U12" s="2">
        <f>IF(O12=(X12+1),+'Stock Prices'!N66/(229391/12234952),+VLOOKUP(+Summary!$E$5,qsri,2))</f>
        <v>7.5</v>
      </c>
      <c r="V12" s="2"/>
      <c r="W12" s="144"/>
      <c r="X12" s="276">
        <v>36824</v>
      </c>
      <c r="Y12" s="3" t="s">
        <v>574</v>
      </c>
      <c r="Z12" s="1"/>
    </row>
    <row r="13" spans="1:26" x14ac:dyDescent="0.25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7.875</v>
      </c>
      <c r="O13" s="264">
        <f>+Summary!$C$5</f>
        <v>36881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301591.12000000011</v>
      </c>
      <c r="U13" s="2">
        <f>+VLOOKUP(+Summary!$E$5,kwk,2)</f>
        <v>8</v>
      </c>
      <c r="V13" s="2"/>
      <c r="W13" s="144">
        <f>+N13*(H13-L13)-'MRP Raptor'!U84</f>
        <v>0</v>
      </c>
      <c r="X13" s="276"/>
    </row>
    <row r="14" spans="1:26" x14ac:dyDescent="0.25">
      <c r="N14" s="2"/>
      <c r="P14" s="4"/>
      <c r="Q14" s="4"/>
      <c r="R14" s="5"/>
      <c r="T14" s="4"/>
      <c r="U14" s="4"/>
      <c r="V14" s="4"/>
    </row>
    <row r="15" spans="1:26" x14ac:dyDescent="0.25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25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36881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25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36881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25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36881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0</v>
      </c>
      <c r="U18" s="4">
        <f>VLOOKUP(+Summary!$E$5,Privates,V18)</f>
        <v>2136334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25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36881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25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36881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25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36881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25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36881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25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36881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0</v>
      </c>
      <c r="U23" s="4">
        <f>VLOOKUP(+Summary!$E$5,Privates,V23)</f>
        <v>12878050</v>
      </c>
      <c r="V23" s="236">
        <f t="shared" si="6"/>
        <v>9</v>
      </c>
      <c r="W23" s="144">
        <f>+N23-'MRP Raptor'!U29+'Private Cash'!I375</f>
        <v>0</v>
      </c>
    </row>
    <row r="24" spans="1:25" x14ac:dyDescent="0.25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36881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25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23507915.000000194</v>
      </c>
      <c r="O25" s="264">
        <f>+Summary!$C$5</f>
        <v>36881</v>
      </c>
      <c r="P25" s="4">
        <f t="shared" si="4"/>
        <v>1.9371509552001953E-7</v>
      </c>
      <c r="Q25" s="4">
        <v>0</v>
      </c>
      <c r="R25" s="5">
        <f t="shared" si="5"/>
        <v>1.9371509552001953E-7</v>
      </c>
      <c r="S25" s="4">
        <v>0</v>
      </c>
      <c r="T25" s="4">
        <f t="shared" si="7"/>
        <v>1.8998980522155762E-7</v>
      </c>
      <c r="U25" s="4">
        <f>VLOOKUP(+Summary!$E$5,Privates,V25)</f>
        <v>23507915.00000019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25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36881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25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36881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25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36881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25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36881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25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36881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25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36881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25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36881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25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36881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25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36881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25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36881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25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36881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25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36881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25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36881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25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36881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25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36881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25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36881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25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36881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25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36881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25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36881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25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36881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25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36881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25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36881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25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25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1.4762109765378695</v>
      </c>
      <c r="O50" s="264">
        <f>+Summary!$C$5</f>
        <v>36881</v>
      </c>
      <c r="P50" s="4">
        <f>IF(O50&lt;B50,0,ROUND((+N50*H50),2)-I50-Q50)</f>
        <v>13970.680000000008</v>
      </c>
      <c r="Q50" s="4">
        <v>0</v>
      </c>
      <c r="R50" s="5">
        <f t="shared" ref="R50:R56" si="8">+P50+Q50</f>
        <v>13970.680000000008</v>
      </c>
      <c r="S50" s="4">
        <v>0</v>
      </c>
      <c r="T50" s="4">
        <f>IF(Summary!$E$5&lt;'Daily Position'!B50,0,ROUND(+U50*H50,2)-I50)</f>
        <v>23030.050000000003</v>
      </c>
      <c r="U50" s="69">
        <f>+U4</f>
        <v>1.6691441320188194</v>
      </c>
      <c r="V50" s="2"/>
      <c r="W50" s="144">
        <f>+N50*H50-'MRP Raptor'!U22</f>
        <v>0</v>
      </c>
    </row>
    <row r="51" spans="1:24" x14ac:dyDescent="0.25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1.6447368421052631</v>
      </c>
      <c r="O51" s="264">
        <f>+Summary!$C$5</f>
        <v>36881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25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7.5</v>
      </c>
      <c r="O52" s="264">
        <f>+Summary!$C$5</f>
        <v>36881</v>
      </c>
      <c r="P52" s="4">
        <f>IF(O52&lt;B52,0,ROUND((+N52*(H52-L52)),2)-ROUND(((H52-L52)*G52),2))</f>
        <v>-39899.300000000003</v>
      </c>
      <c r="Q52" s="4">
        <f>IF(J52&lt;(O52+1),(+K52-G52)*L52,0)</f>
        <v>0</v>
      </c>
      <c r="R52" s="5">
        <f t="shared" si="8"/>
        <v>-39899.300000000003</v>
      </c>
      <c r="S52" s="4">
        <f>IF(J52&lt;O52,+Q52,0)</f>
        <v>0</v>
      </c>
      <c r="T52" s="4">
        <f>IF(Summary!$E$5&lt;'Daily Position'!B52,0,ROUND(+U52*H52,2)-I52)</f>
        <v>-39899.300000000003</v>
      </c>
      <c r="U52" s="69">
        <f>+U11</f>
        <v>7.5</v>
      </c>
      <c r="V52" s="2"/>
      <c r="W52" s="144">
        <f>+N52*(H52+H53-L52-L53)-'MRP Raptor'!U41</f>
        <v>0</v>
      </c>
      <c r="X52" s="217"/>
    </row>
    <row r="53" spans="1:24" x14ac:dyDescent="0.25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7.5</v>
      </c>
      <c r="O53" s="264">
        <f>+Summary!$C$5</f>
        <v>36881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263585.7</v>
      </c>
      <c r="U53" s="69">
        <f>+U12</f>
        <v>7.5</v>
      </c>
      <c r="V53" s="2"/>
      <c r="W53" s="144"/>
      <c r="X53" s="217"/>
    </row>
    <row r="54" spans="1:24" x14ac:dyDescent="0.25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7.875</v>
      </c>
      <c r="O54" s="264">
        <f>+Summary!$C$5</f>
        <v>36881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181557.85999999987</v>
      </c>
      <c r="U54" s="69">
        <f>+U13</f>
        <v>8</v>
      </c>
      <c r="V54" s="2"/>
      <c r="W54" s="144">
        <f>+N54*(H54-L54)-'MRP Raptor'!U42</f>
        <v>0</v>
      </c>
      <c r="X54" s="217"/>
    </row>
    <row r="55" spans="1:24" x14ac:dyDescent="0.25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36881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25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36881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25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5" thickBot="1" x14ac:dyDescent="0.3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-311511254.60353792</v>
      </c>
      <c r="Q59" s="78">
        <f>SUM(Q3:Q58)</f>
        <v>-267573.34567883867</v>
      </c>
      <c r="R59" s="78">
        <f>SUM(R3:R58)</f>
        <v>-311778827.94921684</v>
      </c>
      <c r="S59" s="243">
        <f>SUM(S3:S58)</f>
        <v>-267573.34567883867</v>
      </c>
      <c r="T59" s="78">
        <f>SUM(T3:T58)</f>
        <v>-301584423.91353792</v>
      </c>
      <c r="U59" s="219"/>
      <c r="V59" s="219"/>
      <c r="W59" s="78">
        <f>SUM(W3:W58)</f>
        <v>-0.19387999922037125</v>
      </c>
    </row>
    <row r="60" spans="1:24" ht="16.5" thickTop="1" x14ac:dyDescent="0.25"/>
    <row r="61" spans="1:24" x14ac:dyDescent="0.25">
      <c r="G61" s="2" t="s">
        <v>571</v>
      </c>
      <c r="W61" s="5"/>
    </row>
    <row r="62" spans="1:24" x14ac:dyDescent="0.25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25">
      <c r="G63" s="2" t="s">
        <v>341</v>
      </c>
      <c r="I63" s="4">
        <f>+I20</f>
        <v>12500000</v>
      </c>
      <c r="W63" s="5"/>
    </row>
    <row r="64" spans="1:24" x14ac:dyDescent="0.25">
      <c r="W64" s="224"/>
    </row>
    <row r="65" spans="7:23" x14ac:dyDescent="0.25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104" activePane="bottomLeft" state="frozen"/>
      <selection pane="bottomLeft" activeCell="A105" sqref="A105:B105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25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25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25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36881</v>
      </c>
      <c r="C377" s="264">
        <f>+E377</f>
        <v>36881</v>
      </c>
      <c r="E377" s="264">
        <f>+'MRP Raptor'!$U$3</f>
        <v>36881</v>
      </c>
      <c r="F377" s="128">
        <f>INDEX([0]!MPRR, MATCH("Avici EBS Raptor I",'MRP Raptor'!$E$3:$E$140,), MATCH("Per Share",'MRP Raptor'!$E$3:$CM$3,))</f>
        <v>19.8125</v>
      </c>
      <c r="G377" s="264">
        <f>+'MRP Raptor'!$U$3</f>
        <v>36881</v>
      </c>
      <c r="H377" s="128">
        <f>INDEX([0]!MPRR, MATCH("Active Power Raptor I",'MRP Raptor'!$E$3:$E$140,), MATCH("Per Share",'MRP Raptor'!$E$3:$CM$3,))</f>
        <v>16.9375</v>
      </c>
      <c r="I377" s="264">
        <f>+'MRP Raptor'!$U$3</f>
        <v>36881</v>
      </c>
      <c r="J377" s="128">
        <f>INDEX([0]!MPRR, MATCH("Place Resources Common Raptor I",'MRP Raptor'!$E$3:$E$140,), MATCH("Per Share",'MRP Raptor'!$E$3:$CM$3,))</f>
        <v>1.6447368421052631</v>
      </c>
      <c r="K377" s="264">
        <f>+'MRP Raptor'!$U$3</f>
        <v>36881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36881</v>
      </c>
      <c r="N377" s="128">
        <f>INDEX([0]!MPRR, MATCH("DevX Energy Common Raptor I",'MRP Raptor'!$E$3:$E$140,), MATCH("Per Share",'MRP Raptor'!$E$3:$CM$3,))</f>
        <v>7.5</v>
      </c>
      <c r="O377" s="264">
        <f>+'MRP Raptor'!$U$3</f>
        <v>36881</v>
      </c>
      <c r="P377" s="128">
        <f>INDEX([0]!MPRR, MATCH("Carrizo Warrants Raptor I",'MRP Raptor'!$E$3:$E$140,), MATCH("Per Share",'MRP Raptor'!$E$3:$CM$3,))</f>
        <v>4.9833865544885354</v>
      </c>
      <c r="Q377" s="264">
        <f>+'MRP Raptor'!$U$3</f>
        <v>36881</v>
      </c>
      <c r="R377" s="128">
        <f>INDEX([0]!MPRR, MATCH("3TEC Warrants Raptor I",'MRP Raptor'!$E$3:$E$140,), MATCH("Per Share",'MRP Raptor'!$E$3:$CM$3,))</f>
        <v>1.4762109765378695</v>
      </c>
      <c r="S377" s="264">
        <f>+'MRP Raptor'!$U$3</f>
        <v>36881</v>
      </c>
      <c r="T377" s="128">
        <f>INDEX([0]!MPRR, MATCH("3TEC Warrants EGF Raptor I",'MRP Raptor'!$E$3:$E$140,), MATCH("Per Share",'MRP Raptor'!$E$3:$CM$3,))</f>
        <v>1.4762109765378695</v>
      </c>
      <c r="U377" s="264">
        <f>+'MRP Raptor'!$U$3</f>
        <v>36881</v>
      </c>
      <c r="V377" s="128">
        <f>INDEX([0]!MPRR, MATCH("Bonus Resources Common Raptor I",'MRP Raptor'!$E$3:$E$140,), MATCH("Per Share",'MRP Raptor'!$E$3:$CM$3,))</f>
        <v>1.9407894736842106</v>
      </c>
      <c r="W377" s="264">
        <f>+'MRP Raptor'!$U$3</f>
        <v>36881</v>
      </c>
      <c r="X377" s="128">
        <f>INDEX([0]!MPRR, MATCH("Paradigm Common Raptor I",'MRP Raptor'!$E$3:$E$140,), MATCH("Per Share",'MRP Raptor'!$E$3:$CM$3,))</f>
        <v>4.34375</v>
      </c>
      <c r="Y377" s="264">
        <f>+'MRP Raptor'!$U$3</f>
        <v>36881</v>
      </c>
      <c r="Z377" s="128">
        <f>INDEX([0]!MPRR, MATCH("Quicksilver Common Raptor I",'MRP Raptor'!$E$3:$E$140,), MATCH("Per Share",'MRP Raptor'!$E$3:$CM$3,))</f>
        <v>7.875</v>
      </c>
      <c r="AA377" s="264">
        <f>+'MRP Raptor'!$U$3</f>
        <v>36881</v>
      </c>
      <c r="AB377" s="128">
        <f>INDEX([0]!MPRR, MATCH("Catalytica Common Raptor I",'MRP Raptor'!$E$3:$E$140,), MATCH("Per Share",'MRP Raptor'!$E$3:$CM$3,))</f>
        <v>16.5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4" workbookViewId="0">
      <selection activeCell="A104" sqref="A104:IV104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36881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23507915.000000194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7686239.174390628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57" workbookViewId="0">
      <selection activeCell="I383" sqref="I383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1.12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-1.9744038581848145E-7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36881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-1507587.5300000003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-1507587.530000004</v>
      </c>
    </row>
    <row r="379" spans="1:33" x14ac:dyDescent="0.25">
      <c r="A379" s="264">
        <f>+'MRP Raptor'!$U$3</f>
        <v>36881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36880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36881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-713159.63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-13228050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0">
        <f>+Summary!C5</f>
        <v>36881</v>
      </c>
      <c r="I2" s="300"/>
      <c r="J2" s="97"/>
      <c r="L2" s="300">
        <f>H2</f>
        <v>36881</v>
      </c>
      <c r="M2" s="300"/>
      <c r="N2" s="300"/>
      <c r="O2" s="300"/>
      <c r="P2" s="300"/>
    </row>
    <row r="3" spans="1:18" ht="16.5" thickBot="1" x14ac:dyDescent="0.3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25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5" thickBot="1" x14ac:dyDescent="0.3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79.313000000000002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36881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40397563.70617789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392164380.87214613</v>
      </c>
      <c r="N10" s="18"/>
      <c r="O10" s="7" t="s">
        <v>121</v>
      </c>
      <c r="P10" s="7">
        <f>IF(I20&gt;0,0,-I20)</f>
        <v>311511254.60353792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36881</v>
      </c>
      <c r="J11" s="13"/>
      <c r="L11" s="7" t="s">
        <v>45</v>
      </c>
      <c r="M11" s="7">
        <f>+Amort!B28</f>
        <v>787500</v>
      </c>
      <c r="O11" s="7" t="s">
        <v>559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386434353.0488835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2782674.8172889818</v>
      </c>
      <c r="J13" s="29"/>
      <c r="L13" s="7" t="s">
        <v>560</v>
      </c>
      <c r="M13" s="7">
        <f>IF(I19&gt;0,I19,0)</f>
        <v>12848073.909999982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2401388.888888889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-237814403.16409749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42164380.872146122</v>
      </c>
      <c r="J15" s="33" t="s">
        <v>59</v>
      </c>
      <c r="L15" s="92" t="s">
        <v>7</v>
      </c>
      <c r="M15" s="12">
        <f>SUM(M8:M14)</f>
        <v>496197518.48832399</v>
      </c>
      <c r="N15" s="20"/>
      <c r="O15" s="92" t="s">
        <v>7</v>
      </c>
      <c r="P15" s="12">
        <f>SUM(P8:P14)</f>
        <v>496197518.48832399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-18534815.048883487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65847777.529440507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496197518.48832399</v>
      </c>
      <c r="Q18" s="107" t="s">
        <v>155</v>
      </c>
    </row>
    <row r="19" spans="1:20" ht="16.5" thickTop="1" x14ac:dyDescent="0.25">
      <c r="H19" s="7" t="s">
        <v>558</v>
      </c>
      <c r="I19" s="7">
        <f>IF(I5&lt;81,(81-I5)*(D14+D15),IF(I5&gt;116,(116-I5)*(+D14+D15),0))</f>
        <v>12848073.909999982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-311511254.60353792</v>
      </c>
      <c r="L20" s="7" t="s">
        <v>154</v>
      </c>
      <c r="M20" s="93">
        <f>+'Daily Position'!I59-M19</f>
        <v>640320139.07000005</v>
      </c>
      <c r="N20" s="93"/>
      <c r="O20" s="93">
        <f>-P10</f>
        <v>-311511254.60353792</v>
      </c>
      <c r="P20" s="27">
        <f>+M20+O20</f>
        <v>328808884.46646214</v>
      </c>
    </row>
    <row r="21" spans="1:20" x14ac:dyDescent="0.25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882686678.95478606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-298930754.03921682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-233082976.50977629</v>
      </c>
      <c r="J23" s="39" t="s">
        <v>66</v>
      </c>
      <c r="L23" s="7" t="s">
        <v>57</v>
      </c>
      <c r="P23" s="7">
        <f>P21*P22</f>
        <v>26657137.70443454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-26657137.70443454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562</v>
      </c>
      <c r="I31" s="16">
        <f>I23</f>
        <v>-233082976.50977629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561</v>
      </c>
      <c r="I32" s="16">
        <f>(D14+D15)*(I5-E14)</f>
        <v>67119191.090000018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36881</v>
      </c>
      <c r="B34" s="13" t="s">
        <v>84</v>
      </c>
      <c r="C34"/>
      <c r="D34"/>
      <c r="E34"/>
      <c r="H34" s="13" t="s">
        <v>150</v>
      </c>
      <c r="I34" s="16">
        <f>-I15</f>
        <v>-42164380.872146122</v>
      </c>
      <c r="J34" s="33" t="s">
        <v>59</v>
      </c>
      <c r="L34" s="7" t="s">
        <v>78</v>
      </c>
      <c r="M34" s="7">
        <f>I23</f>
        <v>-233082976.50977629</v>
      </c>
    </row>
    <row r="35" spans="1:14" ht="16.5" thickBot="1" x14ac:dyDescent="0.3">
      <c r="A35" s="50">
        <f>A34-A33</f>
        <v>247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-26205101.291922398</v>
      </c>
      <c r="J36" s="13"/>
      <c r="L36" s="7" t="s">
        <v>80</v>
      </c>
      <c r="M36" s="7">
        <f>SUM(M33:M35)</f>
        <v>-238081976.50977629</v>
      </c>
    </row>
    <row r="37" spans="1:14" ht="16.5" customHeight="1" thickTop="1" x14ac:dyDescent="0.25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-237814403.16409749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-267573.3456788063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4" t="s">
        <v>113</v>
      </c>
      <c r="B1" s="304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4" t="s">
        <v>108</v>
      </c>
      <c r="B21" s="304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-233082976.50977629</v>
      </c>
    </row>
    <row r="26" spans="1:4" x14ac:dyDescent="0.25">
      <c r="A26" t="s">
        <v>110</v>
      </c>
      <c r="B26" s="7">
        <f>-Financials!I15</f>
        <v>-42164380.872146122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298930754.03921682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-787500</v>
      </c>
    </row>
    <row r="32" spans="1:4" x14ac:dyDescent="0.25">
      <c r="A32" t="s">
        <v>115</v>
      </c>
      <c r="B32" s="7">
        <f>-Financials!E7+Financials!P12</f>
        <v>-13565646.951116502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40397563.70617789</v>
      </c>
      <c r="D38" s="7">
        <f>+B23+B15+B16+B41+B19</f>
        <v>40397563.706177868</v>
      </c>
      <c r="E38" s="7"/>
    </row>
    <row r="39" spans="1:6" ht="16.5" thickTop="1" x14ac:dyDescent="0.25"/>
    <row r="40" spans="1:6" ht="16.5" thickBot="1" x14ac:dyDescent="0.3">
      <c r="A40" s="304" t="s">
        <v>159</v>
      </c>
      <c r="B40" s="304"/>
      <c r="C40" s="304"/>
      <c r="D40" s="304"/>
      <c r="E40" s="304"/>
      <c r="F40" s="304"/>
    </row>
    <row r="41" spans="1:6" x14ac:dyDescent="0.25">
      <c r="A41" s="110" t="s">
        <v>118</v>
      </c>
      <c r="B41" s="111">
        <f>+B47+B53+B59</f>
        <v>2782674.8172889818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36881</v>
      </c>
      <c r="E57" s="1">
        <v>36845</v>
      </c>
      <c r="F57" s="48"/>
    </row>
    <row r="58" spans="1:6" x14ac:dyDescent="0.25">
      <c r="A58" t="s">
        <v>81</v>
      </c>
      <c r="B58" s="3">
        <f>+B57-B55</f>
        <v>81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683577.00123749999</v>
      </c>
    </row>
    <row r="61" spans="1:6" ht="16.5" thickBot="1" x14ac:dyDescent="0.3">
      <c r="A61" s="304" t="s">
        <v>197</v>
      </c>
      <c r="B61" s="304"/>
      <c r="C61" s="304"/>
      <c r="D61" s="304"/>
      <c r="E61" s="304"/>
      <c r="F61" s="304"/>
    </row>
    <row r="62" spans="1:6" x14ac:dyDescent="0.25">
      <c r="A62" s="110" t="s">
        <v>194</v>
      </c>
      <c r="B62" s="111">
        <f>+B64+B71+B77</f>
        <v>18534815.048883487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18903078.682383489</v>
      </c>
      <c r="E64" s="305"/>
      <c r="F64" s="306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4" t="s">
        <v>510</v>
      </c>
      <c r="B79" s="304"/>
      <c r="C79" s="304"/>
      <c r="D79" s="304"/>
      <c r="E79" s="304"/>
      <c r="F79" s="304"/>
    </row>
    <row r="81" spans="1:4" x14ac:dyDescent="0.25">
      <c r="A81" t="s">
        <v>129</v>
      </c>
      <c r="B81" s="1">
        <f>+Summary!C5</f>
        <v>36881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36881</v>
      </c>
      <c r="D84" s="223">
        <f>IF(B84&gt;B83,+(+B84-B83)/365*0.12*D83,0)</f>
        <v>276164.38356164377</v>
      </c>
    </row>
    <row r="85" spans="1:4" x14ac:dyDescent="0.25">
      <c r="A85" t="s">
        <v>514</v>
      </c>
      <c r="D85" s="5">
        <f>SUM(D82:D84)</f>
        <v>36276164.383561641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7">
        <f>+Summary!C5</f>
        <v>36881</v>
      </c>
      <c r="B23" s="307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81</v>
      </c>
      <c r="E27" s="117"/>
    </row>
    <row r="28" spans="1:9" s="104" customFormat="1" x14ac:dyDescent="0.25">
      <c r="A28" s="117" t="s">
        <v>30</v>
      </c>
      <c r="B28" s="104">
        <f>F25*B27/(F26-F24)</f>
        <v>787500</v>
      </c>
    </row>
    <row r="29" spans="1:9" s="104" customFormat="1" x14ac:dyDescent="0.25">
      <c r="A29" s="117" t="s">
        <v>31</v>
      </c>
      <c r="B29" s="104">
        <f>+B25+B28</f>
        <v>2401388.888888889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7">
        <f>+Summary!C5</f>
        <v>36881</v>
      </c>
      <c r="B55" s="307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81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5991967.571272376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18903078.682383489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AD71" sqref="AD71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6.75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.375" hidden="1" customWidth="1"/>
    <col min="47" max="47" width="10.625" hidden="1" customWidth="1"/>
    <col min="48" max="48" width="13.8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8" t="s">
        <v>266</v>
      </c>
      <c r="S1" s="308"/>
      <c r="T1" s="308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9" t="s">
        <v>268</v>
      </c>
      <c r="AE1" s="309"/>
      <c r="AF1" s="309"/>
      <c r="AG1" s="309"/>
      <c r="AH1" s="309"/>
      <c r="AI1" s="309"/>
      <c r="AJ1" s="309"/>
      <c r="AK1" s="309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9" t="s">
        <v>270</v>
      </c>
      <c r="AU1" s="309"/>
      <c r="AV1" s="309"/>
      <c r="AW1" s="309"/>
      <c r="AX1" s="309"/>
      <c r="AY1" s="309"/>
      <c r="AZ1" s="309"/>
      <c r="BA1" s="309"/>
      <c r="BB1" s="151" t="s">
        <v>261</v>
      </c>
      <c r="BC1" s="151" t="s">
        <v>262</v>
      </c>
      <c r="BD1" s="309" t="s">
        <v>271</v>
      </c>
      <c r="BE1" s="309"/>
      <c r="BF1" s="309"/>
      <c r="BG1" s="309"/>
      <c r="BH1" s="309"/>
      <c r="BI1" s="309"/>
      <c r="BJ1" s="309"/>
      <c r="BK1" s="309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9"/>
      <c r="AJ2" s="309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36881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1.6447368421052631</v>
      </c>
      <c r="P7" s="172">
        <v>1.6414970453053186</v>
      </c>
      <c r="Q7" s="172">
        <v>3.239796799944461E-3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1.6447368421052631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1.6447368421052631</v>
      </c>
      <c r="BC7" s="170">
        <v>1.6414970453053186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1.6447368421052631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19.8125</v>
      </c>
      <c r="P10" s="172">
        <v>18.875</v>
      </c>
      <c r="Q10" s="172">
        <v>0.9375</v>
      </c>
      <c r="R10" s="173">
        <v>0</v>
      </c>
      <c r="S10" s="173">
        <v>0</v>
      </c>
      <c r="T10" s="173">
        <v>0</v>
      </c>
      <c r="U10" s="249">
        <v>21663502.625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20638415.75</v>
      </c>
      <c r="AD10" s="170">
        <v>1025086.875</v>
      </c>
      <c r="AE10" s="170">
        <v>0</v>
      </c>
      <c r="AF10" s="170">
        <v>-1025086.875</v>
      </c>
      <c r="AG10" s="170">
        <v>0</v>
      </c>
      <c r="AH10" s="250">
        <v>-82348645.625</v>
      </c>
      <c r="AI10" s="170">
        <v>0</v>
      </c>
      <c r="AJ10" s="170">
        <v>156018222.375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21663502.625</v>
      </c>
      <c r="AS10" s="170">
        <v>19.8125</v>
      </c>
      <c r="AT10" s="170">
        <v>-1435121.625</v>
      </c>
      <c r="AU10" s="170">
        <v>0</v>
      </c>
      <c r="AV10" s="170">
        <v>1435121.625</v>
      </c>
      <c r="AW10" s="170">
        <v>0</v>
      </c>
      <c r="AX10" s="170">
        <v>-156018222.375</v>
      </c>
      <c r="AY10" s="170">
        <v>0</v>
      </c>
      <c r="AZ10" s="170">
        <v>156018222.375</v>
      </c>
      <c r="BA10" s="170">
        <v>0</v>
      </c>
      <c r="BB10" s="170">
        <v>19.8125</v>
      </c>
      <c r="BC10" s="170">
        <v>18.875</v>
      </c>
      <c r="BD10" s="170">
        <v>-2460208.5</v>
      </c>
      <c r="BE10" s="170">
        <v>0</v>
      </c>
      <c r="BF10" s="170">
        <v>2460208.5</v>
      </c>
      <c r="BG10" s="170">
        <v>0</v>
      </c>
      <c r="BH10" s="170">
        <v>-157043309.25</v>
      </c>
      <c r="BI10" s="170">
        <v>0</v>
      </c>
      <c r="BJ10" s="170">
        <v>157043309.25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157043309.25</v>
      </c>
      <c r="BQ10" s="172">
        <v>3</v>
      </c>
      <c r="BR10" s="171">
        <v>3280278</v>
      </c>
      <c r="BS10" s="177">
        <v>58</v>
      </c>
      <c r="BT10" s="171">
        <v>1025086.875</v>
      </c>
      <c r="BU10" s="235">
        <v>0</v>
      </c>
      <c r="BV10" s="171">
        <v>74</v>
      </c>
      <c r="BW10" s="178">
        <v>19.8125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-83373732.5</v>
      </c>
      <c r="CH10" s="170">
        <v>0</v>
      </c>
      <c r="CI10" s="170">
        <v>157043309.25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21663502.625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20638415.75</v>
      </c>
      <c r="AD11" s="184">
        <v>1025086.875</v>
      </c>
      <c r="AE11" s="184">
        <v>0</v>
      </c>
      <c r="AF11" s="184">
        <v>-1025086.875</v>
      </c>
      <c r="AG11" s="184">
        <v>0</v>
      </c>
      <c r="AH11" s="253">
        <v>-82348645.625</v>
      </c>
      <c r="AI11" s="184">
        <v>0</v>
      </c>
      <c r="AJ11" s="184">
        <v>156018222.375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-1435121.625</v>
      </c>
      <c r="AU11" s="184">
        <v>0</v>
      </c>
      <c r="AV11" s="184">
        <v>1435121.625</v>
      </c>
      <c r="AW11" s="184">
        <v>0</v>
      </c>
      <c r="AX11" s="184">
        <v>-156018222.375</v>
      </c>
      <c r="AY11" s="184">
        <v>0</v>
      </c>
      <c r="AZ11" s="184">
        <v>156018222.375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21663502.625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20638415.75</v>
      </c>
      <c r="AD12" s="195">
        <v>1025086.875</v>
      </c>
      <c r="AE12" s="195">
        <v>0</v>
      </c>
      <c r="AF12" s="195">
        <v>-1025086.875</v>
      </c>
      <c r="AG12" s="195">
        <v>0</v>
      </c>
      <c r="AH12" s="256">
        <v>-82348645.625</v>
      </c>
      <c r="AI12" s="195">
        <v>0</v>
      </c>
      <c r="AJ12" s="195">
        <v>156018222.375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-1435121.625</v>
      </c>
      <c r="AU12" s="195">
        <v>0</v>
      </c>
      <c r="AV12" s="195">
        <v>1435121.625</v>
      </c>
      <c r="AW12" s="195">
        <v>0</v>
      </c>
      <c r="AX12" s="195">
        <v>-156018222.375</v>
      </c>
      <c r="AY12" s="195">
        <v>0</v>
      </c>
      <c r="AZ12" s="195">
        <v>156018222.375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3.5198798562780256E-2</v>
      </c>
      <c r="M22" s="171">
        <v>0</v>
      </c>
      <c r="N22" s="171">
        <v>0.31579191324027717</v>
      </c>
      <c r="O22" s="170">
        <v>1.4762109765378695</v>
      </c>
      <c r="P22" s="171">
        <v>1.6691441320188194</v>
      </c>
      <c r="Q22" s="171">
        <v>-0.19293315548094991</v>
      </c>
      <c r="R22" s="173">
        <v>0</v>
      </c>
      <c r="S22" s="173">
        <v>0</v>
      </c>
      <c r="T22" s="173">
        <v>0</v>
      </c>
      <c r="U22" s="249">
        <v>69316.9626143122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78376.331863075684</v>
      </c>
      <c r="AD22" s="170">
        <v>-9059.3692487634835</v>
      </c>
      <c r="AE22" s="170">
        <v>0</v>
      </c>
      <c r="AF22" s="170">
        <v>9059.3692487634835</v>
      </c>
      <c r="AG22" s="170">
        <v>0</v>
      </c>
      <c r="AH22" s="250">
        <v>-15553.423412728065</v>
      </c>
      <c r="AI22" s="170">
        <v>0</v>
      </c>
      <c r="AJ22" s="170">
        <v>-13970.888614312113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23655.625364805332</v>
      </c>
      <c r="AP22" s="170">
        <v>84870.386027040266</v>
      </c>
      <c r="AQ22" s="175">
        <v>1</v>
      </c>
      <c r="AR22" s="170">
        <v>212230.40268045588</v>
      </c>
      <c r="AS22" s="170">
        <v>14.3125</v>
      </c>
      <c r="AT22" s="170">
        <v>-6862.7548622263421</v>
      </c>
      <c r="AU22" s="170">
        <v>0</v>
      </c>
      <c r="AV22" s="170">
        <v>6862.7548622263421</v>
      </c>
      <c r="AW22" s="170">
        <v>0</v>
      </c>
      <c r="AX22" s="170">
        <v>13970.888614312207</v>
      </c>
      <c r="AY22" s="170">
        <v>0</v>
      </c>
      <c r="AZ22" s="170">
        <v>-13970.888614312113</v>
      </c>
      <c r="BA22" s="170">
        <v>9.4587448984384537E-11</v>
      </c>
      <c r="BB22" s="170">
        <v>14.3125</v>
      </c>
      <c r="BC22" s="170">
        <v>14.875</v>
      </c>
      <c r="BD22" s="170">
        <v>2196.6143865371414</v>
      </c>
      <c r="BE22" s="170">
        <v>0</v>
      </c>
      <c r="BF22" s="170">
        <v>-2196.6143865371414</v>
      </c>
      <c r="BG22" s="170">
        <v>0</v>
      </c>
      <c r="BH22" s="170">
        <v>23030.257863075691</v>
      </c>
      <c r="BI22" s="170">
        <v>0</v>
      </c>
      <c r="BJ22" s="170">
        <v>-23030.257863075596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-23030.257863075596</v>
      </c>
      <c r="BQ22" s="171">
        <v>0</v>
      </c>
      <c r="BR22" s="171">
        <v>0</v>
      </c>
      <c r="BS22" s="177">
        <v>42</v>
      </c>
      <c r="BT22" s="171">
        <v>0</v>
      </c>
      <c r="BU22" s="235">
        <v>14828.325078110454</v>
      </c>
      <c r="BV22" s="171">
        <v>368</v>
      </c>
      <c r="BW22" s="178">
        <v>14.3125</v>
      </c>
      <c r="BX22" s="178">
        <v>14.3125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-6494.0541639645817</v>
      </c>
      <c r="CH22" s="170">
        <v>0</v>
      </c>
      <c r="CI22" s="170">
        <v>-23030.257863075596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69316.9626143122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78376.331863075684</v>
      </c>
      <c r="AD23" s="184">
        <v>-9059.3692487634835</v>
      </c>
      <c r="AE23" s="184">
        <v>0</v>
      </c>
      <c r="AF23" s="184">
        <v>9059.3692487634835</v>
      </c>
      <c r="AG23" s="184">
        <v>0</v>
      </c>
      <c r="AH23" s="253">
        <v>-15553.423412728065</v>
      </c>
      <c r="AI23" s="184">
        <v>0</v>
      </c>
      <c r="AJ23" s="184">
        <v>-13970.888614312113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-6862.7548622263421</v>
      </c>
      <c r="AU23" s="184">
        <v>0</v>
      </c>
      <c r="AV23" s="184">
        <v>6862.7548622263421</v>
      </c>
      <c r="AW23" s="184">
        <v>0</v>
      </c>
      <c r="AX23" s="184">
        <v>13970.888614312207</v>
      </c>
      <c r="AY23" s="184">
        <v>0</v>
      </c>
      <c r="AZ23" s="184">
        <v>-13970.888614312113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69316.9626143122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78376.331863075684</v>
      </c>
      <c r="AD24" s="195">
        <v>-9059.3692487634835</v>
      </c>
      <c r="AE24" s="195">
        <v>0</v>
      </c>
      <c r="AF24" s="195">
        <v>9059.3692487634835</v>
      </c>
      <c r="AG24" s="195">
        <v>0</v>
      </c>
      <c r="AH24" s="256">
        <v>-15553.423412728065</v>
      </c>
      <c r="AI24" s="195">
        <v>0</v>
      </c>
      <c r="AJ24" s="195">
        <v>-13970.888614312113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-6862.7548622263421</v>
      </c>
      <c r="AU24" s="195">
        <v>0</v>
      </c>
      <c r="AV24" s="195">
        <v>6862.7548622263421</v>
      </c>
      <c r="AW24" s="195">
        <v>0</v>
      </c>
      <c r="AX24" s="195">
        <v>13970.888614312207</v>
      </c>
      <c r="AY24" s="195">
        <v>0</v>
      </c>
      <c r="AZ24" s="195">
        <v>-13970.888614312113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13228050</v>
      </c>
      <c r="Q29" s="171">
        <v>-13228050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-13228050</v>
      </c>
      <c r="AE29" s="170">
        <v>0</v>
      </c>
      <c r="AF29" s="170">
        <v>13228050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13228050</v>
      </c>
      <c r="BO29" s="170" t="b">
        <v>1</v>
      </c>
      <c r="BP29" s="170">
        <v>0</v>
      </c>
      <c r="BQ29" s="172">
        <v>0</v>
      </c>
      <c r="BR29" s="171">
        <v>0</v>
      </c>
      <c r="BS29" s="177">
        <v>78</v>
      </c>
      <c r="BT29" s="171">
        <v>-13228050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-13228050</v>
      </c>
      <c r="AE31" s="184">
        <v>0</v>
      </c>
      <c r="AF31" s="184">
        <v>13228050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-13228050</v>
      </c>
      <c r="AE32" s="195">
        <v>0</v>
      </c>
      <c r="AF32" s="195">
        <v>13228050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16.9375</v>
      </c>
      <c r="P33" s="172">
        <v>15.25</v>
      </c>
      <c r="Q33" s="172">
        <v>1.6875</v>
      </c>
      <c r="R33" s="173" t="s">
        <v>398</v>
      </c>
      <c r="S33" s="173">
        <v>0</v>
      </c>
      <c r="T33" s="173">
        <v>0</v>
      </c>
      <c r="U33" s="249">
        <v>21618737.0625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19464840.75</v>
      </c>
      <c r="AD33" s="170">
        <v>2153896.3125</v>
      </c>
      <c r="AE33" s="170">
        <v>0</v>
      </c>
      <c r="AF33" s="170">
        <v>-2153896.3125</v>
      </c>
      <c r="AG33" s="170">
        <v>0</v>
      </c>
      <c r="AH33" s="250">
        <v>-57517008.9375</v>
      </c>
      <c r="AI33" s="170">
        <v>0</v>
      </c>
      <c r="AJ33" s="170">
        <v>46029562.1875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21618737.0625</v>
      </c>
      <c r="AS33" s="170">
        <v>16.9375</v>
      </c>
      <c r="AT33" s="170">
        <v>4148244.75</v>
      </c>
      <c r="AU33" s="170">
        <v>0</v>
      </c>
      <c r="AV33" s="170">
        <v>-4148244.75</v>
      </c>
      <c r="AW33" s="170">
        <v>0</v>
      </c>
      <c r="AX33" s="170">
        <v>-46029562.1875</v>
      </c>
      <c r="AY33" s="170">
        <v>0</v>
      </c>
      <c r="AZ33" s="170">
        <v>46029562.1875</v>
      </c>
      <c r="BA33" s="170">
        <v>0</v>
      </c>
      <c r="BB33" s="170">
        <v>16.9375</v>
      </c>
      <c r="BC33" s="170">
        <v>15.25</v>
      </c>
      <c r="BD33" s="170">
        <v>1994348.4375</v>
      </c>
      <c r="BE33" s="170">
        <v>0</v>
      </c>
      <c r="BF33" s="170">
        <v>-1994348.4375</v>
      </c>
      <c r="BG33" s="170">
        <v>0</v>
      </c>
      <c r="BH33" s="170">
        <v>-48183458.5</v>
      </c>
      <c r="BI33" s="170">
        <v>0</v>
      </c>
      <c r="BJ33" s="170">
        <v>48183458.5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48183458.5</v>
      </c>
      <c r="BQ33" s="172">
        <v>0</v>
      </c>
      <c r="BR33" s="171">
        <v>0</v>
      </c>
      <c r="BS33" s="177">
        <v>70</v>
      </c>
      <c r="BT33" s="171">
        <v>2153896.3125</v>
      </c>
      <c r="BU33" s="235">
        <v>0</v>
      </c>
      <c r="BV33" s="171">
        <v>43</v>
      </c>
      <c r="BW33" s="178">
        <v>16.9375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-59670905.25</v>
      </c>
      <c r="CH33" s="170">
        <v>0</v>
      </c>
      <c r="CI33" s="170">
        <v>48183458.5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21618737.0625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19464840.75</v>
      </c>
      <c r="AD34" s="184">
        <v>2153896.3125</v>
      </c>
      <c r="AE34" s="184">
        <v>0</v>
      </c>
      <c r="AF34" s="184">
        <v>-2153896.3125</v>
      </c>
      <c r="AG34" s="184">
        <v>0</v>
      </c>
      <c r="AH34" s="253">
        <v>-57517008.9375</v>
      </c>
      <c r="AI34" s="184">
        <v>0</v>
      </c>
      <c r="AJ34" s="184">
        <v>46029562.1875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4148244.75</v>
      </c>
      <c r="AU34" s="184">
        <v>0</v>
      </c>
      <c r="AV34" s="184">
        <v>-4148244.75</v>
      </c>
      <c r="AW34" s="184">
        <v>0</v>
      </c>
      <c r="AX34" s="184">
        <v>-46029562.1875</v>
      </c>
      <c r="AY34" s="184">
        <v>0</v>
      </c>
      <c r="AZ34" s="184">
        <v>46029562.1875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21618737.0625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19464840.75</v>
      </c>
      <c r="AD35" s="195">
        <v>2153896.3125</v>
      </c>
      <c r="AE35" s="195">
        <v>0</v>
      </c>
      <c r="AF35" s="195">
        <v>-2153896.3125</v>
      </c>
      <c r="AG35" s="195">
        <v>0</v>
      </c>
      <c r="AH35" s="256">
        <v>-57517008.9375</v>
      </c>
      <c r="AI35" s="195">
        <v>0</v>
      </c>
      <c r="AJ35" s="195">
        <v>46029562.1875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4148244.75</v>
      </c>
      <c r="AU35" s="195">
        <v>0</v>
      </c>
      <c r="AV35" s="195">
        <v>-4148244.75</v>
      </c>
      <c r="AW35" s="195">
        <v>0</v>
      </c>
      <c r="AX35" s="195">
        <v>-46029562.1875</v>
      </c>
      <c r="AY35" s="195">
        <v>0</v>
      </c>
      <c r="AZ35" s="195">
        <v>46029562.1875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1.6447368421052631</v>
      </c>
      <c r="P37" s="172">
        <v>1.6414970453053186</v>
      </c>
      <c r="Q37" s="172">
        <v>3.239796799944461E-3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1.6447368421052631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1.6447368421052631</v>
      </c>
      <c r="BC37" s="170">
        <v>1.6414970453053186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1.6447368421052631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7.5</v>
      </c>
      <c r="P41" s="172">
        <v>7.5</v>
      </c>
      <c r="Q41" s="172">
        <v>0</v>
      </c>
      <c r="R41" s="173">
        <v>0</v>
      </c>
      <c r="S41" s="173">
        <v>0</v>
      </c>
      <c r="T41" s="173">
        <v>0</v>
      </c>
      <c r="U41" s="249">
        <v>45757.719000000034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45757.719000000034</v>
      </c>
      <c r="AD41" s="170">
        <v>0</v>
      </c>
      <c r="AE41" s="170">
        <v>0</v>
      </c>
      <c r="AF41" s="170">
        <v>0</v>
      </c>
      <c r="AG41" s="170">
        <v>0</v>
      </c>
      <c r="AH41" s="250">
        <v>339983.16256800009</v>
      </c>
      <c r="AI41" s="170">
        <v>0</v>
      </c>
      <c r="AJ41" s="170">
        <v>-185308.71899999998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45757.719000000034</v>
      </c>
      <c r="AS41" s="170">
        <v>7.5</v>
      </c>
      <c r="AT41" s="170">
        <v>18586.020075</v>
      </c>
      <c r="AU41" s="170">
        <v>0</v>
      </c>
      <c r="AV41" s="170">
        <v>-18586.020075</v>
      </c>
      <c r="AW41" s="170">
        <v>0</v>
      </c>
      <c r="AX41" s="170">
        <v>185308.7190000001</v>
      </c>
      <c r="AY41" s="170">
        <v>0</v>
      </c>
      <c r="AZ41" s="170">
        <v>-185308.71899999998</v>
      </c>
      <c r="BA41" s="170">
        <v>0</v>
      </c>
      <c r="BB41" s="170">
        <v>7.5</v>
      </c>
      <c r="BC41" s="170">
        <v>7.5</v>
      </c>
      <c r="BD41" s="170">
        <v>18586.020075</v>
      </c>
      <c r="BE41" s="170">
        <v>0</v>
      </c>
      <c r="BF41" s="170">
        <v>-18586.020075</v>
      </c>
      <c r="BG41" s="170">
        <v>0</v>
      </c>
      <c r="BH41" s="170">
        <v>185308.7190000001</v>
      </c>
      <c r="BI41" s="170">
        <v>0</v>
      </c>
      <c r="BJ41" s="170">
        <v>-185308.71899999998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-185308.71899999998</v>
      </c>
      <c r="BQ41" s="171">
        <v>0</v>
      </c>
      <c r="BR41" s="171">
        <v>0</v>
      </c>
      <c r="BS41" s="177">
        <v>41</v>
      </c>
      <c r="BT41" s="171">
        <v>0</v>
      </c>
      <c r="BU41" s="235">
        <v>6101.0292000000045</v>
      </c>
      <c r="BV41" s="171">
        <v>355</v>
      </c>
      <c r="BW41" s="178">
        <v>7.5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339983.16256800009</v>
      </c>
      <c r="CH41" s="170">
        <v>0</v>
      </c>
      <c r="CI41" s="170">
        <v>-185308.71899999998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7.875</v>
      </c>
      <c r="P42" s="172">
        <v>8</v>
      </c>
      <c r="Q42" s="172">
        <v>-0.125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7.875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7.875</v>
      </c>
      <c r="BC42" s="170">
        <v>8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7.875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45757.719000000034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45757.719000000034</v>
      </c>
      <c r="AD43" s="184">
        <v>0</v>
      </c>
      <c r="AE43" s="184">
        <v>0</v>
      </c>
      <c r="AF43" s="184">
        <v>0</v>
      </c>
      <c r="AG43" s="184">
        <v>0</v>
      </c>
      <c r="AH43" s="253">
        <v>-1127004.5407319996</v>
      </c>
      <c r="AI43" s="184">
        <v>0</v>
      </c>
      <c r="AJ43" s="184">
        <v>252850.69580000028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-691910.61135000025</v>
      </c>
      <c r="AU43" s="184">
        <v>0</v>
      </c>
      <c r="AV43" s="184">
        <v>691910.61135000025</v>
      </c>
      <c r="AW43" s="184">
        <v>0</v>
      </c>
      <c r="AX43" s="184">
        <v>-252850.69579999981</v>
      </c>
      <c r="AY43" s="184">
        <v>0</v>
      </c>
      <c r="AZ43" s="184">
        <v>252850.69580000028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3249839.8895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3249839.8895</v>
      </c>
      <c r="AD46" s="195">
        <v>0</v>
      </c>
      <c r="AE46" s="195">
        <v>0</v>
      </c>
      <c r="AF46" s="195">
        <v>0</v>
      </c>
      <c r="AG46" s="195">
        <v>0</v>
      </c>
      <c r="AH46" s="256">
        <v>-939372.32434120425</v>
      </c>
      <c r="AI46" s="195">
        <v>0</v>
      </c>
      <c r="AJ46" s="195">
        <v>140450.38595223031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-691910.61135000025</v>
      </c>
      <c r="AU46" s="195">
        <v>0</v>
      </c>
      <c r="AV46" s="195">
        <v>691910.61135000025</v>
      </c>
      <c r="AW46" s="195">
        <v>0</v>
      </c>
      <c r="AX46" s="195">
        <v>-140450.38595222944</v>
      </c>
      <c r="AY46" s="195">
        <v>0</v>
      </c>
      <c r="AZ46" s="195">
        <v>140450.38595223031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2220747.16</v>
      </c>
      <c r="Q47" s="171">
        <v>-2220747.16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-713159.63</v>
      </c>
      <c r="AE47" s="170">
        <v>0</v>
      </c>
      <c r="AF47" s="170">
        <v>713159.63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352</v>
      </c>
      <c r="BN47" s="170">
        <v>2136334</v>
      </c>
      <c r="BO47" s="170" t="b">
        <v>1</v>
      </c>
      <c r="BP47" s="170">
        <v>0</v>
      </c>
      <c r="BQ47" s="172">
        <v>0</v>
      </c>
      <c r="BR47" s="171">
        <v>0</v>
      </c>
      <c r="BS47" s="177">
        <v>72</v>
      </c>
      <c r="BT47" s="171">
        <v>-713159.63</v>
      </c>
      <c r="BU47" s="235">
        <v>0</v>
      </c>
      <c r="BV47" s="171">
        <v>320</v>
      </c>
      <c r="BW47" s="178">
        <v>0</v>
      </c>
      <c r="BX47" s="178">
        <v>0</v>
      </c>
      <c r="BY47" s="170">
        <v>-1507587.53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-713159.63</v>
      </c>
      <c r="AE48" s="184">
        <v>0</v>
      </c>
      <c r="AF48" s="184">
        <v>713159.63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3.5</v>
      </c>
      <c r="P52" s="172">
        <v>3.75</v>
      </c>
      <c r="Q52" s="172">
        <v>-0.25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1.25</v>
      </c>
      <c r="P53" s="172">
        <v>1.375</v>
      </c>
      <c r="Q53" s="172">
        <v>-0.125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1.25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1.25</v>
      </c>
      <c r="BC53" s="170">
        <v>1.375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1.25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7.5</v>
      </c>
      <c r="P54" s="172">
        <v>7.5</v>
      </c>
      <c r="Q54" s="172">
        <v>0</v>
      </c>
      <c r="R54" s="173" t="s">
        <v>431</v>
      </c>
      <c r="S54" s="173">
        <v>0</v>
      </c>
      <c r="T54" s="173">
        <v>0</v>
      </c>
      <c r="U54" s="249">
        <v>76009.5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76009.5</v>
      </c>
      <c r="AD54" s="170">
        <v>0</v>
      </c>
      <c r="AE54" s="170">
        <v>0</v>
      </c>
      <c r="AF54" s="170">
        <v>0</v>
      </c>
      <c r="AG54" s="170">
        <v>0</v>
      </c>
      <c r="AH54" s="250">
        <v>564756.08400000131</v>
      </c>
      <c r="AI54" s="170">
        <v>0</v>
      </c>
      <c r="AJ54" s="170">
        <v>-307821.65999999997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76009.5</v>
      </c>
      <c r="AS54" s="170">
        <v>7.5</v>
      </c>
      <c r="AT54" s="170">
        <v>30873.787500000166</v>
      </c>
      <c r="AU54" s="170">
        <v>0</v>
      </c>
      <c r="AV54" s="170">
        <v>-30873.787500000166</v>
      </c>
      <c r="AW54" s="170">
        <v>0</v>
      </c>
      <c r="AX54" s="170">
        <v>307821.65999999997</v>
      </c>
      <c r="AY54" s="170">
        <v>0</v>
      </c>
      <c r="AZ54" s="170">
        <v>-307821.65999999997</v>
      </c>
      <c r="BA54" s="170">
        <v>0</v>
      </c>
      <c r="BB54" s="170">
        <v>7.5</v>
      </c>
      <c r="BC54" s="170">
        <v>7.5</v>
      </c>
      <c r="BD54" s="170">
        <v>30873.787500000166</v>
      </c>
      <c r="BE54" s="170">
        <v>0</v>
      </c>
      <c r="BF54" s="170">
        <v>-30873.787500000166</v>
      </c>
      <c r="BG54" s="170">
        <v>0</v>
      </c>
      <c r="BH54" s="170">
        <v>307821.65999999997</v>
      </c>
      <c r="BI54" s="170">
        <v>0</v>
      </c>
      <c r="BJ54" s="170">
        <v>-307821.65999999997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-307821.65999999997</v>
      </c>
      <c r="BQ54" s="172">
        <v>1.1200000000000001</v>
      </c>
      <c r="BR54" s="171">
        <v>11350.752000000008</v>
      </c>
      <c r="BS54" s="177">
        <v>70</v>
      </c>
      <c r="BT54" s="171">
        <v>0</v>
      </c>
      <c r="BU54" s="235">
        <v>10134.6</v>
      </c>
      <c r="BV54" s="171">
        <v>14</v>
      </c>
      <c r="BW54" s="178">
        <v>7.5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564756.08400000131</v>
      </c>
      <c r="CH54" s="170">
        <v>0</v>
      </c>
      <c r="CI54" s="170">
        <v>-307821.65999999997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76009.5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76009.5</v>
      </c>
      <c r="AD55" s="184">
        <v>0</v>
      </c>
      <c r="AE55" s="184">
        <v>0</v>
      </c>
      <c r="AF55" s="184">
        <v>0</v>
      </c>
      <c r="AG55" s="184">
        <v>0</v>
      </c>
      <c r="AH55" s="253">
        <v>564756.08400000131</v>
      </c>
      <c r="AI55" s="184">
        <v>0</v>
      </c>
      <c r="AJ55" s="184">
        <v>-307821.65999999997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30873.787500000166</v>
      </c>
      <c r="AU55" s="184">
        <v>0</v>
      </c>
      <c r="AV55" s="184">
        <v>-30873.787500000166</v>
      </c>
      <c r="AW55" s="184">
        <v>0</v>
      </c>
      <c r="AX55" s="184">
        <v>307821.65999999997</v>
      </c>
      <c r="AY55" s="184">
        <v>0</v>
      </c>
      <c r="AZ55" s="184">
        <v>-307821.65999999997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1.9751582452931515E-2</v>
      </c>
      <c r="M64" s="171">
        <v>0</v>
      </c>
      <c r="N64" s="171">
        <v>0.93538289249350814</v>
      </c>
      <c r="O64" s="170">
        <v>4.9833865544885354</v>
      </c>
      <c r="P64" s="171">
        <v>5.5794913609718657</v>
      </c>
      <c r="Q64" s="171">
        <v>-0.59610480648333031</v>
      </c>
      <c r="R64" s="173" t="s">
        <v>445</v>
      </c>
      <c r="S64" s="173">
        <v>0</v>
      </c>
      <c r="T64" s="173">
        <v>0</v>
      </c>
      <c r="U64" s="249">
        <v>778654.14913883363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871795.52515185403</v>
      </c>
      <c r="AD64" s="170">
        <v>-93141.376013020403</v>
      </c>
      <c r="AE64" s="170">
        <v>0</v>
      </c>
      <c r="AF64" s="170">
        <v>93141.376013020403</v>
      </c>
      <c r="AG64" s="170">
        <v>0</v>
      </c>
      <c r="AH64" s="250">
        <v>-933214.23904531403</v>
      </c>
      <c r="AI64" s="170">
        <v>0</v>
      </c>
      <c r="AJ64" s="170">
        <v>-123122.58259335381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24689.478066164393</v>
      </c>
      <c r="AP64" s="170">
        <v>1711868.3881841477</v>
      </c>
      <c r="AQ64" s="175">
        <v>1</v>
      </c>
      <c r="AR64" s="170">
        <v>1169228.6156168852</v>
      </c>
      <c r="AS64" s="170">
        <v>8</v>
      </c>
      <c r="AT64" s="170">
        <v>-8946.736384057207</v>
      </c>
      <c r="AU64" s="170">
        <v>0</v>
      </c>
      <c r="AV64" s="170">
        <v>8946.736384057207</v>
      </c>
      <c r="AW64" s="170">
        <v>0</v>
      </c>
      <c r="AX64" s="170">
        <v>123122.58259335347</v>
      </c>
      <c r="AY64" s="170">
        <v>0</v>
      </c>
      <c r="AZ64" s="170">
        <v>-123122.58259335381</v>
      </c>
      <c r="BA64" s="170">
        <v>0</v>
      </c>
      <c r="BB64" s="170">
        <v>8</v>
      </c>
      <c r="BC64" s="170">
        <v>8.625</v>
      </c>
      <c r="BD64" s="170">
        <v>84194.639628963196</v>
      </c>
      <c r="BE64" s="170">
        <v>0</v>
      </c>
      <c r="BF64" s="170">
        <v>-84194.639628963196</v>
      </c>
      <c r="BG64" s="170">
        <v>0</v>
      </c>
      <c r="BH64" s="170">
        <v>216263.95860637387</v>
      </c>
      <c r="BI64" s="170">
        <v>0</v>
      </c>
      <c r="BJ64" s="170">
        <v>-216263.95860637422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-216263.95860637422</v>
      </c>
      <c r="BQ64" s="171">
        <v>0</v>
      </c>
      <c r="BR64" s="171">
        <v>0</v>
      </c>
      <c r="BS64" s="177">
        <v>74</v>
      </c>
      <c r="BT64" s="171">
        <v>0</v>
      </c>
      <c r="BU64" s="235">
        <v>146153.57695211066</v>
      </c>
      <c r="BV64" s="171">
        <v>142</v>
      </c>
      <c r="BW64" s="178">
        <v>8</v>
      </c>
      <c r="BX64" s="178">
        <v>8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-840072.86303229362</v>
      </c>
      <c r="CH64" s="170">
        <v>0</v>
      </c>
      <c r="CI64" s="170">
        <v>-216263.95860637422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3.5184136329630585E-2</v>
      </c>
      <c r="M65" s="171">
        <v>0.5</v>
      </c>
      <c r="N65" s="171">
        <v>0.31500737688452901</v>
      </c>
      <c r="O65" s="170">
        <v>1.4762109765378695</v>
      </c>
      <c r="P65" s="171">
        <v>1.6691441320188194</v>
      </c>
      <c r="Q65" s="171">
        <v>-0.19293315548094991</v>
      </c>
      <c r="R65" s="173" t="s">
        <v>446</v>
      </c>
      <c r="S65" s="173">
        <v>0</v>
      </c>
      <c r="T65" s="173">
        <v>0</v>
      </c>
      <c r="U65" s="249">
        <v>115144.45616995382</v>
      </c>
      <c r="V65" s="170" t="s">
        <v>344</v>
      </c>
      <c r="W65" s="170">
        <v>175833.18018473304</v>
      </c>
      <c r="X65" s="170">
        <v>0</v>
      </c>
      <c r="Y65" s="170">
        <v>175833.18018473304</v>
      </c>
      <c r="Z65" s="170">
        <v>0</v>
      </c>
      <c r="AA65" s="170">
        <v>0</v>
      </c>
      <c r="AB65" s="170">
        <v>0</v>
      </c>
      <c r="AC65" s="249">
        <v>130193.24229746791</v>
      </c>
      <c r="AD65" s="170">
        <v>-15048.786127514089</v>
      </c>
      <c r="AE65" s="170">
        <v>0</v>
      </c>
      <c r="AF65" s="170">
        <v>15048.786127514089</v>
      </c>
      <c r="AG65" s="170">
        <v>0</v>
      </c>
      <c r="AH65" s="250">
        <v>-25836.25151615958</v>
      </c>
      <c r="AI65" s="170">
        <v>0</v>
      </c>
      <c r="AJ65" s="170">
        <v>-23207.397969121746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39278.690194991344</v>
      </c>
      <c r="AP65" s="170">
        <v>140980.7076861134</v>
      </c>
      <c r="AQ65" s="175">
        <v>1</v>
      </c>
      <c r="AR65" s="170">
        <v>351666.36036946607</v>
      </c>
      <c r="AS65" s="170">
        <v>14.3125</v>
      </c>
      <c r="AT65" s="170">
        <v>-11399.925020309529</v>
      </c>
      <c r="AU65" s="170">
        <v>0</v>
      </c>
      <c r="AV65" s="170">
        <v>11399.925020309529</v>
      </c>
      <c r="AW65" s="170">
        <v>0</v>
      </c>
      <c r="AX65" s="170">
        <v>23207.39796912171</v>
      </c>
      <c r="AY65" s="170">
        <v>0</v>
      </c>
      <c r="AZ65" s="170">
        <v>-23207.397969121746</v>
      </c>
      <c r="BA65" s="170">
        <v>0</v>
      </c>
      <c r="BB65" s="170">
        <v>14.3125</v>
      </c>
      <c r="BC65" s="170">
        <v>14.875</v>
      </c>
      <c r="BD65" s="170">
        <v>3648.8611072045605</v>
      </c>
      <c r="BE65" s="170">
        <v>0</v>
      </c>
      <c r="BF65" s="170">
        <v>-3648.8611072045605</v>
      </c>
      <c r="BG65" s="170">
        <v>0</v>
      </c>
      <c r="BH65" s="170">
        <v>38256.1840966358</v>
      </c>
      <c r="BI65" s="170">
        <v>0</v>
      </c>
      <c r="BJ65" s="170">
        <v>-38256.184096635836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-38256.184096635836</v>
      </c>
      <c r="BQ65" s="171">
        <v>0</v>
      </c>
      <c r="BR65" s="171">
        <v>0</v>
      </c>
      <c r="BS65" s="177">
        <v>74</v>
      </c>
      <c r="BT65" s="171">
        <v>0</v>
      </c>
      <c r="BU65" s="235">
        <v>24570.575396993263</v>
      </c>
      <c r="BV65" s="171">
        <v>146</v>
      </c>
      <c r="BW65" s="178">
        <v>14.3125</v>
      </c>
      <c r="BX65" s="178">
        <v>14.3125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-10787.465388645491</v>
      </c>
      <c r="CH65" s="170">
        <v>0</v>
      </c>
      <c r="CI65" s="170">
        <v>-38256.184096635836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3.5</v>
      </c>
      <c r="BX66" s="178">
        <v>3.5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893798.60530878743</v>
      </c>
      <c r="V67" s="184"/>
      <c r="W67" s="184">
        <v>665177.08453175705</v>
      </c>
      <c r="X67" s="184">
        <v>0</v>
      </c>
      <c r="Y67" s="184">
        <v>665177.08453175705</v>
      </c>
      <c r="Z67" s="184">
        <v>0</v>
      </c>
      <c r="AA67" s="184">
        <v>0</v>
      </c>
      <c r="AB67" s="184">
        <v>0</v>
      </c>
      <c r="AC67" s="252">
        <v>1001988.7674493219</v>
      </c>
      <c r="AD67" s="184">
        <v>-108190.16214053449</v>
      </c>
      <c r="AE67" s="184">
        <v>0</v>
      </c>
      <c r="AF67" s="184">
        <v>108190.16214053449</v>
      </c>
      <c r="AG67" s="184">
        <v>0</v>
      </c>
      <c r="AH67" s="253">
        <v>-959050.49056147365</v>
      </c>
      <c r="AI67" s="184">
        <v>0</v>
      </c>
      <c r="AJ67" s="184">
        <v>-146329.98056247557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-20346.661404366736</v>
      </c>
      <c r="AU67" s="184">
        <v>0</v>
      </c>
      <c r="AV67" s="184">
        <v>20346.661404366736</v>
      </c>
      <c r="AW67" s="184">
        <v>0</v>
      </c>
      <c r="AX67" s="184">
        <v>146329.98056247516</v>
      </c>
      <c r="AY67" s="184">
        <v>0</v>
      </c>
      <c r="AZ67" s="184">
        <v>-146329.98056247557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47591714.395308785</v>
      </c>
      <c r="V68" s="195"/>
      <c r="W68" s="195">
        <v>12419134.584531756</v>
      </c>
      <c r="X68" s="195">
        <v>0</v>
      </c>
      <c r="Y68" s="195">
        <v>12419134.584531756</v>
      </c>
      <c r="Z68" s="195">
        <v>0</v>
      </c>
      <c r="AA68" s="195">
        <v>0</v>
      </c>
      <c r="AB68" s="195">
        <v>0</v>
      </c>
      <c r="AC68" s="255">
        <v>49920651.717449322</v>
      </c>
      <c r="AD68" s="195">
        <v>-821349.79214053438</v>
      </c>
      <c r="AE68" s="195">
        <v>0</v>
      </c>
      <c r="AF68" s="195">
        <v>821349.79214053438</v>
      </c>
      <c r="AG68" s="195">
        <v>0</v>
      </c>
      <c r="AH68" s="256">
        <v>-1041946.6065614725</v>
      </c>
      <c r="AI68" s="195">
        <v>0</v>
      </c>
      <c r="AJ68" s="195">
        <v>193500.55943752464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-702632.5039043664</v>
      </c>
      <c r="AU68" s="195">
        <v>0</v>
      </c>
      <c r="AV68" s="195">
        <v>702632.5039043664</v>
      </c>
      <c r="AW68" s="195">
        <v>0</v>
      </c>
      <c r="AX68" s="195">
        <v>-193500.55943752505</v>
      </c>
      <c r="AY68" s="195">
        <v>0</v>
      </c>
      <c r="AZ68" s="195">
        <v>193500.55943752464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-19369200.170000002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1.9407894736842106</v>
      </c>
      <c r="P80" s="172">
        <v>1.8713066316480631</v>
      </c>
      <c r="Q80" s="172">
        <v>6.9482842036147519E-2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1.9407894736842106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1.9407894736842106</v>
      </c>
      <c r="BC80" s="170">
        <v>1.8713066316480631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1.9407894736842106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4.34375</v>
      </c>
      <c r="P81" s="172">
        <v>4.4375</v>
      </c>
      <c r="Q81" s="172">
        <v>-9.375E-2</v>
      </c>
      <c r="R81" s="173" t="s">
        <v>467</v>
      </c>
      <c r="S81" s="173">
        <v>0</v>
      </c>
      <c r="T81" s="173">
        <v>0</v>
      </c>
      <c r="U81" s="249">
        <v>260151.53125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265766.3125</v>
      </c>
      <c r="AD81" s="170">
        <v>-5614.78125</v>
      </c>
      <c r="AE81" s="170">
        <v>0</v>
      </c>
      <c r="AF81" s="170">
        <v>5614.78125</v>
      </c>
      <c r="AG81" s="170">
        <v>0</v>
      </c>
      <c r="AH81" s="250">
        <v>-125396.78125</v>
      </c>
      <c r="AI81" s="170">
        <v>0</v>
      </c>
      <c r="AJ81" s="170">
        <v>91708.71875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260151.53125</v>
      </c>
      <c r="AS81" s="170">
        <v>4.34375</v>
      </c>
      <c r="AT81" s="170">
        <v>-13101.15625</v>
      </c>
      <c r="AU81" s="170">
        <v>0</v>
      </c>
      <c r="AV81" s="170">
        <v>13101.15625</v>
      </c>
      <c r="AW81" s="170">
        <v>0</v>
      </c>
      <c r="AX81" s="170">
        <v>-91708.71875</v>
      </c>
      <c r="AY81" s="170">
        <v>0</v>
      </c>
      <c r="AZ81" s="170">
        <v>91708.71875</v>
      </c>
      <c r="BA81" s="170">
        <v>0</v>
      </c>
      <c r="BB81" s="170">
        <v>4.34375</v>
      </c>
      <c r="BC81" s="170">
        <v>4.4375</v>
      </c>
      <c r="BD81" s="170">
        <v>-7486.375</v>
      </c>
      <c r="BE81" s="170">
        <v>0</v>
      </c>
      <c r="BF81" s="170">
        <v>7486.375</v>
      </c>
      <c r="BG81" s="170">
        <v>0</v>
      </c>
      <c r="BH81" s="170">
        <v>-86093.9375</v>
      </c>
      <c r="BI81" s="170">
        <v>0</v>
      </c>
      <c r="BJ81" s="170">
        <v>86093.9375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86093.9375</v>
      </c>
      <c r="BQ81" s="172">
        <v>1.1200000000000001</v>
      </c>
      <c r="BR81" s="171">
        <v>67077.919999999998</v>
      </c>
      <c r="BS81" s="177">
        <v>70</v>
      </c>
      <c r="BT81" s="171">
        <v>-5614.78125</v>
      </c>
      <c r="BU81" s="235">
        <v>59891</v>
      </c>
      <c r="BV81" s="171">
        <v>12</v>
      </c>
      <c r="BW81" s="178">
        <v>4.34375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-119782</v>
      </c>
      <c r="CH81" s="170">
        <v>0</v>
      </c>
      <c r="CI81" s="170">
        <v>86093.9375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16.5</v>
      </c>
      <c r="P83" s="172">
        <v>12.875</v>
      </c>
      <c r="Q83" s="172">
        <v>3.625</v>
      </c>
      <c r="R83" s="173">
        <v>0</v>
      </c>
      <c r="S83" s="173">
        <v>0</v>
      </c>
      <c r="T83" s="173">
        <v>0</v>
      </c>
      <c r="U83" s="249">
        <v>22098219</v>
      </c>
      <c r="V83" s="170" t="s">
        <v>344</v>
      </c>
      <c r="W83" s="170">
        <v>662946.56999999995</v>
      </c>
      <c r="X83" s="170">
        <v>0</v>
      </c>
      <c r="Y83" s="170">
        <v>662946.56999999995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4854911.75</v>
      </c>
      <c r="AE83" s="170">
        <v>0</v>
      </c>
      <c r="AF83" s="170">
        <v>-4854911.75</v>
      </c>
      <c r="AG83" s="170">
        <v>0</v>
      </c>
      <c r="AH83" s="250">
        <v>-38501802</v>
      </c>
      <c r="AI83" s="170">
        <v>0</v>
      </c>
      <c r="AJ83" s="170">
        <v>38501802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22098219</v>
      </c>
      <c r="AS83" s="170">
        <v>16.5</v>
      </c>
      <c r="AT83" s="170">
        <v>-38501802</v>
      </c>
      <c r="AU83" s="170">
        <v>0</v>
      </c>
      <c r="AV83" s="170">
        <v>38501802</v>
      </c>
      <c r="AW83" s="170">
        <v>0</v>
      </c>
      <c r="AX83" s="170">
        <v>-38501802</v>
      </c>
      <c r="AY83" s="170">
        <v>0</v>
      </c>
      <c r="AZ83" s="170">
        <v>38501802</v>
      </c>
      <c r="BA83" s="170">
        <v>0</v>
      </c>
      <c r="BB83" s="170">
        <v>16.5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4854911.75</v>
      </c>
      <c r="BU83" s="235">
        <v>1339286</v>
      </c>
      <c r="BV83" s="171">
        <v>38</v>
      </c>
      <c r="BW83" s="178">
        <v>16.5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7.875</v>
      </c>
      <c r="P84" s="172">
        <v>8</v>
      </c>
      <c r="Q84" s="172">
        <v>-0.125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7.875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7.875</v>
      </c>
      <c r="BC84" s="170">
        <v>8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7.875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22358370.53125</v>
      </c>
      <c r="V85" s="184"/>
      <c r="W85" s="184">
        <v>662946.56999999995</v>
      </c>
      <c r="X85" s="184">
        <v>0</v>
      </c>
      <c r="Y85" s="184">
        <v>662946.56999999995</v>
      </c>
      <c r="Z85" s="184">
        <v>0</v>
      </c>
      <c r="AA85" s="184">
        <v>0</v>
      </c>
      <c r="AB85" s="184">
        <v>0</v>
      </c>
      <c r="AC85" s="252">
        <v>17509073.5625</v>
      </c>
      <c r="AD85" s="184">
        <v>4849296.96875</v>
      </c>
      <c r="AE85" s="184">
        <v>0</v>
      </c>
      <c r="AF85" s="184">
        <v>-4849296.96875</v>
      </c>
      <c r="AG85" s="184">
        <v>0</v>
      </c>
      <c r="AH85" s="253">
        <v>-41064055.431249999</v>
      </c>
      <c r="AI85" s="184">
        <v>0</v>
      </c>
      <c r="AJ85" s="184">
        <v>39321351.181249999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-39695130.118749999</v>
      </c>
      <c r="AU85" s="184">
        <v>0</v>
      </c>
      <c r="AV85" s="184">
        <v>39695130.118749999</v>
      </c>
      <c r="AW85" s="184">
        <v>0</v>
      </c>
      <c r="AX85" s="184">
        <v>-39321351.181249999</v>
      </c>
      <c r="AY85" s="184">
        <v>0</v>
      </c>
      <c r="AZ85" s="184">
        <v>39321351.181249999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143623191.2212339</v>
      </c>
      <c r="V91" s="195"/>
      <c r="W91" s="195">
        <v>662946.56999999995</v>
      </c>
      <c r="X91" s="195">
        <v>0</v>
      </c>
      <c r="Y91" s="195">
        <v>662946.56999999995</v>
      </c>
      <c r="Z91" s="195">
        <v>0</v>
      </c>
      <c r="AA91" s="195">
        <v>0</v>
      </c>
      <c r="AB91" s="195">
        <v>0</v>
      </c>
      <c r="AC91" s="255">
        <v>138773894.2524839</v>
      </c>
      <c r="AD91" s="195">
        <v>4849296.96875</v>
      </c>
      <c r="AE91" s="195">
        <v>0</v>
      </c>
      <c r="AF91" s="195">
        <v>-4849296.96875</v>
      </c>
      <c r="AG91" s="195">
        <v>0</v>
      </c>
      <c r="AH91" s="256">
        <v>-98239730.062789127</v>
      </c>
      <c r="AI91" s="195">
        <v>0</v>
      </c>
      <c r="AJ91" s="195">
        <v>96316690.996890649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-96881697.59875001</v>
      </c>
      <c r="AU91" s="195">
        <v>0</v>
      </c>
      <c r="AV91" s="195">
        <v>96881697.59875001</v>
      </c>
      <c r="AW91" s="195">
        <v>0</v>
      </c>
      <c r="AX91" s="195">
        <v>-96316690.996890649</v>
      </c>
      <c r="AY91" s="195">
        <v>0</v>
      </c>
      <c r="AZ91" s="195">
        <v>96316690.996890649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380559858.42263496</v>
      </c>
      <c r="V92" s="184"/>
      <c r="W92" s="184">
        <v>13082081.154531756</v>
      </c>
      <c r="X92" s="184">
        <v>0</v>
      </c>
      <c r="Y92" s="184">
        <v>13082081.154531756</v>
      </c>
      <c r="Z92" s="184">
        <v>0</v>
      </c>
      <c r="AA92" s="184">
        <v>0</v>
      </c>
      <c r="AB92" s="184">
        <v>0</v>
      </c>
      <c r="AC92" s="252">
        <v>388097624.95777428</v>
      </c>
      <c r="AD92" s="184">
        <v>-6030179.005139295</v>
      </c>
      <c r="AE92" s="184">
        <v>0</v>
      </c>
      <c r="AF92" s="184">
        <v>6030179.005139295</v>
      </c>
      <c r="AG92" s="184">
        <v>0</v>
      </c>
      <c r="AH92" s="253">
        <v>-252971158.82702848</v>
      </c>
      <c r="AI92" s="184">
        <v>0</v>
      </c>
      <c r="AJ92" s="184">
        <v>311679700.07876998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-108750563.6138666</v>
      </c>
      <c r="AU92" s="184">
        <v>0</v>
      </c>
      <c r="AV92" s="184">
        <v>108750563.6138666</v>
      </c>
      <c r="AW92" s="184">
        <v>0</v>
      </c>
      <c r="AX92" s="184">
        <v>-311678327.40801352</v>
      </c>
      <c r="AY92" s="184">
        <v>-1372.6707564118635</v>
      </c>
      <c r="AZ92" s="184">
        <v>311679700.07876998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-43852801.249351166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380559858.42263496</v>
      </c>
      <c r="V93" s="211"/>
      <c r="W93" s="211">
        <v>13082081.154531756</v>
      </c>
      <c r="X93" s="211">
        <v>0</v>
      </c>
      <c r="Y93" s="211">
        <v>13082081.154531756</v>
      </c>
      <c r="Z93" s="211">
        <v>0</v>
      </c>
      <c r="AA93" s="211">
        <v>0</v>
      </c>
      <c r="AB93" s="211">
        <v>0</v>
      </c>
      <c r="AC93" s="258">
        <v>388097624.95777428</v>
      </c>
      <c r="AD93" s="211">
        <v>-6030179.005139295</v>
      </c>
      <c r="AE93" s="211">
        <v>0</v>
      </c>
      <c r="AF93" s="211">
        <v>6030179.005139295</v>
      </c>
      <c r="AG93" s="211">
        <v>0</v>
      </c>
      <c r="AH93" s="259">
        <v>-252971158.82702848</v>
      </c>
      <c r="AI93" s="211">
        <v>0</v>
      </c>
      <c r="AJ93" s="211">
        <v>311679700.07876998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-108750563.6138666</v>
      </c>
      <c r="AU93" s="211">
        <v>0</v>
      </c>
      <c r="AV93" s="211">
        <v>108750563.6138666</v>
      </c>
      <c r="AW93" s="211">
        <v>0</v>
      </c>
      <c r="AX93" s="211">
        <v>-311678327.40801352</v>
      </c>
      <c r="AY93" s="211">
        <v>-1372.6707564118635</v>
      </c>
      <c r="AZ93" s="211">
        <v>311679700.07876998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-43852801.249351166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2023-09-17T16:25:07Z</dcterms:modified>
</cp:coreProperties>
</file>