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0F2737-C767-4B43-B78B-FEAEE5B9C019}" xr6:coauthVersionLast="47" xr6:coauthVersionMax="47" xr10:uidLastSave="{00000000-0000-0000-0000-000000000000}"/>
  <bookViews>
    <workbookView xWindow="-120" yWindow="-120" windowWidth="38640" windowHeight="15720" firstSheet="31" activeTab="31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Risk'!$B$1:$M$42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6" i="11"/>
  <c r="E16" i="11"/>
  <c r="F16" i="11"/>
  <c r="O16" i="11"/>
  <c r="C17" i="11"/>
  <c r="E17" i="11"/>
  <c r="F17" i="11"/>
  <c r="O17" i="11"/>
  <c r="C18" i="11"/>
  <c r="E18" i="11"/>
  <c r="F18" i="11"/>
  <c r="J18" i="11"/>
  <c r="K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C24" i="11"/>
  <c r="E24" i="11"/>
  <c r="F24" i="11"/>
  <c r="L24" i="11"/>
  <c r="O24" i="11"/>
  <c r="L25" i="11"/>
  <c r="F26" i="11"/>
  <c r="L26" i="11"/>
  <c r="O26" i="11"/>
  <c r="L27" i="11"/>
  <c r="L28" i="11"/>
  <c r="O28" i="11"/>
  <c r="L29" i="11"/>
  <c r="E30" i="11"/>
  <c r="F30" i="11"/>
  <c r="K30" i="11"/>
  <c r="L30" i="11"/>
  <c r="C32" i="11"/>
  <c r="E32" i="11"/>
  <c r="C33" i="11"/>
  <c r="E33" i="11"/>
  <c r="C34" i="11"/>
  <c r="E34" i="11"/>
  <c r="L34" i="11"/>
  <c r="C35" i="11"/>
  <c r="E35" i="11"/>
  <c r="C36" i="11"/>
  <c r="E36" i="11"/>
  <c r="C37" i="11"/>
  <c r="E37" i="11"/>
  <c r="C38" i="11"/>
  <c r="E38" i="11"/>
  <c r="C39" i="11"/>
  <c r="E39" i="11"/>
  <c r="C41" i="11"/>
  <c r="G41" i="11"/>
  <c r="I41" i="11"/>
  <c r="J41" i="11"/>
  <c r="K41" i="11"/>
  <c r="L41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<sst xmlns="http://schemas.openxmlformats.org/spreadsheetml/2006/main" count="4082" uniqueCount="251">
  <si>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</si>
  <si>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</si>
  <si>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</si>
  <si>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</si>
  <si>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</si>
  <si>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</si>
  <si>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</si>
  <si>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</si>
  <si>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</si>
  <si>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</si>
  <si>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</si>
  <si>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</si>
  <si>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</si>
  <si>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</si>
  <si>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</si>
  <si>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</si>
  <si>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</si>
  <si>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</si>
  <si>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</si>
  <si>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</si>
  <si>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</si>
  <si>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</si>
  <si>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</si>
  <si>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</si>
  <si>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</si>
  <si>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</si>
  <si>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</si>
  <si>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</si>
  <si>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</si>
  <si>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</si>
  <si>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</si>
  <si>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</si>
  <si>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</si>
  <si>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</si>
  <si>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</si>
  <si>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</si>
  <si>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</si>
  <si>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</si>
  <si>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</si>
  <si>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</si>
  <si>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</si>
  <si>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</si>
  <si>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</si>
  <si>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</si>
  <si>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</si>
  <si>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</si>
  <si>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</si>
  <si>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</si>
  <si>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</si>
  <si>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</si>
  <si>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</si>
  <si>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</si>
  <si>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</si>
  <si>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</si>
  <si>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</si>
  <si>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</si>
  <si>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</si>
  <si>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</si>
  <si>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</si>
  <si>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</si>
  <si>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</si>
  <si>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</si>
  <si>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</si>
  <si>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</si>
  <si>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</si>
  <si>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</si>
  <si>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</si>
  <si>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</si>
  <si>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</si>
  <si>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</si>
  <si>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</si>
  <si>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</si>
  <si>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</si>
  <si>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</si>
  <si>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</si>
  <si>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</si>
  <si>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</si>
  <si>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</si>
  <si>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</si>
  <si>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</si>
  <si>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</si>
  <si>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</si>
  <si>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</si>
  <si>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</si>
  <si>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</si>
  <si>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</si>
  <si>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</si>
  <si>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</si>
  <si>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</si>
  <si>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</si>
  <si>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</si>
  <si>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</si>
  <si>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</si>
  <si>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</si>
  <si>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</si>
  <si>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</si>
  <si>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</si>
  <si>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</si>
  <si>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</si>
  <si>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</si>
  <si>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</si>
  <si>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</si>
  <si>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</si>
  <si>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</si>
  <si>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</si>
  <si>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</si>
  <si>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</si>
  <si>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</si>
  <si>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</si>
  <si>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</si>
  <si>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</si>
  <si>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</si>
  <si>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</si>
  <si>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</si>
  <si>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</si>
  <si>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</si>
  <si>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</si>
  <si>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</si>
  <si>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</si>
  <si>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</si>
  <si>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</si>
  <si>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</si>
  <si>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</si>
  <si>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</si>
  <si>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</si>
  <si>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</si>
  <si>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</si>
  <si>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</si>
  <si>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</si>
  <si>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</si>
  <si>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</si>
  <si>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</si>
  <si>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</si>
  <si>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</si>
  <si>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</si>
  <si>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</si>
  <si>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</si>
  <si>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</si>
  <si>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</si>
  <si>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</si>
  <si>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</si>
  <si>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</si>
  <si>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</si>
  <si>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</si>
  <si>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</si>
  <si>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</si>
  <si>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</si>
  <si>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</si>
  <si>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</si>
  <si>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</si>
  <si>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</si>
  <si>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</si>
  <si>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</si>
  <si>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</si>
  <si>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</si>
  <si>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</si>
  <si>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</si>
  <si>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</si>
  <si>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</si>
  <si>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</si>
  <si>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</si>
  <si>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</si>
  <si>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</si>
  <si>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</si>
  <si>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</si>
  <si>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</si>
  <si>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</si>
  <si>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</si>
  <si>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</si>
  <si>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</si>
  <si>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</si>
  <si>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</si>
  <si>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</si>
  <si>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</si>
  <si>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</si>
  <si>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</si>
  <si>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</si>
  <si>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</si>
  <si>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</si>
  <si>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</si>
  <si>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</si>
  <si>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</si>
  <si>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</si>
  <si>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</si>
  <si>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</si>
  <si>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</si>
  <si>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</si>
  <si>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</si>
  <si>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</si>
  <si>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</si>
  <si>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</si>
  <si>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</si>
  <si>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</si>
  <si>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</si>
  <si>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</si>
  <si>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</si>
  <si>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</si>
  <si>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</si>
  <si>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</si>
  <si>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</si>
  <si>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</si>
  <si>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</si>
  <si>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</si>
  <si>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</si>
  <si>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</si>
  <si>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</si>
  <si>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</si>
  <si>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</si>
  <si>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</si>
  <si>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</si>
  <si>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</si>
  <si>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</si>
  <si>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</si>
  <si>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</si>
  <si>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</si>
  <si>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</si>
  <si>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</si>
  <si>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</si>
  <si>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</si>
  <si>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</si>
  <si>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</si>
  <si>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</si>
  <si>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</si>
  <si>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</si>
  <si>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</si>
  <si>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</si>
  <si>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</si>
  <si>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</si>
  <si>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</si>
  <si>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</si>
  <si>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</si>
  <si>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</si>
  <si>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</si>
  <si>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</si>
  <si>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</si>
  <si>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</si>
  <si>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</si>
  <si>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</si>
  <si>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</si>
  <si>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</si>
  <si>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</si>
  <si>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</si>
  <si>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</si>
  <si>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</si>
  <si>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</si>
  <si>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</si>
  <si>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</si>
  <si>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</si>
  <si>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</si>
  <si>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>Market Data</t>
  </si>
  <si>
    <t>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</si>
</sst>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0" width="9.140625" hidden="1" customWidth="1"/>
    <col min="21" max="31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42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50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  <col min="14" max="20" width="0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30" width="9.140625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4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6"/>
  <sheetViews>
    <sheetView tabSelected="1" zoomScaleNormal="100" workbookViewId="0">
      <selection activeCell="S29" sqref="S29"/>
    </sheetView>
  </sheetViews>
  <sheetFormatPr defaultRowHeight="12.75" x14ac:dyDescent="0.2"/>
  <cols>
    <col min="2" max="2" width="26" customWidth="1"/>
    <col min="3" max="3" width="19.140625" customWidth="1"/>
    <col min="4" max="4" width="2.5703125" customWidth="1"/>
    <col min="5" max="6" width="13.85546875" customWidth="1"/>
    <col min="7" max="7" width="12.7109375" customWidth="1"/>
    <col min="8" max="8" width="1.7109375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5" spans="1:41" x14ac:dyDescent="0.2">
      <c r="I5" s="15"/>
      <c r="J5" s="15"/>
      <c r="K5" s="15"/>
      <c r="L5" s="15"/>
      <c r="M5" s="15"/>
      <c r="N5" s="15"/>
      <c r="O5" s="15"/>
      <c r="P5" s="15"/>
    </row>
    <row r="6" spans="1:41" x14ac:dyDescent="0.2">
      <c r="C6" s="10">
        <v>37135</v>
      </c>
      <c r="E6" s="44" t="s">
        <v>63</v>
      </c>
      <c r="F6" s="44" t="s">
        <v>65</v>
      </c>
      <c r="I6" s="15"/>
      <c r="J6" s="15" t="s">
        <v>2</v>
      </c>
      <c r="K6" s="15" t="s">
        <v>3</v>
      </c>
      <c r="L6" s="15" t="s">
        <v>109</v>
      </c>
      <c r="M6" s="15"/>
      <c r="N6" s="15"/>
      <c r="O6" s="15" t="s">
        <v>65</v>
      </c>
      <c r="P6" s="15"/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15"/>
      <c r="J7" s="15"/>
      <c r="K7" s="15"/>
      <c r="L7" s="15"/>
      <c r="M7" s="15"/>
      <c r="N7" s="15"/>
      <c r="O7" s="15" t="s">
        <v>8</v>
      </c>
      <c r="P7" s="15"/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L30</f>
        <v>1952400</v>
      </c>
      <c r="I8" s="15"/>
      <c r="J8" s="15"/>
      <c r="K8" s="15"/>
      <c r="L8" s="15"/>
      <c r="M8" s="15"/>
      <c r="N8" s="15"/>
      <c r="O8" s="15">
        <f>+F8/$F$30*$O$30</f>
        <v>177490.90909090909</v>
      </c>
      <c r="P8" s="15"/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15" t="s">
        <v>11</v>
      </c>
      <c r="J9" s="15">
        <v>0</v>
      </c>
      <c r="K9" s="15">
        <f>K30</f>
        <v>11</v>
      </c>
      <c r="L9" s="15">
        <f>L34</f>
        <v>2342880</v>
      </c>
      <c r="M9" s="15"/>
      <c r="N9" s="15"/>
      <c r="O9" s="15">
        <f t="shared" ref="O9:O23" si="0">+F9/$F$30*$O$30</f>
        <v>0</v>
      </c>
      <c r="P9" s="15"/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15"/>
      <c r="J10" s="15"/>
      <c r="K10" s="15"/>
      <c r="L10" s="15"/>
      <c r="M10" s="15"/>
      <c r="N10" s="15"/>
      <c r="O10" s="15">
        <f t="shared" si="0"/>
        <v>0</v>
      </c>
      <c r="P10" s="15"/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L34-L30</f>
        <v>390480</v>
      </c>
      <c r="I11" s="15"/>
      <c r="J11" s="15"/>
      <c r="K11" s="15"/>
      <c r="L11" s="15"/>
      <c r="M11" s="15"/>
      <c r="N11" s="15"/>
      <c r="O11" s="15">
        <f t="shared" si="0"/>
        <v>35498.181818181816</v>
      </c>
      <c r="P11" s="15"/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3" si="1">(E12/$E$30)*$F$30</f>
        <v>62478.107102040813</v>
      </c>
      <c r="I12" s="15" t="s">
        <v>16</v>
      </c>
      <c r="J12" s="15">
        <f>(E12+E13+E14+E16+E17+E18+E19+E20+E21+E22+E23)/E30</f>
        <v>33269.805387755099</v>
      </c>
      <c r="K12" s="15">
        <f>K30</f>
        <v>11</v>
      </c>
      <c r="L12" s="15">
        <f>J12*K12</f>
        <v>365967.85926530609</v>
      </c>
      <c r="M12" s="15"/>
      <c r="N12" s="15"/>
      <c r="O12" s="15">
        <f t="shared" si="0"/>
        <v>5679.8279183673467</v>
      </c>
      <c r="P12" s="15"/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15"/>
      <c r="J13" s="15"/>
      <c r="K13" s="15"/>
      <c r="L13" s="15"/>
      <c r="M13" s="15"/>
      <c r="N13" s="15"/>
      <c r="O13" s="15">
        <f t="shared" si="0"/>
        <v>9599.1095510204086</v>
      </c>
      <c r="P13" s="15"/>
    </row>
    <row r="14" spans="1:41" x14ac:dyDescent="0.2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15" t="s">
        <v>21</v>
      </c>
      <c r="J14" s="15"/>
      <c r="K14" s="15"/>
      <c r="L14" s="15">
        <f>SUM(L9:L12)</f>
        <v>2708847.859265306</v>
      </c>
      <c r="M14" s="15"/>
      <c r="N14" s="15">
        <v>1699109</v>
      </c>
      <c r="O14" s="15">
        <f t="shared" si="0"/>
        <v>2203.4791836734694</v>
      </c>
      <c r="P14" s="15"/>
    </row>
    <row r="15" spans="1:41" x14ac:dyDescent="0.2">
      <c r="A15" s="13"/>
      <c r="B15" s="14" t="s">
        <v>249</v>
      </c>
      <c r="C15" s="15"/>
      <c r="E15" s="20"/>
      <c r="F15" s="21">
        <v>60000</v>
      </c>
      <c r="I15" s="15"/>
      <c r="J15" s="15"/>
      <c r="K15" s="15"/>
      <c r="L15" s="15"/>
      <c r="M15" s="15"/>
      <c r="N15" s="15"/>
      <c r="O15" s="15"/>
      <c r="P15" s="15"/>
    </row>
    <row r="16" spans="1:41" x14ac:dyDescent="0.2">
      <c r="A16" s="13" t="s">
        <v>24</v>
      </c>
      <c r="B16" s="14" t="s">
        <v>25</v>
      </c>
      <c r="C16" s="15">
        <f>'[8]Team Report'!BA33</f>
        <v>48511.92</v>
      </c>
      <c r="E16" s="20">
        <f>((C16/9)*12)*1.2</f>
        <v>77619.072</v>
      </c>
      <c r="F16" s="21">
        <f t="shared" si="1"/>
        <v>17424.689632653062</v>
      </c>
      <c r="I16" s="15"/>
      <c r="J16" s="15"/>
      <c r="K16" s="15"/>
      <c r="L16" s="15"/>
      <c r="M16" s="15"/>
      <c r="N16" s="15"/>
      <c r="O16" s="15">
        <f t="shared" si="0"/>
        <v>1584.0626938775511</v>
      </c>
      <c r="P16" s="15"/>
    </row>
    <row r="17" spans="1:16" x14ac:dyDescent="0.2">
      <c r="A17" s="13" t="s">
        <v>26</v>
      </c>
      <c r="B17" s="14" t="s">
        <v>27</v>
      </c>
      <c r="C17" s="15">
        <f>'[8]Team Report'!BA34</f>
        <v>0</v>
      </c>
      <c r="E17" s="20">
        <f>(C17/9)*12</f>
        <v>0</v>
      </c>
      <c r="F17" s="21">
        <f t="shared" si="1"/>
        <v>0</v>
      </c>
      <c r="I17" s="15"/>
      <c r="J17" s="15"/>
      <c r="K17" s="15"/>
      <c r="L17" s="15"/>
      <c r="M17" s="15"/>
      <c r="N17" s="15"/>
      <c r="O17" s="15">
        <f t="shared" si="0"/>
        <v>0</v>
      </c>
      <c r="P17" s="15"/>
    </row>
    <row r="18" spans="1:16" x14ac:dyDescent="0.2">
      <c r="A18" s="13" t="s">
        <v>29</v>
      </c>
      <c r="B18" s="14" t="s">
        <v>30</v>
      </c>
      <c r="C18" s="15">
        <f>'[8]Team Report'!BA35</f>
        <v>2500</v>
      </c>
      <c r="E18" s="20">
        <f>((C18/9)*12)*1.2</f>
        <v>3999.9999999999995</v>
      </c>
      <c r="F18" s="21">
        <f t="shared" si="1"/>
        <v>897.95918367346917</v>
      </c>
      <c r="I18" s="15" t="s">
        <v>28</v>
      </c>
      <c r="J18" s="15">
        <f>30000*1.2</f>
        <v>36000</v>
      </c>
      <c r="K18" s="15">
        <f>H18*J18</f>
        <v>0</v>
      </c>
      <c r="L18" s="15">
        <f t="shared" ref="L18:L29" si="2">J18*K18</f>
        <v>0</v>
      </c>
      <c r="M18" s="15"/>
      <c r="N18" s="15"/>
      <c r="O18" s="15">
        <f t="shared" si="0"/>
        <v>81.632653061224474</v>
      </c>
      <c r="P18" s="15"/>
    </row>
    <row r="19" spans="1:16" x14ac:dyDescent="0.2">
      <c r="A19" s="13" t="s">
        <v>32</v>
      </c>
      <c r="B19" s="14" t="s">
        <v>33</v>
      </c>
      <c r="C19" s="15">
        <f>'[8]Team Report'!BA36</f>
        <v>0</v>
      </c>
      <c r="E19" s="20">
        <f>(C19/9)*12</f>
        <v>0</v>
      </c>
      <c r="F19" s="21">
        <f t="shared" si="1"/>
        <v>0</v>
      </c>
      <c r="I19" s="15" t="s">
        <v>95</v>
      </c>
      <c r="J19" s="15">
        <v>48000</v>
      </c>
      <c r="K19" s="15">
        <v>1</v>
      </c>
      <c r="L19" s="15">
        <f t="shared" si="2"/>
        <v>48000</v>
      </c>
      <c r="M19" s="15"/>
      <c r="N19" s="15"/>
      <c r="O19" s="15">
        <f t="shared" si="0"/>
        <v>0</v>
      </c>
      <c r="P19" s="15"/>
    </row>
    <row r="20" spans="1:16" x14ac:dyDescent="0.2">
      <c r="A20" s="13" t="s">
        <v>35</v>
      </c>
      <c r="B20" s="14" t="s">
        <v>36</v>
      </c>
      <c r="C20" s="15">
        <f>'[8]Team Report'!BA37</f>
        <v>129576.91999999998</v>
      </c>
      <c r="E20" s="20">
        <f>((C20/9)*12)*1.2</f>
        <v>207323.07199999999</v>
      </c>
      <c r="F20" s="21">
        <f t="shared" si="1"/>
        <v>46541.914122448972</v>
      </c>
      <c r="I20" s="15" t="s">
        <v>34</v>
      </c>
      <c r="J20" s="15">
        <v>49200</v>
      </c>
      <c r="K20" s="15">
        <v>0</v>
      </c>
      <c r="L20" s="15">
        <f t="shared" si="2"/>
        <v>0</v>
      </c>
      <c r="M20" s="15"/>
      <c r="N20" s="15"/>
      <c r="O20" s="15">
        <f t="shared" si="0"/>
        <v>4231.0831020408159</v>
      </c>
      <c r="P20" s="15"/>
    </row>
    <row r="21" spans="1:16" x14ac:dyDescent="0.2">
      <c r="A21" s="13" t="s">
        <v>38</v>
      </c>
      <c r="B21" s="14" t="s">
        <v>39</v>
      </c>
      <c r="C21" s="15">
        <f>'[8]Team Report'!BA38</f>
        <v>10.029999999999999</v>
      </c>
      <c r="E21" s="20">
        <f>((C21/9)*12)*1.2</f>
        <v>16.047999999999998</v>
      </c>
      <c r="F21" s="21">
        <f t="shared" si="1"/>
        <v>3.6026122448979589</v>
      </c>
      <c r="I21" s="15" t="s">
        <v>96</v>
      </c>
      <c r="J21" s="15">
        <v>57600</v>
      </c>
      <c r="K21" s="15">
        <v>0</v>
      </c>
      <c r="L21" s="15">
        <f t="shared" si="2"/>
        <v>0</v>
      </c>
      <c r="M21" s="15"/>
      <c r="N21" s="15"/>
      <c r="O21" s="15">
        <f t="shared" si="0"/>
        <v>0.32751020408163262</v>
      </c>
      <c r="P21" s="15"/>
    </row>
    <row r="22" spans="1:16" x14ac:dyDescent="0.2">
      <c r="A22" s="13" t="s">
        <v>41</v>
      </c>
      <c r="B22" s="14" t="s">
        <v>42</v>
      </c>
      <c r="C22" s="15">
        <f>'[8]Team Report'!BA42</f>
        <v>302115.48</v>
      </c>
      <c r="E22" s="20">
        <f>((C22/9)*12)*1.2</f>
        <v>483384.76799999998</v>
      </c>
      <c r="F22" s="21">
        <f t="shared" si="1"/>
        <v>108514.94791836735</v>
      </c>
      <c r="I22" s="15" t="s">
        <v>46</v>
      </c>
      <c r="J22" s="15">
        <v>72000</v>
      </c>
      <c r="K22" s="15">
        <v>0</v>
      </c>
      <c r="L22" s="15">
        <f t="shared" si="2"/>
        <v>0</v>
      </c>
      <c r="M22" s="15"/>
      <c r="N22" s="15"/>
      <c r="O22" s="15">
        <f t="shared" si="0"/>
        <v>9864.9952653061227</v>
      </c>
      <c r="P22" s="15"/>
    </row>
    <row r="23" spans="1:16" x14ac:dyDescent="0.2">
      <c r="A23" s="13" t="s">
        <v>44</v>
      </c>
      <c r="B23" s="14" t="s">
        <v>45</v>
      </c>
      <c r="C23" s="15">
        <f>'[8]Team Report'!BA44</f>
        <v>774.43</v>
      </c>
      <c r="E23" s="20">
        <f>((C23/9)*12)*1.2</f>
        <v>1239.088</v>
      </c>
      <c r="F23" s="21">
        <f t="shared" si="1"/>
        <v>278.16261224489796</v>
      </c>
      <c r="I23" s="15" t="s">
        <v>37</v>
      </c>
      <c r="J23" s="15">
        <v>62400</v>
      </c>
      <c r="K23" s="15">
        <v>0</v>
      </c>
      <c r="L23" s="15">
        <f t="shared" si="2"/>
        <v>0</v>
      </c>
      <c r="M23" s="15"/>
      <c r="N23" s="15"/>
      <c r="O23" s="15">
        <f t="shared" si="0"/>
        <v>25.287510204081631</v>
      </c>
      <c r="P23" s="15"/>
    </row>
    <row r="24" spans="1:16" x14ac:dyDescent="0.2">
      <c r="A24" s="26" t="s">
        <v>47</v>
      </c>
      <c r="B24" s="27" t="s">
        <v>48</v>
      </c>
      <c r="C24" s="28">
        <f>SUM(C8:C23)</f>
        <v>5422206.8300000001</v>
      </c>
      <c r="E24" s="28">
        <f>SUM(E8:E23)</f>
        <v>8675530.9279999994</v>
      </c>
      <c r="F24" s="28">
        <f>SUM(F8:F23)</f>
        <v>2768847.859265306</v>
      </c>
      <c r="I24" s="15" t="s">
        <v>97</v>
      </c>
      <c r="J24" s="15">
        <v>74400</v>
      </c>
      <c r="K24" s="15">
        <v>1</v>
      </c>
      <c r="L24" s="15">
        <f t="shared" si="2"/>
        <v>74400</v>
      </c>
      <c r="M24" s="15"/>
      <c r="N24" s="15"/>
      <c r="O24" s="15">
        <f>SUM(O8:O23)</f>
        <v>246258.89629684598</v>
      </c>
      <c r="P24" s="15"/>
    </row>
    <row r="25" spans="1:16" x14ac:dyDescent="0.2">
      <c r="I25" s="15" t="s">
        <v>98</v>
      </c>
      <c r="J25" s="15">
        <v>90000</v>
      </c>
      <c r="K25" s="15">
        <v>1</v>
      </c>
      <c r="L25" s="15">
        <f t="shared" si="2"/>
        <v>90000</v>
      </c>
      <c r="M25" s="15"/>
      <c r="N25" s="15"/>
      <c r="O25" s="15"/>
      <c r="P25" s="15"/>
    </row>
    <row r="26" spans="1:16" x14ac:dyDescent="0.2">
      <c r="B26" s="27" t="s">
        <v>51</v>
      </c>
      <c r="C26" s="15"/>
      <c r="E26" s="31">
        <v>44</v>
      </c>
      <c r="F26" s="31">
        <f>+K30</f>
        <v>11</v>
      </c>
      <c r="I26" s="15" t="s">
        <v>99</v>
      </c>
      <c r="J26" s="15">
        <v>160000</v>
      </c>
      <c r="K26" s="15">
        <v>5</v>
      </c>
      <c r="L26" s="15">
        <f t="shared" si="2"/>
        <v>800000</v>
      </c>
      <c r="M26" s="15"/>
      <c r="N26" s="15"/>
      <c r="O26" s="15">
        <f>SUM(U17:U21,U24:U28)</f>
        <v>0</v>
      </c>
      <c r="P26" s="15"/>
    </row>
    <row r="27" spans="1:16" x14ac:dyDescent="0.2">
      <c r="C27" s="15"/>
      <c r="E27" s="15"/>
      <c r="F27" s="15"/>
      <c r="I27" s="15" t="s">
        <v>100</v>
      </c>
      <c r="J27" s="15">
        <v>180000</v>
      </c>
      <c r="K27" s="15"/>
      <c r="L27" s="15">
        <f t="shared" si="2"/>
        <v>0</v>
      </c>
      <c r="M27" s="15"/>
      <c r="N27" s="15"/>
      <c r="O27" s="15"/>
      <c r="P27" s="15"/>
    </row>
    <row r="28" spans="1:16" x14ac:dyDescent="0.2">
      <c r="B28" s="27" t="s">
        <v>103</v>
      </c>
      <c r="C28" s="15"/>
      <c r="E28" s="31">
        <v>5</v>
      </c>
      <c r="F28" s="31">
        <v>0</v>
      </c>
      <c r="I28" s="15" t="s">
        <v>101</v>
      </c>
      <c r="J28" s="15">
        <v>235000</v>
      </c>
      <c r="K28" s="15">
        <v>2</v>
      </c>
      <c r="L28" s="15">
        <f t="shared" si="2"/>
        <v>470000</v>
      </c>
      <c r="M28" s="15"/>
      <c r="N28" s="15"/>
      <c r="O28" s="15">
        <f>SUM(U22:U23)</f>
        <v>0</v>
      </c>
      <c r="P28" s="15"/>
    </row>
    <row r="29" spans="1:16" x14ac:dyDescent="0.2">
      <c r="I29" s="15" t="s">
        <v>250</v>
      </c>
      <c r="J29" s="15">
        <v>470000</v>
      </c>
      <c r="K29" s="15">
        <v>1</v>
      </c>
      <c r="L29" s="15">
        <f t="shared" si="2"/>
        <v>470000</v>
      </c>
      <c r="M29" s="15"/>
      <c r="N29" s="15"/>
      <c r="O29" s="15"/>
      <c r="P29" s="15"/>
    </row>
    <row r="30" spans="1:16" x14ac:dyDescent="0.2">
      <c r="B30" s="27" t="s">
        <v>56</v>
      </c>
      <c r="C30" s="15"/>
      <c r="E30" s="31">
        <f>+E28+E26</f>
        <v>49</v>
      </c>
      <c r="F30" s="31">
        <f>+F28+F26</f>
        <v>11</v>
      </c>
      <c r="G30" s="25"/>
      <c r="I30" s="15"/>
      <c r="J30" s="15"/>
      <c r="K30" s="15">
        <f>SUM(K18:K29)</f>
        <v>11</v>
      </c>
      <c r="L30" s="15">
        <f>SUM(L18:L29)</f>
        <v>1952400</v>
      </c>
      <c r="M30" s="15"/>
      <c r="N30" s="15"/>
      <c r="O30" s="15">
        <v>1</v>
      </c>
      <c r="P30" s="15"/>
    </row>
    <row r="31" spans="1:16" hidden="1" x14ac:dyDescent="0.2">
      <c r="I31" s="15"/>
      <c r="J31" s="15"/>
      <c r="K31" s="15"/>
      <c r="L31" s="15"/>
      <c r="M31" s="15"/>
      <c r="N31" s="15"/>
      <c r="O31" s="15"/>
      <c r="P31" s="15"/>
    </row>
    <row r="32" spans="1:16" hidden="1" x14ac:dyDescent="0.2">
      <c r="A32" s="13" t="s">
        <v>73</v>
      </c>
      <c r="B32" s="14" t="s">
        <v>74</v>
      </c>
      <c r="C32" s="15">
        <f>'[8]Team Report'!BA29</f>
        <v>0</v>
      </c>
      <c r="E32" s="15">
        <f t="shared" ref="E32:E39" si="3">(C32/9)*12</f>
        <v>0</v>
      </c>
      <c r="I32" s="15" t="s">
        <v>104</v>
      </c>
      <c r="J32" s="15"/>
      <c r="K32" s="15"/>
      <c r="L32" s="15">
        <v>0.2</v>
      </c>
      <c r="M32" s="15"/>
      <c r="N32" s="15"/>
      <c r="O32" s="15"/>
      <c r="P32" s="15"/>
    </row>
    <row r="33" spans="1:16" hidden="1" x14ac:dyDescent="0.2">
      <c r="A33" s="13" t="s">
        <v>75</v>
      </c>
      <c r="B33" s="14" t="s">
        <v>76</v>
      </c>
      <c r="C33" s="15">
        <f>'[8]Team Report'!BA30</f>
        <v>0</v>
      </c>
      <c r="E33" s="15">
        <f t="shared" si="3"/>
        <v>0</v>
      </c>
      <c r="I33" s="15"/>
      <c r="J33" s="15"/>
      <c r="K33" s="15"/>
      <c r="L33" s="15"/>
      <c r="M33" s="15"/>
      <c r="N33" s="15"/>
      <c r="O33" s="15"/>
      <c r="P33" s="15"/>
    </row>
    <row r="34" spans="1:16" hidden="1" x14ac:dyDescent="0.2">
      <c r="A34" s="13" t="s">
        <v>77</v>
      </c>
      <c r="B34" s="14" t="s">
        <v>78</v>
      </c>
      <c r="C34" s="15">
        <f>'[8]Team Report'!BA31</f>
        <v>0</v>
      </c>
      <c r="E34" s="15">
        <f t="shared" si="3"/>
        <v>0</v>
      </c>
      <c r="I34" s="15"/>
      <c r="J34" s="15"/>
      <c r="K34" s="15"/>
      <c r="L34" s="15">
        <f>L30*1.2</f>
        <v>2342880</v>
      </c>
      <c r="M34" s="15"/>
      <c r="N34" s="15"/>
      <c r="O34" s="15"/>
      <c r="P34" s="15"/>
    </row>
    <row r="35" spans="1:16" hidden="1" x14ac:dyDescent="0.2">
      <c r="A35" s="13" t="s">
        <v>79</v>
      </c>
      <c r="B35" s="14" t="s">
        <v>80</v>
      </c>
      <c r="C35" s="15">
        <f>'[8]Team Report'!BA39</f>
        <v>0</v>
      </c>
      <c r="E35" s="15">
        <f t="shared" si="3"/>
        <v>0</v>
      </c>
      <c r="I35" s="15"/>
      <c r="J35" s="15"/>
      <c r="K35" s="15"/>
      <c r="L35" s="15"/>
      <c r="M35" s="15"/>
      <c r="N35" s="15"/>
      <c r="O35" s="15"/>
      <c r="P35" s="15"/>
    </row>
    <row r="36" spans="1:16" hidden="1" x14ac:dyDescent="0.2">
      <c r="A36" s="13" t="s">
        <v>81</v>
      </c>
      <c r="B36" s="14" t="s">
        <v>82</v>
      </c>
      <c r="C36" s="15">
        <f>'[8]Team Report'!BA40</f>
        <v>147341.90000000002</v>
      </c>
      <c r="E36" s="15">
        <f t="shared" si="3"/>
        <v>196455.8666666667</v>
      </c>
      <c r="I36" s="15"/>
      <c r="J36" s="15"/>
      <c r="K36" s="15"/>
      <c r="L36" s="15"/>
      <c r="M36" s="15"/>
      <c r="N36" s="15"/>
      <c r="O36" s="15"/>
      <c r="P36" s="15"/>
    </row>
    <row r="37" spans="1:16" hidden="1" x14ac:dyDescent="0.2">
      <c r="A37" s="13" t="s">
        <v>83</v>
      </c>
      <c r="B37" s="14" t="s">
        <v>84</v>
      </c>
      <c r="C37" s="15">
        <f>'[8]Team Report'!BA41</f>
        <v>285701.8</v>
      </c>
      <c r="E37" s="15">
        <f t="shared" si="3"/>
        <v>380935.73333333328</v>
      </c>
      <c r="I37" s="15"/>
      <c r="J37" s="15"/>
      <c r="K37" s="15"/>
      <c r="L37" s="15"/>
      <c r="M37" s="15"/>
      <c r="N37" s="15"/>
      <c r="O37" s="15"/>
      <c r="P37" s="15"/>
    </row>
    <row r="38" spans="1:16" hidden="1" x14ac:dyDescent="0.2">
      <c r="A38" s="13" t="s">
        <v>85</v>
      </c>
      <c r="B38" s="14" t="s">
        <v>86</v>
      </c>
      <c r="C38" s="15">
        <f>'[8]Team Report'!BA43</f>
        <v>-4445984</v>
      </c>
      <c r="E38" s="15">
        <f t="shared" si="3"/>
        <v>-5927978.666666667</v>
      </c>
      <c r="G38" s="33" t="s">
        <v>57</v>
      </c>
      <c r="I38" s="15"/>
      <c r="J38" s="15"/>
      <c r="K38" s="15"/>
      <c r="L38" s="15"/>
      <c r="M38" s="15"/>
      <c r="N38" s="15"/>
      <c r="O38" s="15"/>
      <c r="P38" s="15"/>
    </row>
    <row r="39" spans="1:16" hidden="1" x14ac:dyDescent="0.2">
      <c r="A39" s="13" t="s">
        <v>87</v>
      </c>
      <c r="B39" s="14" t="s">
        <v>88</v>
      </c>
      <c r="C39" s="15">
        <f>'[8]Team Report'!BA45</f>
        <v>1176.06</v>
      </c>
      <c r="E39" s="15">
        <f t="shared" si="3"/>
        <v>1568.08</v>
      </c>
      <c r="I39" s="15"/>
      <c r="J39" s="15"/>
      <c r="K39" s="15"/>
      <c r="L39" s="15"/>
      <c r="M39" s="15"/>
      <c r="N39" s="15"/>
      <c r="O39" s="15"/>
      <c r="P39" s="15"/>
    </row>
    <row r="40" spans="1:16" hidden="1" x14ac:dyDescent="0.2">
      <c r="G40" s="34" t="s">
        <v>58</v>
      </c>
      <c r="I40" s="15" t="s">
        <v>59</v>
      </c>
      <c r="J40" s="15" t="s">
        <v>60</v>
      </c>
      <c r="K40" s="15" t="s">
        <v>3</v>
      </c>
      <c r="L40" s="15" t="s">
        <v>61</v>
      </c>
      <c r="M40" s="15"/>
      <c r="N40" s="15"/>
      <c r="O40" s="15"/>
      <c r="P40" s="15"/>
    </row>
    <row r="41" spans="1:16" hidden="1" x14ac:dyDescent="0.2">
      <c r="C41" s="54">
        <f>C24+C32+C33+C34+C35+C36+C37+C38+C39</f>
        <v>1410442.5900000003</v>
      </c>
      <c r="G41" s="36">
        <f>SUM(E12:E23)</f>
        <v>1630220.4639999999</v>
      </c>
      <c r="I41" s="15">
        <f>+E30</f>
        <v>49</v>
      </c>
      <c r="J41" s="15">
        <f>+G41/I41</f>
        <v>33269.805387755099</v>
      </c>
      <c r="K41" s="15">
        <f>+K12</f>
        <v>11</v>
      </c>
      <c r="L41" s="15">
        <f>+J41*K41</f>
        <v>365967.85926530609</v>
      </c>
      <c r="M41" s="15"/>
      <c r="N41" s="15"/>
      <c r="O41" s="15"/>
      <c r="P41" s="15"/>
    </row>
    <row r="42" spans="1:16" hidden="1" x14ac:dyDescent="0.2">
      <c r="I42" s="15"/>
      <c r="J42" s="15"/>
      <c r="K42" s="15"/>
      <c r="L42" s="15"/>
      <c r="M42" s="15"/>
      <c r="N42" s="15"/>
      <c r="O42" s="15"/>
      <c r="P42" s="15"/>
    </row>
    <row r="43" spans="1:16" hidden="1" x14ac:dyDescent="0.2">
      <c r="I43" s="15"/>
      <c r="J43" s="15"/>
      <c r="K43" s="15"/>
      <c r="L43" s="15"/>
      <c r="M43" s="15"/>
      <c r="N43" s="15"/>
      <c r="O43" s="15"/>
      <c r="P43" s="15"/>
    </row>
    <row r="44" spans="1:16" hidden="1" x14ac:dyDescent="0.2">
      <c r="I44" s="15"/>
      <c r="J44" s="15"/>
      <c r="K44" s="15"/>
      <c r="L44" s="15"/>
      <c r="M44" s="15"/>
      <c r="N44" s="15"/>
      <c r="O44" s="15"/>
      <c r="P44" s="15"/>
    </row>
    <row r="45" spans="1:16" hidden="1" x14ac:dyDescent="0.2">
      <c r="I45" s="15"/>
      <c r="J45" s="15"/>
      <c r="K45" s="15"/>
      <c r="L45" s="15"/>
      <c r="M45" s="15"/>
      <c r="N45" s="15"/>
      <c r="O45" s="15"/>
      <c r="P45" s="15"/>
    </row>
    <row r="46" spans="1:16" hidden="1" x14ac:dyDescent="0.2">
      <c r="I46" s="15"/>
      <c r="J46" s="15"/>
      <c r="K46" s="15"/>
      <c r="L46" s="15"/>
      <c r="M46" s="15"/>
      <c r="N46" s="15"/>
      <c r="O46" s="15"/>
      <c r="P46" s="15"/>
    </row>
    <row r="47" spans="1:16" hidden="1" x14ac:dyDescent="0.2">
      <c r="I47" s="15"/>
      <c r="J47" s="15"/>
      <c r="K47" s="15"/>
      <c r="L47" s="15"/>
      <c r="M47" s="15"/>
      <c r="N47" s="15"/>
      <c r="O47" s="15"/>
      <c r="P47" s="15"/>
    </row>
    <row r="48" spans="1:16" hidden="1" x14ac:dyDescent="0.2">
      <c r="I48" s="15"/>
      <c r="J48" s="15"/>
      <c r="K48" s="15"/>
      <c r="L48" s="15"/>
      <c r="M48" s="15"/>
      <c r="N48" s="15"/>
      <c r="O48" s="15"/>
      <c r="P48" s="15"/>
    </row>
    <row r="49" spans="9:16" hidden="1" x14ac:dyDescent="0.2">
      <c r="I49" s="15"/>
      <c r="J49" s="15"/>
      <c r="K49" s="15"/>
      <c r="L49" s="15"/>
      <c r="M49" s="15"/>
      <c r="N49" s="15"/>
      <c r="O49" s="15"/>
      <c r="P49" s="15"/>
    </row>
    <row r="50" spans="9:16" hidden="1" x14ac:dyDescent="0.2">
      <c r="I50" s="15"/>
      <c r="J50" s="15"/>
      <c r="K50" s="15"/>
      <c r="L50" s="15"/>
      <c r="M50" s="15"/>
      <c r="N50" s="15"/>
      <c r="O50" s="15"/>
      <c r="P50" s="15"/>
    </row>
    <row r="51" spans="9:16" hidden="1" x14ac:dyDescent="0.2">
      <c r="I51" s="15"/>
      <c r="J51" s="15"/>
      <c r="K51" s="15"/>
      <c r="L51" s="15"/>
      <c r="M51" s="15"/>
      <c r="N51" s="15"/>
      <c r="O51" s="15"/>
      <c r="P51" s="15"/>
    </row>
    <row r="52" spans="9:16" hidden="1" x14ac:dyDescent="0.2">
      <c r="I52" s="15"/>
      <c r="J52" s="15"/>
      <c r="K52" s="15"/>
      <c r="L52" s="15"/>
      <c r="M52" s="15"/>
      <c r="N52" s="15"/>
      <c r="O52" s="15"/>
      <c r="P52" s="15"/>
    </row>
    <row r="53" spans="9:16" hidden="1" x14ac:dyDescent="0.2">
      <c r="I53" s="15"/>
      <c r="J53" s="15"/>
      <c r="K53" s="15"/>
      <c r="L53" s="15"/>
      <c r="M53" s="15"/>
      <c r="N53" s="15"/>
      <c r="O53" s="15"/>
      <c r="P53" s="15"/>
    </row>
    <row r="54" spans="9:16" hidden="1" x14ac:dyDescent="0.2">
      <c r="I54" s="15"/>
      <c r="J54" s="15"/>
      <c r="K54" s="15"/>
      <c r="L54" s="15"/>
      <c r="M54" s="15"/>
      <c r="N54" s="15"/>
      <c r="O54" s="15"/>
      <c r="P54" s="15"/>
    </row>
    <row r="55" spans="9:16" x14ac:dyDescent="0.2">
      <c r="I55" s="15"/>
      <c r="J55" s="15"/>
      <c r="K55" s="15"/>
      <c r="L55" s="15"/>
      <c r="M55" s="15"/>
      <c r="N55" s="15"/>
      <c r="O55" s="15"/>
      <c r="P55" s="15"/>
    </row>
    <row r="56" spans="9:16" x14ac:dyDescent="0.2">
      <c r="I56" s="15"/>
      <c r="J56" s="15"/>
      <c r="K56" s="15"/>
      <c r="L56" s="15"/>
      <c r="M56" s="15"/>
      <c r="N56" s="15"/>
      <c r="O56" s="15"/>
      <c r="P56" s="15"/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29" width="9.140625" hidden="1" customWidth="1"/>
    <col min="30" max="55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46" width="9.140625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4" width="9.140625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2001-12-28T17:23:13Z</cp:lastPrinted>
  <dcterms:created xsi:type="dcterms:W3CDTF">2001-12-05T13:20:56Z</dcterms:created>
  <dcterms:modified xsi:type="dcterms:W3CDTF">2023-09-17T16:33:23Z</dcterms:modified>
</cp:coreProperties>
</file>