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52F628-036A-40C8-A172-12E40B871536}" xr6:coauthVersionLast="47" xr6:coauthVersionMax="47" xr10:uidLastSave="{00000000-0000-0000-0000-000000000000}"/>
  <bookViews>
    <workbookView xWindow="-120" yWindow="-120" windowWidth="38640" windowHeight="15720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1" i="9"/>
  <c r="D31" i="9"/>
  <c r="E31" i="9"/>
  <c r="F31" i="9"/>
  <c r="G31" i="9"/>
  <c r="H31" i="9"/>
  <c r="I31" i="9"/>
  <c r="J31" i="9"/>
  <c r="K31" i="9"/>
  <c r="C33" i="9"/>
  <c r="D33" i="9"/>
  <c r="F33" i="9"/>
  <c r="H33" i="9"/>
  <c r="J33" i="9"/>
  <c r="K33" i="9"/>
  <c r="C35" i="9"/>
  <c r="D35" i="9"/>
  <c r="E35" i="9"/>
  <c r="F35" i="9"/>
  <c r="G35" i="9"/>
  <c r="H35" i="9"/>
  <c r="I35" i="9"/>
  <c r="J35" i="9"/>
  <c r="K35" i="9"/>
  <c r="B4" i="2"/>
  <c r="D10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I34" i="2"/>
  <c r="L34" i="2"/>
  <c r="N34" i="2"/>
  <c r="D36" i="2"/>
  <c r="E36" i="2"/>
  <c r="F36" i="2"/>
  <c r="G36" i="2"/>
  <c r="H36" i="2"/>
  <c r="I36" i="2"/>
  <c r="J36" i="2"/>
  <c r="K36" i="2"/>
  <c r="L36" i="2"/>
  <c r="M36" i="2"/>
  <c r="N36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E27" i="1"/>
  <c r="J27" i="1"/>
  <c r="O27" i="1"/>
  <c r="Q27" i="1"/>
  <c r="V27" i="1"/>
  <c r="E28" i="1"/>
  <c r="J28" i="1"/>
  <c r="O28" i="1"/>
  <c r="Q28" i="1"/>
  <c r="T28" i="1"/>
  <c r="V28" i="1"/>
  <c r="D29" i="1"/>
  <c r="E29" i="1"/>
  <c r="J29" i="1"/>
  <c r="L29" i="1"/>
  <c r="M29" i="1"/>
  <c r="O29" i="1"/>
  <c r="Q29" i="1"/>
  <c r="T29" i="1"/>
  <c r="V29" i="1"/>
  <c r="D30" i="1"/>
  <c r="E30" i="1"/>
  <c r="J30" i="1"/>
  <c r="N30" i="1"/>
  <c r="O30" i="1"/>
  <c r="Q30" i="1"/>
  <c r="U30" i="1"/>
  <c r="V30" i="1"/>
  <c r="C31" i="1"/>
  <c r="D31" i="1"/>
  <c r="E31" i="1"/>
  <c r="G31" i="1"/>
  <c r="H31" i="1"/>
  <c r="I31" i="1"/>
  <c r="J31" i="1"/>
  <c r="M31" i="1"/>
  <c r="O31" i="1"/>
  <c r="Q31" i="1"/>
  <c r="T31" i="1"/>
  <c r="V31" i="1"/>
  <c r="D32" i="1"/>
  <c r="E32" i="1"/>
  <c r="J32" i="1"/>
  <c r="L32" i="1"/>
  <c r="O32" i="1"/>
  <c r="Q32" i="1"/>
  <c r="S32" i="1"/>
  <c r="V32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E36" i="1"/>
  <c r="G36" i="1"/>
  <c r="H36" i="1"/>
  <c r="I36" i="1"/>
  <c r="J36" i="1"/>
  <c r="O36" i="1"/>
  <c r="Q36" i="1"/>
  <c r="T36" i="1"/>
  <c r="V36" i="1"/>
  <c r="C38" i="1"/>
  <c r="D38" i="1"/>
  <c r="E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I27" i="37"/>
  <c r="K27" i="37"/>
  <c r="L27" i="37"/>
  <c r="M27" i="37"/>
  <c r="P27" i="37"/>
  <c r="Q27" i="37"/>
  <c r="C28" i="37"/>
  <c r="E28" i="37"/>
  <c r="G28" i="37"/>
  <c r="I28" i="37"/>
  <c r="K28" i="37"/>
  <c r="L28" i="37"/>
  <c r="M28" i="37"/>
  <c r="O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M4" i="38"/>
  <c r="C9" i="38"/>
  <c r="D9" i="38"/>
  <c r="E9" i="38"/>
  <c r="G9" i="38"/>
  <c r="H9" i="38"/>
  <c r="I9" i="38"/>
  <c r="K9" i="38"/>
  <c r="L9" i="38"/>
  <c r="M9" i="38"/>
  <c r="C10" i="38"/>
  <c r="D10" i="38"/>
  <c r="E10" i="38"/>
  <c r="G10" i="38"/>
  <c r="H10" i="38"/>
  <c r="I10" i="38"/>
  <c r="K10" i="38"/>
  <c r="L10" i="38"/>
  <c r="M10" i="38"/>
  <c r="C11" i="38"/>
  <c r="D11" i="38"/>
  <c r="E11" i="38"/>
  <c r="G11" i="38"/>
  <c r="H11" i="38"/>
  <c r="I11" i="38"/>
  <c r="K11" i="38"/>
  <c r="L11" i="38"/>
  <c r="M11" i="38"/>
  <c r="C12" i="38"/>
  <c r="D12" i="38"/>
  <c r="E12" i="38"/>
  <c r="G12" i="38"/>
  <c r="H12" i="38"/>
  <c r="I12" i="38"/>
  <c r="K12" i="38"/>
  <c r="L12" i="38"/>
  <c r="M12" i="38"/>
  <c r="C13" i="38"/>
  <c r="D13" i="38"/>
  <c r="E13" i="38"/>
  <c r="G13" i="38"/>
  <c r="H13" i="38"/>
  <c r="I13" i="38"/>
  <c r="K13" i="38"/>
  <c r="L13" i="38"/>
  <c r="M13" i="38"/>
  <c r="C14" i="38"/>
  <c r="D14" i="38"/>
  <c r="E14" i="38"/>
  <c r="G14" i="38"/>
  <c r="H14" i="38"/>
  <c r="I14" i="38"/>
  <c r="K14" i="38"/>
  <c r="L14" i="38"/>
  <c r="M14" i="38"/>
  <c r="C15" i="38"/>
  <c r="D15" i="38"/>
  <c r="E15" i="38"/>
  <c r="G15" i="38"/>
  <c r="H15" i="38"/>
  <c r="I15" i="38"/>
  <c r="K15" i="38"/>
  <c r="L15" i="38"/>
  <c r="M15" i="38"/>
  <c r="C16" i="38"/>
  <c r="D16" i="38"/>
  <c r="E16" i="38"/>
  <c r="G16" i="38"/>
  <c r="H16" i="38"/>
  <c r="I16" i="38"/>
  <c r="K16" i="38"/>
  <c r="L16" i="38"/>
  <c r="M16" i="38"/>
  <c r="C17" i="38"/>
  <c r="D17" i="38"/>
  <c r="E17" i="38"/>
  <c r="G17" i="38"/>
  <c r="H17" i="38"/>
  <c r="I17" i="38"/>
  <c r="K17" i="38"/>
  <c r="L17" i="38"/>
  <c r="M17" i="38"/>
  <c r="C18" i="38"/>
  <c r="D18" i="38"/>
  <c r="E18" i="38"/>
  <c r="G18" i="38"/>
  <c r="H18" i="38"/>
  <c r="I18" i="38"/>
  <c r="K18" i="38"/>
  <c r="L18" i="38"/>
  <c r="M18" i="38"/>
  <c r="C19" i="38"/>
  <c r="D19" i="38"/>
  <c r="E19" i="38"/>
  <c r="G19" i="38"/>
  <c r="H19" i="38"/>
  <c r="I19" i="38"/>
  <c r="K19" i="38"/>
  <c r="L19" i="38"/>
  <c r="M19" i="38"/>
  <c r="C20" i="38"/>
  <c r="D20" i="38"/>
  <c r="E20" i="38"/>
  <c r="G20" i="38"/>
  <c r="H20" i="38"/>
  <c r="I20" i="38"/>
  <c r="K20" i="38"/>
  <c r="L20" i="38"/>
  <c r="M20" i="38"/>
  <c r="C21" i="38"/>
  <c r="D21" i="38"/>
  <c r="E21" i="38"/>
  <c r="G21" i="38"/>
  <c r="H21" i="38"/>
  <c r="I21" i="38"/>
  <c r="K21" i="38"/>
  <c r="L21" i="38"/>
  <c r="M21" i="38"/>
  <c r="C22" i="38"/>
  <c r="D22" i="38"/>
  <c r="E22" i="38"/>
  <c r="G22" i="38"/>
  <c r="H22" i="38"/>
  <c r="I22" i="38"/>
  <c r="K22" i="38"/>
  <c r="L22" i="38"/>
  <c r="M22" i="38"/>
  <c r="C23" i="38"/>
  <c r="D23" i="38"/>
  <c r="E23" i="38"/>
  <c r="G23" i="38"/>
  <c r="H23" i="38"/>
  <c r="I23" i="38"/>
  <c r="K23" i="38"/>
  <c r="L23" i="38"/>
  <c r="M23" i="38"/>
  <c r="C24" i="38"/>
  <c r="D24" i="38"/>
  <c r="E24" i="38"/>
  <c r="G24" i="38"/>
  <c r="H24" i="38"/>
  <c r="I24" i="38"/>
  <c r="K24" i="38"/>
  <c r="L24" i="38"/>
  <c r="M24" i="38"/>
  <c r="C26" i="38"/>
  <c r="D26" i="38"/>
  <c r="E26" i="38"/>
  <c r="G26" i="38"/>
  <c r="H26" i="38"/>
  <c r="I26" i="38"/>
  <c r="K26" i="38"/>
  <c r="L26" i="38"/>
  <c r="M26" i="38"/>
  <c r="C28" i="38"/>
  <c r="D28" i="38"/>
  <c r="E28" i="38"/>
  <c r="G28" i="38"/>
  <c r="H28" i="38"/>
  <c r="I28" i="38"/>
  <c r="K28" i="38"/>
  <c r="L28" i="38"/>
  <c r="M28" i="38"/>
  <c r="C29" i="38"/>
  <c r="D29" i="38"/>
  <c r="E29" i="38"/>
  <c r="G29" i="38"/>
  <c r="H29" i="38"/>
  <c r="I29" i="38"/>
  <c r="K29" i="38"/>
  <c r="L29" i="38"/>
  <c r="M29" i="38"/>
  <c r="C30" i="38"/>
  <c r="D30" i="38"/>
  <c r="E30" i="38"/>
  <c r="G30" i="38"/>
  <c r="H30" i="38"/>
  <c r="I30" i="38"/>
  <c r="K30" i="38"/>
  <c r="L30" i="38"/>
  <c r="M30" i="38"/>
  <c r="C31" i="38"/>
  <c r="D31" i="38"/>
  <c r="E31" i="38"/>
  <c r="G31" i="38"/>
  <c r="H31" i="38"/>
  <c r="I31" i="38"/>
  <c r="K31" i="38"/>
  <c r="L31" i="38"/>
  <c r="M31" i="38"/>
  <c r="C32" i="38"/>
  <c r="D32" i="38"/>
  <c r="E32" i="38"/>
  <c r="G32" i="38"/>
  <c r="H32" i="38"/>
  <c r="I32" i="38"/>
  <c r="K32" i="38"/>
  <c r="L32" i="38"/>
  <c r="M32" i="38"/>
  <c r="C33" i="38"/>
  <c r="D33" i="38"/>
  <c r="E33" i="38"/>
  <c r="G33" i="38"/>
  <c r="H33" i="38"/>
  <c r="I33" i="38"/>
  <c r="K33" i="38"/>
  <c r="L33" i="38"/>
  <c r="M33" i="38"/>
  <c r="C35" i="38"/>
  <c r="D35" i="38"/>
  <c r="E35" i="38"/>
  <c r="G35" i="38"/>
  <c r="H35" i="38"/>
  <c r="I35" i="38"/>
  <c r="K35" i="38"/>
  <c r="L35" i="38"/>
  <c r="M35" i="38"/>
  <c r="C37" i="38"/>
  <c r="D37" i="38"/>
  <c r="E37" i="38"/>
  <c r="G37" i="38"/>
  <c r="H37" i="38"/>
  <c r="I37" i="38"/>
  <c r="K37" i="38"/>
  <c r="L37" i="38"/>
  <c r="M37" i="38"/>
  <c r="C39" i="38"/>
  <c r="D39" i="38"/>
  <c r="E39" i="38"/>
  <c r="G39" i="38"/>
  <c r="H39" i="38"/>
  <c r="I39" i="38"/>
  <c r="K39" i="38"/>
  <c r="L39" i="38"/>
  <c r="M39" i="38"/>
  <c r="E45" i="38"/>
  <c r="I45" i="38"/>
  <c r="E46" i="38"/>
  <c r="I46" i="38"/>
  <c r="E47" i="38"/>
  <c r="I47" i="38"/>
  <c r="E49" i="38"/>
  <c r="I49" i="38"/>
  <c r="E52" i="38"/>
  <c r="I52" i="38"/>
  <c r="E53" i="38"/>
  <c r="I53" i="38"/>
  <c r="E55" i="38"/>
  <c r="I55" i="38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1" i="36"/>
  <c r="D21" i="36"/>
  <c r="E21" i="36"/>
  <c r="G21" i="36"/>
  <c r="I21" i="36"/>
  <c r="J21" i="36"/>
  <c r="M21" i="36"/>
  <c r="N21" i="36"/>
  <c r="O21" i="36"/>
  <c r="Q21" i="36"/>
  <c r="T21" i="36"/>
  <c r="U21" i="36"/>
  <c r="V21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J28" i="36"/>
  <c r="M28" i="36"/>
  <c r="N28" i="36"/>
  <c r="O28" i="36"/>
  <c r="Q28" i="36"/>
  <c r="R28" i="36"/>
  <c r="S28" i="36"/>
  <c r="T28" i="36"/>
  <c r="U28" i="36"/>
  <c r="V28" i="36"/>
  <c r="C29" i="36"/>
  <c r="D29" i="36"/>
  <c r="E29" i="36"/>
  <c r="G29" i="36"/>
  <c r="J29" i="36"/>
  <c r="M29" i="36"/>
  <c r="N29" i="36"/>
  <c r="O29" i="36"/>
  <c r="Q29" i="36"/>
  <c r="R29" i="36"/>
  <c r="S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R30" i="36"/>
  <c r="S30" i="36"/>
  <c r="T30" i="36"/>
  <c r="U30" i="36"/>
  <c r="V30" i="36"/>
  <c r="C31" i="36"/>
  <c r="D31" i="36"/>
  <c r="E31" i="36"/>
  <c r="G31" i="36"/>
  <c r="H31" i="36"/>
  <c r="I31" i="36"/>
  <c r="J31" i="36"/>
  <c r="M31" i="36"/>
  <c r="N31" i="36"/>
  <c r="O31" i="36"/>
  <c r="Q31" i="36"/>
  <c r="R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C36" i="36"/>
  <c r="D36" i="36"/>
  <c r="E36" i="36"/>
  <c r="G36" i="36"/>
  <c r="H36" i="36"/>
  <c r="I36" i="36"/>
  <c r="J36" i="36"/>
  <c r="M36" i="36"/>
  <c r="N36" i="36"/>
  <c r="O36" i="36"/>
  <c r="Q36" i="36"/>
  <c r="T36" i="36"/>
  <c r="U36" i="36"/>
  <c r="V36" i="36"/>
  <c r="C38" i="36"/>
  <c r="D38" i="36"/>
  <c r="E38" i="36"/>
  <c r="G38" i="36"/>
  <c r="H38" i="36"/>
  <c r="I38" i="36"/>
  <c r="J38" i="36"/>
  <c r="K38" i="36"/>
  <c r="L38" i="36"/>
  <c r="M38" i="36"/>
  <c r="N38" i="36"/>
  <c r="O38" i="36"/>
  <c r="Q38" i="36"/>
  <c r="R38" i="36"/>
  <c r="S38" i="36"/>
  <c r="T38" i="36"/>
  <c r="U38" i="36"/>
  <c r="V38" i="36"/>
  <c r="G40" i="36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<sst xmlns="http://schemas.openxmlformats.org/spreadsheetml/2006/main" count="491" uniqueCount="141">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</sst>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5" name="Text Box 1">
          <a:extLst>
            <a:ext uri="{FF2B5EF4-FFF2-40B4-BE49-F238E27FC236}">
              <a16:creationId xmlns:a16="http://schemas.microsoft.com/office/drawing/2014/main" id="{1052B896-F401-031F-2134-17D180F7A27D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7346" name="Line 2">
          <a:extLst>
            <a:ext uri="{FF2B5EF4-FFF2-40B4-BE49-F238E27FC236}">
              <a16:creationId xmlns:a16="http://schemas.microsoft.com/office/drawing/2014/main" id="{70020E6B-5471-8E2A-5262-6928509C522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4</xdr:row>
      <xdr:rowOff>85725</xdr:rowOff>
    </xdr:from>
    <xdr:to>
      <xdr:col>13</xdr:col>
      <xdr:colOff>0</xdr:colOff>
      <xdr:row>4</xdr:row>
      <xdr:rowOff>104775</xdr:rowOff>
    </xdr:to>
    <xdr:sp macro="" textlink="">
      <xdr:nvSpPr>
        <xdr:cNvPr id="57347" name="Line 3">
          <a:extLst>
            <a:ext uri="{FF2B5EF4-FFF2-40B4-BE49-F238E27FC236}">
              <a16:creationId xmlns:a16="http://schemas.microsoft.com/office/drawing/2014/main" id="{FBE3A252-5549-77D3-6EF3-3751ED1767E3}"/>
            </a:ext>
          </a:extLst>
        </xdr:cNvPr>
        <xdr:cNvSpPr>
          <a:spLocks noChangeShapeType="1"/>
        </xdr:cNvSpPr>
      </xdr:nvSpPr>
      <xdr:spPr bwMode="auto">
        <a:xfrm flipH="1">
          <a:off x="2962275" y="981075"/>
          <a:ext cx="46291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8" name="Text Box 4">
          <a:extLst>
            <a:ext uri="{FF2B5EF4-FFF2-40B4-BE49-F238E27FC236}">
              <a16:creationId xmlns:a16="http://schemas.microsoft.com/office/drawing/2014/main" id="{4A6F5F2E-7D77-4FF5-3759-8BB1143CFD9F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7349" name="Line 5">
          <a:extLst>
            <a:ext uri="{FF2B5EF4-FFF2-40B4-BE49-F238E27FC236}">
              <a16:creationId xmlns:a16="http://schemas.microsoft.com/office/drawing/2014/main" id="{0E05D7D9-E059-B805-046C-DBA41779DEC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294F9FA9-01B2-BF4E-4516-737D6EEE955D}"/>
            </a:ext>
          </a:extLst>
        </xdr:cNvPr>
        <xdr:cNvSpPr txBox="1">
          <a:spLocks noChangeArrowheads="1"/>
        </xdr:cNvSpPr>
      </xdr:nvSpPr>
      <xdr:spPr bwMode="auto">
        <a:xfrm>
          <a:off x="76771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FFDE12C2-9E0C-6B2C-15E5-E548B9BD06DF}"/>
            </a:ext>
          </a:extLst>
        </xdr:cNvPr>
        <xdr:cNvSpPr txBox="1">
          <a:spLocks noChangeArrowheads="1"/>
        </xdr:cNvSpPr>
      </xdr:nvSpPr>
      <xdr:spPr bwMode="auto">
        <a:xfrm>
          <a:off x="696277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65641E23-2DE4-BE6A-4C80-9A23691D95F7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75E9A8A2-E2D9-C25C-E4CE-972FD54970E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20C1B41B-91FF-E680-B8D3-AC995716998C}"/>
            </a:ext>
          </a:extLst>
        </xdr:cNvPr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8C2C690D-0487-F20A-BB24-6983794F6AF3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CE0FA61-A6C8-4DE5-9A02-71083E5C1E6A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FFB4E31F-7D7F-8698-3F05-A1379C062EE1}"/>
            </a:ext>
          </a:extLst>
        </xdr:cNvPr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>
          <a:extLst>
            <a:ext uri="{FF2B5EF4-FFF2-40B4-BE49-F238E27FC236}">
              <a16:creationId xmlns:a16="http://schemas.microsoft.com/office/drawing/2014/main" id="{239F601B-9A70-BB04-F893-F56DD4D732E1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079AFF-AEE3-7551-7064-13212B4E9970}"/>
            </a:ext>
          </a:extLst>
        </xdr:cNvPr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08D2A0C-0730-36F0-A46A-6B4EB234BB63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67B43ABD-9757-7961-2936-3A5DF229637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6CB4359A-ABA6-A508-FC02-626A1CB4FE4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B6F9B5E5-4A77-4BAB-BB0B-B4586D5CBCC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21B539D1-CC0E-EB58-1F6E-7A701BB77FD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F66DEACB-7652-52A9-6EB9-326DCA935E6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8B1EA9B6-648B-ED17-F338-B5F02BCEBE2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61D685B5-EE1C-176F-E2F6-4569331453E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32F7DE7C-CF76-B050-2E82-7B6D5E47580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424214B6-2D20-A25E-D65B-92BCF38D00F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>
          <a:extLst>
            <a:ext uri="{FF2B5EF4-FFF2-40B4-BE49-F238E27FC236}">
              <a16:creationId xmlns:a16="http://schemas.microsoft.com/office/drawing/2014/main" id="{3CC9178E-34C9-3B7B-CCE3-4B94B466EC5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>
          <a:extLst>
            <a:ext uri="{FF2B5EF4-FFF2-40B4-BE49-F238E27FC236}">
              <a16:creationId xmlns:a16="http://schemas.microsoft.com/office/drawing/2014/main" id="{352212C5-5B76-CA4B-09B5-AD2B7BF57B0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>
          <a:extLst>
            <a:ext uri="{FF2B5EF4-FFF2-40B4-BE49-F238E27FC236}">
              <a16:creationId xmlns:a16="http://schemas.microsoft.com/office/drawing/2014/main" id="{78B5A954-5B04-1705-063B-0769264B133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>
          <a:extLst>
            <a:ext uri="{FF2B5EF4-FFF2-40B4-BE49-F238E27FC236}">
              <a16:creationId xmlns:a16="http://schemas.microsoft.com/office/drawing/2014/main" id="{86189A6A-C56B-95E1-94AC-241E1A07728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>
          <a:extLst>
            <a:ext uri="{FF2B5EF4-FFF2-40B4-BE49-F238E27FC236}">
              <a16:creationId xmlns:a16="http://schemas.microsoft.com/office/drawing/2014/main" id="{49A032B5-19AE-80AA-59F8-2C844C2E4D0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>
          <a:extLst>
            <a:ext uri="{FF2B5EF4-FFF2-40B4-BE49-F238E27FC236}">
              <a16:creationId xmlns:a16="http://schemas.microsoft.com/office/drawing/2014/main" id="{24BCC827-426B-BA2A-AAD6-800130E541E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>
          <a:extLst>
            <a:ext uri="{FF2B5EF4-FFF2-40B4-BE49-F238E27FC236}">
              <a16:creationId xmlns:a16="http://schemas.microsoft.com/office/drawing/2014/main" id="{5D0C67C1-7FA4-AE01-94CC-2FE9D832DF8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>
          <a:extLst>
            <a:ext uri="{FF2B5EF4-FFF2-40B4-BE49-F238E27FC236}">
              <a16:creationId xmlns:a16="http://schemas.microsoft.com/office/drawing/2014/main" id="{43299162-E513-F1F2-5336-F80B023CEFA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2EF1FAB5-991B-0A9D-590D-5F768F4D51E6}"/>
            </a:ext>
          </a:extLst>
        </xdr:cNvPr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3">
          <cell r="G23">
            <v>0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-46958.415000000001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3953</v>
          </cell>
          <cell r="E11">
            <v>111.345</v>
          </cell>
          <cell r="G11">
            <v>-35.658999999999999</v>
          </cell>
          <cell r="K11">
            <v>0</v>
          </cell>
        </row>
        <row r="12">
          <cell r="D12">
            <v>3387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-4892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715.42700000000002</v>
          </cell>
          <cell r="G15">
            <v>0</v>
          </cell>
          <cell r="K15">
            <v>0</v>
          </cell>
        </row>
        <row r="16">
          <cell r="D16">
            <v>-694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2901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-363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-181</v>
          </cell>
          <cell r="E23">
            <v>88.275999999999996</v>
          </cell>
          <cell r="G23">
            <v>0</v>
          </cell>
          <cell r="K23">
            <v>0</v>
          </cell>
        </row>
        <row r="24">
          <cell r="D24">
            <v>1187</v>
          </cell>
          <cell r="E24">
            <v>1000</v>
          </cell>
          <cell r="G24">
            <v>37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1.415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7.7109375" style="14" customWidth="1"/>
    <col min="16" max="17" width="8.7109375" style="14" customWidth="1"/>
    <col min="18" max="18" width="0.85546875" style="14" customWidth="1"/>
    <col min="19" max="16384" width="9.140625" style="14"/>
  </cols>
  <sheetData>
    <row r="1" spans="1:18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23,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72134.72099999999</v>
      </c>
      <c r="D9" s="222">
        <f>+'YTD Mgmt Summary'!C9</f>
        <v>150000</v>
      </c>
      <c r="E9" s="223">
        <f t="shared" ref="E9:E24" si="0">-D9+C9</f>
        <v>-77865.27900000001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9534.498499999987</v>
      </c>
      <c r="L9" s="222">
        <f t="shared" ref="L9:L24" si="2">D9-H9</f>
        <v>82485.807000000001</v>
      </c>
      <c r="M9" s="223">
        <f t="shared" ref="M9:M24" si="3">K9-L9</f>
        <v>-72951.308500000014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65727.288520000002</v>
      </c>
      <c r="D10" s="222">
        <f>+'YTD Mgmt Summary'!C10</f>
        <v>65000</v>
      </c>
      <c r="E10" s="223">
        <f t="shared" si="0"/>
        <v>727.28852000000188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31188.076520000002</v>
      </c>
      <c r="L10" s="222">
        <f t="shared" si="2"/>
        <v>29731.281999999999</v>
      </c>
      <c r="M10" s="223">
        <f t="shared" si="3"/>
        <v>1456.7945200000031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13619.699000000001</v>
      </c>
      <c r="D11" s="222">
        <f>+'YTD Mgmt Summary'!C11</f>
        <v>10000</v>
      </c>
      <c r="E11" s="223">
        <f t="shared" si="0"/>
        <v>3619.6990000000005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11586.415000000001</v>
      </c>
      <c r="L11" s="222">
        <f t="shared" si="2"/>
        <v>7106.4160000000002</v>
      </c>
      <c r="M11" s="223">
        <f t="shared" si="3"/>
        <v>4479.9990000000007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17041.923000000003</v>
      </c>
      <c r="D13" s="222">
        <f>+'YTD Mgmt Summary'!C13</f>
        <v>33000.002</v>
      </c>
      <c r="E13" s="223">
        <f t="shared" si="0"/>
        <v>-15958.078999999998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4543.8260000000028</v>
      </c>
      <c r="L13" s="222">
        <f t="shared" si="2"/>
        <v>19236.451000000001</v>
      </c>
      <c r="M13" s="223">
        <f t="shared" si="3"/>
        <v>-14692.624999999998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39495.206999999995</v>
      </c>
      <c r="D15" s="222">
        <f>+'YTD Mgmt Summary'!C15</f>
        <v>100493</v>
      </c>
      <c r="E15" s="223">
        <f t="shared" si="0"/>
        <v>-60997.793000000005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24251.759999999995</v>
      </c>
      <c r="L15" s="222">
        <f t="shared" si="2"/>
        <v>80141.45</v>
      </c>
      <c r="M15" s="223">
        <f t="shared" si="3"/>
        <v>-55889.69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2803.7999999999997</v>
      </c>
      <c r="D16" s="222">
        <f>+'YTD Mgmt Summary'!C16</f>
        <v>20821.5</v>
      </c>
      <c r="E16" s="223">
        <f t="shared" si="0"/>
        <v>-18017.7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-18684.111000000001</v>
      </c>
      <c r="L16" s="222">
        <f t="shared" si="2"/>
        <v>-78.383999999998196</v>
      </c>
      <c r="M16" s="223">
        <f t="shared" si="3"/>
        <v>-18605.727000000003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6340.5590000000002</v>
      </c>
      <c r="D17" s="222">
        <f>+'YTD Mgmt Summary'!C17</f>
        <v>60000</v>
      </c>
      <c r="E17" s="223">
        <f t="shared" si="0"/>
        <v>-53659.440999999999</v>
      </c>
      <c r="F17" s="224"/>
      <c r="G17" s="221">
        <f>+'YTD Mgmt Summary'!M17+'YTD Mgmt Summary'!N17</f>
        <v>25286.444</v>
      </c>
      <c r="H17" s="222">
        <f>+'YTD Mgmt Summary'!D17</f>
        <v>10483.641</v>
      </c>
      <c r="I17" s="223">
        <f t="shared" si="1"/>
        <v>-14802.803</v>
      </c>
      <c r="J17" s="224"/>
      <c r="K17" s="221">
        <f t="shared" si="4"/>
        <v>-18945.884999999998</v>
      </c>
      <c r="L17" s="222">
        <f t="shared" si="2"/>
        <v>49516.358999999997</v>
      </c>
      <c r="M17" s="223">
        <f t="shared" si="3"/>
        <v>-68462.243999999992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2.3250000000000002</v>
      </c>
      <c r="D20" s="222">
        <f>+'YTD Mgmt Summary'!C20</f>
        <v>7500</v>
      </c>
      <c r="E20" s="223">
        <f t="shared" si="0"/>
        <v>-7497.6750000000002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-5895.8120000000008</v>
      </c>
      <c r="L20" s="255">
        <f t="shared" si="2"/>
        <v>767.24399999999969</v>
      </c>
      <c r="M20" s="256">
        <f t="shared" si="3"/>
        <v>-6663.0560000000005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6.5">
      <c r="A26" s="225" t="s">
        <v>3</v>
      </c>
      <c r="B26" s="215"/>
      <c r="C26" s="230">
        <f>SUM(C9:C25)</f>
        <v>230571.51979999998</v>
      </c>
      <c r="D26" s="231">
        <f>SUM(D9:D25)</f>
        <v>508026.86700000003</v>
      </c>
      <c r="E26" s="232">
        <f>SUM(E9:E25)</f>
        <v>-277455.34720000002</v>
      </c>
      <c r="F26" s="233"/>
      <c r="G26" s="230">
        <f>SUM(G9:G25)</f>
        <v>199390.76349999997</v>
      </c>
      <c r="H26" s="231">
        <f>SUM(H9:H25)</f>
        <v>201785.01000000004</v>
      </c>
      <c r="I26" s="232">
        <f>SUM(I9:I25)</f>
        <v>2394.2464999999956</v>
      </c>
      <c r="J26" s="233"/>
      <c r="K26" s="230">
        <f>SUM(K9:K25)</f>
        <v>31180.756299999983</v>
      </c>
      <c r="L26" s="231">
        <f>SUM(L9:L25)</f>
        <v>306241.85700000008</v>
      </c>
      <c r="M26" s="232">
        <f>SUM(M9:M25)</f>
        <v>-275061.10070000001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5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5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6.5">
      <c r="A35" s="225" t="s">
        <v>72</v>
      </c>
      <c r="B35" s="215"/>
      <c r="C35" s="230">
        <f>SUM(C26:C33)</f>
        <v>149070.51979999998</v>
      </c>
      <c r="D35" s="231">
        <f>SUM(D26:D33)</f>
        <v>508026.86700000003</v>
      </c>
      <c r="E35" s="232">
        <f>SUM(E26:E33)</f>
        <v>-358956.34720000002</v>
      </c>
      <c r="F35" s="233"/>
      <c r="G35" s="230">
        <f>SUM(G26:G33)</f>
        <v>254329.84100000001</v>
      </c>
      <c r="H35" s="231">
        <f>SUM(H26:H33)</f>
        <v>239087.32200000004</v>
      </c>
      <c r="I35" s="232">
        <f>SUM(I26:I33)</f>
        <v>-15242.519000000029</v>
      </c>
      <c r="J35" s="233"/>
      <c r="K35" s="230">
        <f>SUM(K26:K33)</f>
        <v>-105259.32120000002</v>
      </c>
      <c r="L35" s="231">
        <f>SUM(L26:L33)</f>
        <v>268939.5450000001</v>
      </c>
      <c r="M35" s="232">
        <f>SUM(M26:M33)</f>
        <v>-374198.86620000005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7.25" thickBot="1">
      <c r="A39" s="226" t="s">
        <v>73</v>
      </c>
      <c r="B39" s="218"/>
      <c r="C39" s="235">
        <f>+C35-C37</f>
        <v>149070.51979999998</v>
      </c>
      <c r="D39" s="236">
        <f>+D35-D37</f>
        <v>508026.86700000003</v>
      </c>
      <c r="E39" s="260">
        <f>+E35-E37</f>
        <v>-358956.34720000002</v>
      </c>
      <c r="F39" s="237"/>
      <c r="G39" s="235">
        <f>SUM(G35:G37)</f>
        <v>283731.84100000001</v>
      </c>
      <c r="H39" s="236">
        <f>SUM(H35:H37)</f>
        <v>265987.32200000004</v>
      </c>
      <c r="I39" s="260">
        <f>SUM(I35:I37)</f>
        <v>-17744.519000000029</v>
      </c>
      <c r="J39" s="237"/>
      <c r="K39" s="235">
        <f>SUM(K35:K37)</f>
        <v>-134661.32120000001</v>
      </c>
      <c r="L39" s="236">
        <f>SUM(L35:L37)</f>
        <v>242039.5450000001</v>
      </c>
      <c r="M39" s="260">
        <f>SUM(M35:M37)</f>
        <v>-376700.86620000005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5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5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5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283731.84100000001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5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228563.37300000002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5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>_xll.HPVAL($A10,$A$18,$A$2,$A$5,$A$6,$A$7)</f>
        <v>#VALUE!</v>
      </c>
      <c r="E10" s="159" t="e">
        <f>_xll.HPVAL($A10,$A$18,$A$3,$A$5,$A$6,$A$7)</f>
        <v>#VALUE!</v>
      </c>
      <c r="F10" s="160" t="e">
        <f t="shared" si="0"/>
        <v>#VALUE!</v>
      </c>
      <c r="G10" s="52"/>
      <c r="H10" s="158" t="e">
        <f>_xll.HPVAL($A10,$A$1,$A$2,$A$5,$A$6,$A$7)</f>
        <v>#VALUE!</v>
      </c>
      <c r="I10" s="159" t="e">
        <f>_xll.HPVAL($A10,$A$1,$A$3,$A$5,$A$6,$A$7)</f>
        <v>#VALUE!</v>
      </c>
      <c r="J10" s="160" t="e">
        <f t="shared" si="1"/>
        <v>#VALUE!</v>
      </c>
      <c r="K10" s="50"/>
      <c r="L10" s="158" t="e">
        <f t="shared" si="2"/>
        <v>#VALUE!</v>
      </c>
      <c r="M10" s="159" t="e">
        <f t="shared" si="3"/>
        <v>#VALUE!</v>
      </c>
      <c r="N10" s="160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>_xll.HPVAL($A11,$A$18,$A$2,$A$5,$A$6,$A$7)</f>
        <v>#VALUE!</v>
      </c>
      <c r="E11" s="159" t="e">
        <f>_xll.HPVAL($A11,$A$18,$A$3,$A$5,$A$6,$A$7)</f>
        <v>#VALUE!</v>
      </c>
      <c r="F11" s="160" t="e">
        <f t="shared" si="0"/>
        <v>#VALUE!</v>
      </c>
      <c r="G11" s="52"/>
      <c r="H11" s="158" t="e">
        <f>_xll.HPVAL($A11,$A$1,$A$2,$A$5,$A$6,$A$7)</f>
        <v>#VALUE!</v>
      </c>
      <c r="I11" s="159" t="e">
        <f>_xll.HPVAL($A11,$A$1,$A$3,$A$5,$A$6,$A$7)</f>
        <v>#VALUE!</v>
      </c>
      <c r="J11" s="160" t="e">
        <f t="shared" si="1"/>
        <v>#VALUE!</v>
      </c>
      <c r="K11" s="50"/>
      <c r="L11" s="158" t="e">
        <f t="shared" si="2"/>
        <v>#VALUE!</v>
      </c>
      <c r="M11" s="159" t="e">
        <f t="shared" si="3"/>
        <v>#VALUE!</v>
      </c>
      <c r="N11" s="160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>_xll.HPVAL($A12,$A$18,$A$2,$A$5,$A$6,$A$7)</f>
        <v>#VALUE!</v>
      </c>
      <c r="E12" s="159" t="e">
        <f>_xll.HPVAL($A12,$A$18,$A$3,$A$5,$A$6,$A$7)</f>
        <v>#VALUE!</v>
      </c>
      <c r="F12" s="160" t="e">
        <f t="shared" si="0"/>
        <v>#VALUE!</v>
      </c>
      <c r="G12" s="52"/>
      <c r="H12" s="158" t="e">
        <f>_xll.HPVAL($A12,$A$1,$A$2,$A$5,$A$6,$A$7)</f>
        <v>#VALUE!</v>
      </c>
      <c r="I12" s="159" t="e">
        <f>_xll.HPVAL($A12,$A$1,$A$3,$A$5,$A$6,$A$7)</f>
        <v>#VALUE!</v>
      </c>
      <c r="J12" s="160" t="e">
        <f t="shared" si="1"/>
        <v>#VALUE!</v>
      </c>
      <c r="K12" s="50"/>
      <c r="L12" s="158" t="e">
        <f t="shared" si="2"/>
        <v>#VALUE!</v>
      </c>
      <c r="M12" s="159" t="e">
        <f t="shared" si="3"/>
        <v>#VALUE!</v>
      </c>
      <c r="N12" s="160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>_xll.HPVAL($A13,$A$18,$A$2,$A$5,$A$6,$A$7)</f>
        <v>#VALUE!</v>
      </c>
      <c r="E13" s="159" t="e">
        <f>_xll.HPVAL($A13,$A$18,$A$3,$A$5,$A$6,$A$7)</f>
        <v>#VALUE!</v>
      </c>
      <c r="F13" s="160" t="e">
        <f t="shared" si="0"/>
        <v>#VALUE!</v>
      </c>
      <c r="G13" s="52"/>
      <c r="H13" s="158" t="e">
        <f>_xll.HPVAL($A13,$A$1,$A$2,$A$5,$A$6,$A$7)</f>
        <v>#VALUE!</v>
      </c>
      <c r="I13" s="159" t="e">
        <f>_xll.HPVAL($A13,$A$1,$A$3,$A$5,$A$6,$A$7)</f>
        <v>#VALUE!</v>
      </c>
      <c r="J13" s="160" t="e">
        <f t="shared" si="1"/>
        <v>#VALUE!</v>
      </c>
      <c r="K13" s="50"/>
      <c r="L13" s="158" t="e">
        <f t="shared" si="2"/>
        <v>#VALUE!</v>
      </c>
      <c r="M13" s="159" t="e">
        <f t="shared" si="3"/>
        <v>#VALUE!</v>
      </c>
      <c r="N13" s="160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>_xll.HPVAL($A14,$A$18,$A$2,$A$5,$A$6,$A$7)</f>
        <v>#VALUE!</v>
      </c>
      <c r="E14" s="159" t="e">
        <f>_xll.HPVAL($A14,$A$18,$A$3,$A$5,$A$6,$A$7)</f>
        <v>#VALUE!</v>
      </c>
      <c r="F14" s="160" t="e">
        <f t="shared" si="0"/>
        <v>#VALUE!</v>
      </c>
      <c r="G14" s="52"/>
      <c r="H14" s="158" t="e">
        <f>_xll.HPVAL($A14,$A$1,$A$2,$A$5,$A$6,$A$7)</f>
        <v>#VALUE!</v>
      </c>
      <c r="I14" s="159" t="e">
        <f>_xll.HPVAL($A14,$A$1,$A$3,$A$5,$A$6,$A$7)</f>
        <v>#VALUE!</v>
      </c>
      <c r="J14" s="160" t="e">
        <f t="shared" si="1"/>
        <v>#VALUE!</v>
      </c>
      <c r="K14" s="50"/>
      <c r="L14" s="158" t="e">
        <f t="shared" si="2"/>
        <v>#VALUE!</v>
      </c>
      <c r="M14" s="159" t="e">
        <f t="shared" si="3"/>
        <v>#VALUE!</v>
      </c>
      <c r="N14" s="160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0.4257812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72134.72099999999</v>
      </c>
      <c r="H9" s="36">
        <f>GrossMargin!J10</f>
        <v>0</v>
      </c>
      <c r="I9" s="36">
        <f>+'Mgmt Summary'!I9+'[6]YTD Mgmt Summary'!I9</f>
        <v>0</v>
      </c>
      <c r="J9" s="134">
        <f>SUM(G9:I9)</f>
        <v>72134.72099999999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9534.498499999987</v>
      </c>
      <c r="P9" s="37"/>
      <c r="Q9" s="132">
        <f>+'Mgmt Summary'!Q9+'[6]YTD Mgmt Summary'!Q9</f>
        <v>-77865.278999999995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-72951.308499999999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65727.288520000002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65727.288520000002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31188.076519999999</v>
      </c>
      <c r="P10" s="37"/>
      <c r="Q10" s="132">
        <f>+'Mgmt Summary'!Q10+'[6]YTD Mgmt Summary'!Q10</f>
        <v>727.28852000000006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2179.4865199999995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13619.699000000001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13619.699000000001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11586.415000000001</v>
      </c>
      <c r="P11" s="37"/>
      <c r="Q11" s="132">
        <f>+'Mgmt Summary'!Q11+'[6]YTD Mgmt Summary'!Q11</f>
        <v>3619.6990000000001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3757.748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17041.923000000003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17041.923000000003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4543.8260000000028</v>
      </c>
      <c r="P13" s="37"/>
      <c r="Q13" s="132">
        <f>+'Mgmt Summary'!Q13+'[6]YTD Mgmt Summary'!Q13</f>
        <v>-15958.079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-14693.001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39495.206999999995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39495.206999999995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24251.759999999995</v>
      </c>
      <c r="P15" s="37"/>
      <c r="Q15" s="132">
        <f>+'Mgmt Summary'!Q15+'[6]YTD Mgmt Summary'!Q15</f>
        <v>-64919.793000000005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-59811.675000000003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2803.7999999999997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2803.7999999999997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-18684.110999999997</v>
      </c>
      <c r="P16" s="37"/>
      <c r="Q16" s="132">
        <f>+'Mgmt Summary'!Q16+'[6]YTD Mgmt Summary'!Q16</f>
        <v>-18017.7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-18605.726999999999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6340.5590000000002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6340.5590000000002</v>
      </c>
      <c r="K17" s="135"/>
      <c r="L17" s="137"/>
      <c r="M17" s="138">
        <f>+'Mgmt Summary'!M17+'[6]YTD Mgmt Summary'!M17</f>
        <v>20754.319</v>
      </c>
      <c r="N17" s="138">
        <f>+'Mgmt Summary'!N17+'[6]YTD Mgmt Summary'!N17</f>
        <v>4532.125</v>
      </c>
      <c r="O17" s="134">
        <f t="shared" si="3"/>
        <v>-18945.884999999998</v>
      </c>
      <c r="P17" s="37"/>
      <c r="Q17" s="132">
        <f>+'Mgmt Summary'!Q17+'[6]YTD Mgmt Summary'!Q17</f>
        <v>-53659.440999999999</v>
      </c>
      <c r="R17" s="36"/>
      <c r="S17" s="36"/>
      <c r="T17" s="36">
        <f>+'Mgmt Summary'!T17+'[6]YTD Mgmt Summary'!T17</f>
        <v>-15033.319</v>
      </c>
      <c r="U17" s="36">
        <f>+'Mgmt Summary'!U17+'[6]YTD Mgmt Summary'!U17</f>
        <v>230.51600000000008</v>
      </c>
      <c r="V17" s="133">
        <f t="shared" si="0"/>
        <v>-68462.243999999992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2.3250000000000002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2.3250000000000002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-5895.8120000000008</v>
      </c>
      <c r="P20" s="37"/>
      <c r="Q20" s="132">
        <f>+'Mgmt Summary'!Q19+'[6]YTD Mgmt Summary'!Q20</f>
        <v>-7497.6749999999993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-6663.0559999999987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230571.51979999998</v>
      </c>
      <c r="H26" s="44">
        <f t="shared" si="4"/>
        <v>0</v>
      </c>
      <c r="I26" s="44">
        <f t="shared" si="4"/>
        <v>0</v>
      </c>
      <c r="J26" s="46">
        <f t="shared" si="4"/>
        <v>230571.51979999998</v>
      </c>
      <c r="K26" s="44">
        <f t="shared" si="4"/>
        <v>0</v>
      </c>
      <c r="L26" s="43">
        <f t="shared" si="4"/>
        <v>0</v>
      </c>
      <c r="M26" s="44">
        <f t="shared" si="4"/>
        <v>119087.77499999999</v>
      </c>
      <c r="N26" s="44">
        <f t="shared" si="4"/>
        <v>80302.988500000021</v>
      </c>
      <c r="O26" s="46">
        <f t="shared" si="4"/>
        <v>31180.756299999983</v>
      </c>
      <c r="P26" s="37"/>
      <c r="Q26" s="43">
        <f t="shared" ref="Q26:V26" si="5">SUM(Q9:Q25)</f>
        <v>-277455.17719999998</v>
      </c>
      <c r="R26" s="44">
        <f t="shared" si="5"/>
        <v>0</v>
      </c>
      <c r="S26" s="44">
        <f t="shared" si="5"/>
        <v>0</v>
      </c>
      <c r="T26" s="44">
        <f t="shared" si="5"/>
        <v>-8692.6399999999976</v>
      </c>
      <c r="U26" s="44">
        <f t="shared" si="5"/>
        <v>11087.0455</v>
      </c>
      <c r="V26" s="45">
        <f t="shared" si="5"/>
        <v>-275060.77170000004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5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149070.51979999998</v>
      </c>
      <c r="H34" s="44">
        <f t="shared" si="6"/>
        <v>0</v>
      </c>
      <c r="I34" s="44">
        <f t="shared" si="6"/>
        <v>0</v>
      </c>
      <c r="J34" s="46">
        <f t="shared" si="6"/>
        <v>149070.51979999998</v>
      </c>
      <c r="K34" s="44">
        <f t="shared" si="6"/>
        <v>0</v>
      </c>
      <c r="L34" s="43">
        <f t="shared" si="6"/>
        <v>0</v>
      </c>
      <c r="M34" s="44">
        <f t="shared" si="6"/>
        <v>254329.43</v>
      </c>
      <c r="N34" s="44">
        <f t="shared" si="6"/>
        <v>0.41100000002188608</v>
      </c>
      <c r="O34" s="46">
        <f>J34-K34-M34-N34-L34</f>
        <v>-105259.32120000003</v>
      </c>
      <c r="P34" s="37"/>
      <c r="Q34" s="43">
        <f t="shared" ref="Q34:V34" si="7">SUM(Q26:Q33)</f>
        <v>-358956.17719999998</v>
      </c>
      <c r="R34" s="44">
        <f t="shared" si="7"/>
        <v>0</v>
      </c>
      <c r="S34" s="44">
        <f t="shared" si="7"/>
        <v>0</v>
      </c>
      <c r="T34" s="44">
        <f t="shared" si="7"/>
        <v>-15241.833999999997</v>
      </c>
      <c r="U34" s="44">
        <f t="shared" si="7"/>
        <v>-0.21900000000096043</v>
      </c>
      <c r="V34" s="45">
        <f t="shared" si="7"/>
        <v>-374198.23020000005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149070.51979999998</v>
      </c>
      <c r="H38" s="299">
        <f t="shared" si="8"/>
        <v>0</v>
      </c>
      <c r="I38" s="299">
        <f t="shared" si="8"/>
        <v>0</v>
      </c>
      <c r="J38" s="301">
        <f t="shared" si="8"/>
        <v>149070.51979999998</v>
      </c>
      <c r="K38" s="299">
        <f t="shared" si="8"/>
        <v>0</v>
      </c>
      <c r="L38" s="298">
        <f t="shared" si="8"/>
        <v>0</v>
      </c>
      <c r="M38" s="299">
        <f t="shared" si="8"/>
        <v>283731.43</v>
      </c>
      <c r="N38" s="299">
        <f t="shared" si="8"/>
        <v>0.41100000002188608</v>
      </c>
      <c r="O38" s="301">
        <f>J38-K38-M38-N38-L38</f>
        <v>-134661.32120000003</v>
      </c>
      <c r="P38" s="37"/>
      <c r="Q38" s="39">
        <f t="shared" si="8"/>
        <v>-358956.17719999998</v>
      </c>
      <c r="R38" s="40">
        <f t="shared" si="8"/>
        <v>0</v>
      </c>
      <c r="S38" s="40">
        <f t="shared" si="8"/>
        <v>0</v>
      </c>
      <c r="T38" s="40">
        <f t="shared" si="8"/>
        <v>-17743.833999999995</v>
      </c>
      <c r="U38" s="40">
        <f t="shared" si="8"/>
        <v>-0.21900000000096043</v>
      </c>
      <c r="V38" s="41">
        <f t="shared" si="8"/>
        <v>-376700.23020000005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7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P23" sqref="P2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23,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-51497.476000000002</v>
      </c>
      <c r="D9" s="222">
        <f>+'Mgmt Summary'!C9</f>
        <v>45000</v>
      </c>
      <c r="E9" s="223">
        <f t="shared" ref="E9:E15" si="0">-D9+C9</f>
        <v>-96497.475999999995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-68419.218999999997</v>
      </c>
      <c r="L9" s="222">
        <f t="shared" ref="K9:L15" si="2">D9-H9</f>
        <v>28078.257000000001</v>
      </c>
      <c r="M9" s="223">
        <f t="shared" ref="M9:M15" si="3">K9-L9</f>
        <v>-96497.475999999995</v>
      </c>
      <c r="N9" s="267"/>
      <c r="O9" s="221">
        <f>+'GM-WeeklyChnge'!K9</f>
        <v>-4539.0610000000015</v>
      </c>
      <c r="P9" s="222">
        <f>-G9+'[7]QTD Mgmt Summary'!G9</f>
        <v>0</v>
      </c>
      <c r="Q9" s="223">
        <f>+O9+P9</f>
        <v>-4539.0610000000015</v>
      </c>
    </row>
    <row r="10" spans="1:22" s="32" customFormat="1" ht="13.5" customHeight="1">
      <c r="A10" s="219" t="s">
        <v>116</v>
      </c>
      <c r="B10" s="220"/>
      <c r="C10" s="221">
        <f>+'Mgmt Summary'!J10</f>
        <v>3459.6349999999998</v>
      </c>
      <c r="D10" s="222">
        <f>+'Mgmt Summary'!C10</f>
        <v>16250</v>
      </c>
      <c r="E10" s="223">
        <f t="shared" si="0"/>
        <v>-12790.365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-5439.8520000000008</v>
      </c>
      <c r="L10" s="222">
        <f t="shared" si="2"/>
        <v>7350.512999999999</v>
      </c>
      <c r="M10" s="223">
        <f t="shared" si="3"/>
        <v>-12790.365</v>
      </c>
      <c r="N10" s="267"/>
      <c r="O10" s="221">
        <f>+'GM-WeeklyChnge'!K10</f>
        <v>-569.05100000000004</v>
      </c>
      <c r="P10" s="222">
        <f>-G10+'[7]QTD Mgmt Summary'!G10</f>
        <v>0</v>
      </c>
      <c r="Q10" s="223">
        <f t="shared" ref="Q10:Q23" si="4">+O10+P10</f>
        <v>-569.05100000000004</v>
      </c>
    </row>
    <row r="11" spans="1:22" s="32" customFormat="1" ht="13.5" customHeight="1">
      <c r="A11" s="219" t="s">
        <v>108</v>
      </c>
      <c r="B11" s="220"/>
      <c r="C11" s="221">
        <f>+'Mgmt Summary'!J11</f>
        <v>3154</v>
      </c>
      <c r="D11" s="222">
        <f>+'Mgmt Summary'!C11</f>
        <v>2500</v>
      </c>
      <c r="E11" s="223">
        <f>-D11+C11</f>
        <v>654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2430.7260000000001</v>
      </c>
      <c r="L11" s="222">
        <f>D11-H11</f>
        <v>1776.7260000000001</v>
      </c>
      <c r="M11" s="223">
        <f>K11-L11</f>
        <v>654</v>
      </c>
      <c r="N11" s="267"/>
      <c r="O11" s="221">
        <f>+'GM-WeeklyChnge'!K11</f>
        <v>-233</v>
      </c>
      <c r="P11" s="222">
        <f>-G11+'[7]QTD Mgmt Summary'!G11</f>
        <v>0</v>
      </c>
      <c r="Q11" s="223">
        <f t="shared" si="4"/>
        <v>-233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-9470</v>
      </c>
      <c r="D13" s="222">
        <f>+'Mgmt Summary'!C13</f>
        <v>8752.58</v>
      </c>
      <c r="E13" s="223">
        <f t="shared" si="0"/>
        <v>-18222.580000000002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-13106.833000000001</v>
      </c>
      <c r="L13" s="222">
        <f t="shared" si="2"/>
        <v>5415.7469999999994</v>
      </c>
      <c r="M13" s="223">
        <f t="shared" si="3"/>
        <v>-18522.580000000002</v>
      </c>
      <c r="N13" s="267"/>
      <c r="O13" s="221">
        <f>+'GM-WeeklyChnge'!K13</f>
        <v>-4578</v>
      </c>
      <c r="P13" s="222">
        <f>-G13+'[7]QTD Mgmt Summary'!G13</f>
        <v>0</v>
      </c>
      <c r="Q13" s="223">
        <f t="shared" si="4"/>
        <v>-4578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0</v>
      </c>
      <c r="P14" s="222">
        <f>-G14+'[7]QTD Mgmt Summary'!G14</f>
        <v>0</v>
      </c>
      <c r="Q14" s="223">
        <f t="shared" si="4"/>
        <v>0</v>
      </c>
    </row>
    <row r="15" spans="1:22" s="32" customFormat="1" ht="13.5" customHeight="1">
      <c r="A15" s="219" t="s">
        <v>49</v>
      </c>
      <c r="B15" s="220"/>
      <c r="C15" s="221">
        <f>+'Mgmt Summary'!J15</f>
        <v>3316</v>
      </c>
      <c r="D15" s="222">
        <f>+'Mgmt Summary'!C15</f>
        <v>29545</v>
      </c>
      <c r="E15" s="223">
        <f t="shared" si="0"/>
        <v>-26229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185.45299999999952</v>
      </c>
      <c r="L15" s="222">
        <f t="shared" si="2"/>
        <v>26414.453000000001</v>
      </c>
      <c r="M15" s="223">
        <f t="shared" si="3"/>
        <v>-26229</v>
      </c>
      <c r="N15" s="267"/>
      <c r="O15" s="221">
        <f>+'GM-WeeklyChnge'!K21</f>
        <v>1480</v>
      </c>
      <c r="P15" s="222">
        <f>-G15+'[7]QTD Mgmt Summary'!G15</f>
        <v>0</v>
      </c>
      <c r="Q15" s="223">
        <f t="shared" si="4"/>
        <v>1480</v>
      </c>
    </row>
    <row r="16" spans="1:22" s="32" customFormat="1" ht="13.5" customHeight="1">
      <c r="A16" s="219" t="s">
        <v>105</v>
      </c>
      <c r="B16" s="220"/>
      <c r="C16" s="221">
        <f>+'Mgmt Summary'!J16</f>
        <v>-152.096</v>
      </c>
      <c r="D16" s="222">
        <f>+'Mgmt Summary'!C16</f>
        <v>13305.5</v>
      </c>
      <c r="E16" s="223">
        <f t="shared" ref="E16:E23" si="5">-D16+C16</f>
        <v>-13457.596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-8915.3059999999987</v>
      </c>
      <c r="L16" s="222">
        <f t="shared" si="6"/>
        <v>4542.2900000000009</v>
      </c>
      <c r="M16" s="223">
        <f t="shared" ref="M16:M23" si="7">K16-L16</f>
        <v>-13457.596</v>
      </c>
      <c r="N16" s="267"/>
      <c r="O16" s="221">
        <f>+'GM-WeeklyChnge'!K22</f>
        <v>-59.372</v>
      </c>
      <c r="P16" s="222">
        <f>-G16+'[7]QTD Mgmt Summary'!G16</f>
        <v>0</v>
      </c>
      <c r="Q16" s="223">
        <f t="shared" si="4"/>
        <v>-59.372</v>
      </c>
    </row>
    <row r="17" spans="1:19" s="32" customFormat="1" ht="13.5" customHeight="1">
      <c r="A17" s="219" t="s">
        <v>85</v>
      </c>
      <c r="B17" s="220"/>
      <c r="C17" s="221">
        <f>+'Mgmt Summary'!J17</f>
        <v>2321</v>
      </c>
      <c r="D17" s="222">
        <f>+'Mgmt Summary'!C17</f>
        <v>44000</v>
      </c>
      <c r="E17" s="223">
        <f t="shared" si="5"/>
        <v>-41679</v>
      </c>
      <c r="F17" s="224"/>
      <c r="G17" s="221">
        <f>+Expenses!D17+'Alloc Exp'!K18+'Alloc Exp'!D18</f>
        <v>7459.4279999999999</v>
      </c>
      <c r="H17" s="222">
        <f>+Expenses!E17+'Alloc Exp'!L18+'Alloc Exp'!E18</f>
        <v>2619.4279999999999</v>
      </c>
      <c r="I17" s="223">
        <f t="shared" ref="I17:I23" si="8">+H17-G17</f>
        <v>-4840</v>
      </c>
      <c r="J17" s="224"/>
      <c r="K17" s="221">
        <f t="shared" si="6"/>
        <v>-5138.4279999999999</v>
      </c>
      <c r="L17" s="222">
        <f t="shared" si="6"/>
        <v>41380.572</v>
      </c>
      <c r="M17" s="223">
        <f t="shared" si="7"/>
        <v>-46519</v>
      </c>
      <c r="N17" s="267"/>
      <c r="O17" s="221">
        <f>+'GM-WeeklyChnge'!K23</f>
        <v>97</v>
      </c>
      <c r="P17" s="222">
        <f>-G17+'[7]QTD Mgmt Summary'!G17</f>
        <v>-3000</v>
      </c>
      <c r="Q17" s="223">
        <f t="shared" si="4"/>
        <v>-2903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1.476</v>
      </c>
      <c r="D19" s="255">
        <f>+'Mgmt Summary'!C19</f>
        <v>3750</v>
      </c>
      <c r="E19" s="256">
        <f>-D19+C19</f>
        <v>-3748.5239999999999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-3364.902</v>
      </c>
      <c r="L19" s="255">
        <f>D19-H19</f>
        <v>383.62199999999984</v>
      </c>
      <c r="M19" s="256">
        <f>K19-L19</f>
        <v>-3748.5239999999999</v>
      </c>
      <c r="N19" s="267"/>
      <c r="O19" s="221">
        <f>+'GM-WeeklyChnge'!K25</f>
        <v>6.0999999999999943E-2</v>
      </c>
      <c r="P19" s="222">
        <f>-G19+'[7]QTD Mgmt Summary'!G19</f>
        <v>0</v>
      </c>
      <c r="Q19" s="223">
        <f>+O19+P19</f>
        <v>6.0999999999999943E-2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Summary'!G23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6.5">
      <c r="A25" s="225" t="s">
        <v>90</v>
      </c>
      <c r="B25" s="215"/>
      <c r="C25" s="230">
        <f>SUM(C9:C24)</f>
        <v>-46862.033999999992</v>
      </c>
      <c r="D25" s="231">
        <f>SUM(D9:D24)</f>
        <v>175311.47200000001</v>
      </c>
      <c r="E25" s="232">
        <f>SUM(E9:E24)</f>
        <v>-222173.50599999999</v>
      </c>
      <c r="F25" s="233"/>
      <c r="G25" s="230">
        <f>SUM(G9:G24)</f>
        <v>58286.674999999996</v>
      </c>
      <c r="H25" s="231">
        <f>SUM(H9:H24)</f>
        <v>53146.674999999996</v>
      </c>
      <c r="I25" s="232">
        <f>SUM(I9:I24)</f>
        <v>-5140</v>
      </c>
      <c r="J25" s="233"/>
      <c r="K25" s="230">
        <f>SUM(K9:K24)</f>
        <v>-105148.709</v>
      </c>
      <c r="L25" s="231">
        <f>SUM(L9:L24)</f>
        <v>122164.79700000002</v>
      </c>
      <c r="M25" s="232">
        <f>SUM(M9:M24)</f>
        <v>-227313.50599999999</v>
      </c>
      <c r="N25" s="268"/>
      <c r="O25" s="230">
        <f>SUM(O9:O24)</f>
        <v>-8401.4230000000007</v>
      </c>
      <c r="P25" s="231">
        <f>SUM(P9:P24)</f>
        <v>-3000</v>
      </c>
      <c r="Q25" s="232">
        <f>SUM(Q9:Q24)</f>
        <v>-11401.423000000001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5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5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72</v>
      </c>
      <c r="B34" s="215"/>
      <c r="C34" s="230">
        <f>SUM(C25:C32)</f>
        <v>-76862.033999999985</v>
      </c>
      <c r="D34" s="231">
        <f>SUM(D25:D32)</f>
        <v>175311.47200000001</v>
      </c>
      <c r="E34" s="232">
        <f>SUM(E25:E32)</f>
        <v>-252173.50599999999</v>
      </c>
      <c r="F34" s="233"/>
      <c r="G34" s="230">
        <f>SUM(G25:G32)</f>
        <v>77736.562000000005</v>
      </c>
      <c r="H34" s="231">
        <f>SUM(H25:H32)</f>
        <v>72596.562000000005</v>
      </c>
      <c r="I34" s="232">
        <f>SUM(I25:I32)</f>
        <v>-5140</v>
      </c>
      <c r="J34" s="233"/>
      <c r="K34" s="230">
        <f>SUM(K25:K32)</f>
        <v>-154598.59600000002</v>
      </c>
      <c r="L34" s="231">
        <f>SUM(L25:L32)</f>
        <v>102714.91000000002</v>
      </c>
      <c r="M34" s="232">
        <f>SUM(M25:M32)</f>
        <v>-257313.50599999999</v>
      </c>
      <c r="N34" s="268"/>
      <c r="O34" s="230">
        <f>SUM(O25:O32)</f>
        <v>-8401.4230000000007</v>
      </c>
      <c r="P34" s="231">
        <f>SUM(P25:P32)</f>
        <v>-3000</v>
      </c>
      <c r="Q34" s="232">
        <f>SUM(Q25:Q32)</f>
        <v>-11401.423000000001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73</v>
      </c>
      <c r="B38" s="218"/>
      <c r="C38" s="235">
        <f>+C34-C36</f>
        <v>-76862.033999999985</v>
      </c>
      <c r="D38" s="236">
        <f>+D34-D36</f>
        <v>175311.47200000001</v>
      </c>
      <c r="E38" s="260">
        <f>+E34-E36</f>
        <v>-252173.50599999999</v>
      </c>
      <c r="F38" s="237"/>
      <c r="G38" s="235">
        <f>SUM(G34:G36)</f>
        <v>84136.562000000005</v>
      </c>
      <c r="H38" s="236">
        <f>SUM(H34:H36)</f>
        <v>78996.562000000005</v>
      </c>
      <c r="I38" s="260">
        <f>SUM(I34:I36)</f>
        <v>-5140</v>
      </c>
      <c r="J38" s="237"/>
      <c r="K38" s="235">
        <f>SUM(K34:K36)</f>
        <v>-160998.59600000002</v>
      </c>
      <c r="L38" s="236">
        <f>SUM(L34:L36)</f>
        <v>96314.910000000018</v>
      </c>
      <c r="M38" s="260">
        <f>SUM(M34:M36)</f>
        <v>-257313.50599999999</v>
      </c>
      <c r="N38" s="237"/>
      <c r="O38" s="235">
        <f>SUM(O34:O36)</f>
        <v>-8401.4230000000007</v>
      </c>
      <c r="P38" s="236">
        <f>SUM(P34:P36)</f>
        <v>-3000</v>
      </c>
      <c r="Q38" s="260">
        <f>SUM(Q34:Q36)</f>
        <v>-11401.423000000001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6.5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5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-51497.476000000002</v>
      </c>
      <c r="H9" s="36">
        <f>GrossMargin!J10</f>
        <v>0</v>
      </c>
      <c r="I9" s="36">
        <f>GrossMargin!K10</f>
        <v>0</v>
      </c>
      <c r="J9" s="134">
        <f t="shared" ref="J9:J16" si="1">SUM(G9:I9)</f>
        <v>-51497.476000000002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-68419.218999999997</v>
      </c>
      <c r="P9" s="37"/>
      <c r="Q9" s="132">
        <f t="shared" ref="Q9:Q16" si="3">+J9-C9</f>
        <v>-96497.475999999995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-96497.475999999995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3459.6349999999998</v>
      </c>
      <c r="H10" s="36">
        <f>GrossMargin!J11</f>
        <v>0</v>
      </c>
      <c r="I10" s="36">
        <f>GrossMargin!K11</f>
        <v>0</v>
      </c>
      <c r="J10" s="134">
        <f t="shared" si="1"/>
        <v>3459.6349999999998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-5439.8520000000008</v>
      </c>
      <c r="P10" s="37"/>
      <c r="Q10" s="132">
        <f t="shared" si="3"/>
        <v>-12790.365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-12790.365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3154</v>
      </c>
      <c r="H11" s="36">
        <f>GrossMargin!J12</f>
        <v>0</v>
      </c>
      <c r="I11" s="36">
        <f>GrossMargin!K12</f>
        <v>0</v>
      </c>
      <c r="J11" s="134">
        <f>SUM(G11:I11)</f>
        <v>3154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2430.7260000000001</v>
      </c>
      <c r="P11" s="37"/>
      <c r="Q11" s="132">
        <f>+J11-C11</f>
        <v>654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654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-9470</v>
      </c>
      <c r="H13" s="36">
        <f>GrossMargin!J14</f>
        <v>0</v>
      </c>
      <c r="I13" s="36">
        <f>GrossMargin!K14</f>
        <v>0</v>
      </c>
      <c r="J13" s="134">
        <f t="shared" si="1"/>
        <v>-9470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-13106.833000000001</v>
      </c>
      <c r="P13" s="37"/>
      <c r="Q13" s="132">
        <f t="shared" si="3"/>
        <v>-18222.580000000002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-18522.580000000002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3316</v>
      </c>
      <c r="H15" s="138">
        <f>GrossMargin!J16</f>
        <v>0</v>
      </c>
      <c r="I15" s="138">
        <f>+GrossMargin!K22</f>
        <v>0</v>
      </c>
      <c r="J15" s="295">
        <f t="shared" si="1"/>
        <v>3316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185.45299999999975</v>
      </c>
      <c r="P15" s="177"/>
      <c r="Q15" s="137">
        <f t="shared" si="3"/>
        <v>-26229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-26229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-152.096</v>
      </c>
      <c r="H16" s="138">
        <f>GrossMargin!J18</f>
        <v>0</v>
      </c>
      <c r="I16" s="138">
        <f>+GrossMargin!K23</f>
        <v>0</v>
      </c>
      <c r="J16" s="295">
        <f t="shared" si="1"/>
        <v>-152.096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-8915.3059999999987</v>
      </c>
      <c r="P16" s="177"/>
      <c r="Q16" s="137">
        <f t="shared" si="3"/>
        <v>-13457.596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-13457.596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2321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2321</v>
      </c>
      <c r="K17" s="296"/>
      <c r="L17" s="137">
        <f>+'Alloc Exp'!D18</f>
        <v>0</v>
      </c>
      <c r="M17" s="36">
        <f>Expenses!D17</f>
        <v>6270.25</v>
      </c>
      <c r="N17" s="138">
        <f>+'Alloc Exp'!K18</f>
        <v>1189.1780000000001</v>
      </c>
      <c r="O17" s="295">
        <f t="shared" ref="O17:O23" si="7">J17-K17-M17-N17-L17</f>
        <v>-5138.4279999999999</v>
      </c>
      <c r="P17" s="177"/>
      <c r="Q17" s="137">
        <f t="shared" ref="Q17:Q23" si="8">+J17-C17</f>
        <v>-41679</v>
      </c>
      <c r="R17" s="138"/>
      <c r="S17" s="138">
        <f>+'Alloc Exp'!F18</f>
        <v>0</v>
      </c>
      <c r="T17" s="36">
        <f>Expenses!F17</f>
        <v>-4840</v>
      </c>
      <c r="U17" s="138">
        <f>+'Alloc Exp'!M18</f>
        <v>0</v>
      </c>
      <c r="V17" s="133">
        <f t="shared" si="4"/>
        <v>-46519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1.476</v>
      </c>
      <c r="H19" s="138">
        <f>GrossMargin!J22</f>
        <v>0</v>
      </c>
      <c r="I19" s="138">
        <f>+GrossMargin!K26</f>
        <v>0</v>
      </c>
      <c r="J19" s="295">
        <f t="shared" si="6"/>
        <v>1.476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-3364.902</v>
      </c>
      <c r="P19" s="177"/>
      <c r="Q19" s="137">
        <f t="shared" si="8"/>
        <v>-3748.5239999999999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-3748.5239999999999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-46862.033999999992</v>
      </c>
      <c r="H25" s="44">
        <f t="shared" si="9"/>
        <v>0</v>
      </c>
      <c r="I25" s="44">
        <f t="shared" si="9"/>
        <v>0</v>
      </c>
      <c r="J25" s="46">
        <f t="shared" si="9"/>
        <v>-46862.033999999992</v>
      </c>
      <c r="K25" s="44">
        <f t="shared" si="9"/>
        <v>0</v>
      </c>
      <c r="L25" s="43">
        <f t="shared" si="9"/>
        <v>0</v>
      </c>
      <c r="M25" s="44">
        <f t="shared" si="9"/>
        <v>35094.57699999999</v>
      </c>
      <c r="N25" s="44">
        <f t="shared" si="9"/>
        <v>23192.098000000002</v>
      </c>
      <c r="O25" s="46">
        <f t="shared" si="9"/>
        <v>-105148.709</v>
      </c>
      <c r="P25" s="37"/>
      <c r="Q25" s="43">
        <f t="shared" ref="Q25:V25" si="10">SUM(Q9:Q24)</f>
        <v>-222173.50599999999</v>
      </c>
      <c r="R25" s="44">
        <f t="shared" si="10"/>
        <v>0</v>
      </c>
      <c r="S25" s="44">
        <f t="shared" si="10"/>
        <v>0</v>
      </c>
      <c r="T25" s="44">
        <f t="shared" si="10"/>
        <v>-5140</v>
      </c>
      <c r="U25" s="44">
        <f t="shared" si="10"/>
        <v>0</v>
      </c>
      <c r="V25" s="45">
        <f t="shared" si="10"/>
        <v>-227313.50599999999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5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5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-76862.033999999985</v>
      </c>
      <c r="H34" s="44">
        <f t="shared" si="15"/>
        <v>0</v>
      </c>
      <c r="I34" s="44">
        <f t="shared" si="15"/>
        <v>0</v>
      </c>
      <c r="J34" s="46">
        <f t="shared" si="15"/>
        <v>-76862.033999999985</v>
      </c>
      <c r="K34" s="44">
        <f t="shared" si="15"/>
        <v>0</v>
      </c>
      <c r="L34" s="43">
        <f t="shared" si="15"/>
        <v>0</v>
      </c>
      <c r="M34" s="44">
        <f t="shared" si="15"/>
        <v>77736.561999999991</v>
      </c>
      <c r="N34" s="44">
        <f t="shared" si="15"/>
        <v>0</v>
      </c>
      <c r="O34" s="46">
        <f>J34-K34-M34-N34-L34</f>
        <v>-154598.59599999996</v>
      </c>
      <c r="P34" s="37"/>
      <c r="Q34" s="43">
        <f t="shared" ref="Q34:V34" si="16">SUM(Q25:Q33)</f>
        <v>-252173.50599999999</v>
      </c>
      <c r="R34" s="44">
        <f t="shared" si="16"/>
        <v>0</v>
      </c>
      <c r="S34" s="44">
        <f t="shared" si="16"/>
        <v>0</v>
      </c>
      <c r="T34" s="44">
        <f t="shared" si="16"/>
        <v>-5140</v>
      </c>
      <c r="U34" s="44">
        <f t="shared" si="16"/>
        <v>0</v>
      </c>
      <c r="V34" s="45">
        <f t="shared" si="16"/>
        <v>-257313.50599999999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-76862.033999999985</v>
      </c>
      <c r="H38" s="299">
        <f t="shared" si="17"/>
        <v>0</v>
      </c>
      <c r="I38" s="299">
        <f t="shared" si="17"/>
        <v>0</v>
      </c>
      <c r="J38" s="301">
        <f t="shared" si="17"/>
        <v>-76862.033999999985</v>
      </c>
      <c r="K38" s="299">
        <f t="shared" si="17"/>
        <v>0</v>
      </c>
      <c r="L38" s="298">
        <f t="shared" si="17"/>
        <v>0</v>
      </c>
      <c r="M38" s="299">
        <f t="shared" si="17"/>
        <v>84136.561999999991</v>
      </c>
      <c r="N38" s="299">
        <f t="shared" si="17"/>
        <v>0</v>
      </c>
      <c r="O38" s="301">
        <f>J38-K38-M38-N38-L38</f>
        <v>-160998.59599999996</v>
      </c>
      <c r="P38" s="37"/>
      <c r="Q38" s="39">
        <f t="shared" si="17"/>
        <v>-252173.50599999999</v>
      </c>
      <c r="R38" s="40">
        <f t="shared" si="17"/>
        <v>0</v>
      </c>
      <c r="S38" s="40">
        <f t="shared" si="17"/>
        <v>0</v>
      </c>
      <c r="T38" s="40">
        <f t="shared" si="17"/>
        <v>-5140</v>
      </c>
      <c r="U38" s="40">
        <f t="shared" si="17"/>
        <v>0</v>
      </c>
      <c r="V38" s="41">
        <f t="shared" si="17"/>
        <v>-257313.50599999999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B31" sqref="B31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November 23,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-4539.0610000000015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-4539.0610000000015</v>
      </c>
      <c r="I9" s="132">
        <v>0</v>
      </c>
      <c r="J9" s="138">
        <f>+GrossMargin!K10-[7]GrossMargin!K10</f>
        <v>0</v>
      </c>
      <c r="K9" s="133">
        <f t="shared" ref="K9:K20" si="1">SUM(H9:J9)</f>
        <v>-4539.0610000000015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-574</v>
      </c>
      <c r="D10" s="138">
        <f>+GrossMargin!E11-[7]GrossMargin!E11</f>
        <v>4.9489999999999981</v>
      </c>
      <c r="E10" s="36"/>
      <c r="F10" s="138">
        <f>+GrossMargin!G11-[7]GrossMargin!G11</f>
        <v>0</v>
      </c>
      <c r="G10" s="136">
        <v>0</v>
      </c>
      <c r="H10" s="134">
        <f t="shared" si="0"/>
        <v>-569.05100000000004</v>
      </c>
      <c r="I10" s="132">
        <v>0</v>
      </c>
      <c r="J10" s="138">
        <f>+GrossMargin!K11-[7]GrossMargin!K11</f>
        <v>0</v>
      </c>
      <c r="K10" s="133">
        <f t="shared" si="1"/>
        <v>-569.05100000000004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-233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-233</v>
      </c>
      <c r="I11" s="132">
        <v>0</v>
      </c>
      <c r="J11" s="138">
        <f>+GrossMargin!K12-[7]GrossMargin!K12</f>
        <v>0</v>
      </c>
      <c r="K11" s="133">
        <f t="shared" si="1"/>
        <v>-233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-4578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-4578</v>
      </c>
      <c r="I13" s="132">
        <v>0</v>
      </c>
      <c r="J13" s="138">
        <f>+GrossMargin!K14-[7]GrossMargin!K14</f>
        <v>0</v>
      </c>
      <c r="K13" s="133">
        <f t="shared" si="1"/>
        <v>-4578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0</v>
      </c>
      <c r="E14" s="36"/>
      <c r="F14" s="138">
        <f>+GrossMargin!G15-[7]GrossMargin!G15</f>
        <v>0</v>
      </c>
      <c r="G14" s="136">
        <v>0</v>
      </c>
      <c r="H14" s="134">
        <f t="shared" si="0"/>
        <v>0</v>
      </c>
      <c r="I14" s="132">
        <v>0</v>
      </c>
      <c r="J14" s="138">
        <f>+GrossMargin!K15-[7]GrossMargin!K15</f>
        <v>0</v>
      </c>
      <c r="K14" s="133">
        <f t="shared" si="1"/>
        <v>0</v>
      </c>
    </row>
    <row r="15" spans="1:11" ht="13.5" hidden="1" customHeight="1">
      <c r="A15" s="285" t="s">
        <v>77</v>
      </c>
      <c r="B15" s="245"/>
      <c r="C15" s="137">
        <f>+GrossMargin!D16-[7]GrossMargin!D16</f>
        <v>205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205</v>
      </c>
      <c r="I15" s="271">
        <v>0</v>
      </c>
      <c r="J15" s="138">
        <f>+GrossMargin!K16-[7]GrossMargin!K16</f>
        <v>0</v>
      </c>
      <c r="K15" s="272">
        <f t="shared" si="1"/>
        <v>205</v>
      </c>
    </row>
    <row r="16" spans="1:11" ht="13.5" hidden="1" customHeight="1">
      <c r="A16" s="285" t="s">
        <v>93</v>
      </c>
      <c r="B16" s="245"/>
      <c r="C16" s="137">
        <f>+GrossMargin!D17-[7]GrossMargin!D17</f>
        <v>130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130</v>
      </c>
      <c r="I16" s="271">
        <v>0</v>
      </c>
      <c r="J16" s="138">
        <f>+GrossMargin!K17-[7]GrossMargin!K17</f>
        <v>0</v>
      </c>
      <c r="K16" s="272">
        <f t="shared" si="1"/>
        <v>130</v>
      </c>
    </row>
    <row r="17" spans="1:11" ht="13.5" hidden="1" customHeight="1">
      <c r="A17" s="285" t="s">
        <v>80</v>
      </c>
      <c r="B17" s="245"/>
      <c r="C17" s="137">
        <f>+GrossMargin!D18-[7]GrossMargin!D18</f>
        <v>1145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1145</v>
      </c>
      <c r="I17" s="271">
        <v>0</v>
      </c>
      <c r="J17" s="138">
        <f>+GrossMargin!K18-[7]GrossMargin!K18</f>
        <v>0</v>
      </c>
      <c r="K17" s="272">
        <f t="shared" si="1"/>
        <v>1145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1480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1480</v>
      </c>
      <c r="I21" s="132">
        <f t="shared" si="2"/>
        <v>0</v>
      </c>
      <c r="J21" s="36">
        <f t="shared" si="2"/>
        <v>0</v>
      </c>
      <c r="K21" s="133">
        <f t="shared" si="2"/>
        <v>1480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-39</v>
      </c>
      <c r="D22" s="138">
        <f>+GrossMargin!E23-[7]GrossMargin!E23</f>
        <v>-20.372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-59.372</v>
      </c>
      <c r="I22" s="132">
        <v>0</v>
      </c>
      <c r="J22" s="138">
        <f>+GrossMargin!K23-[7]GrossMargin!K23</f>
        <v>0</v>
      </c>
      <c r="K22" s="133">
        <f t="shared" ref="K22:K29" si="4">SUM(H22:J22)</f>
        <v>-59.372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97</v>
      </c>
      <c r="D23" s="138">
        <f>+GrossMargin!E24-[7]GrossMargin!E24</f>
        <v>0</v>
      </c>
      <c r="E23" s="36"/>
      <c r="F23" s="138">
        <f>+GrossMargin!G24-[7]GrossMargin!G24</f>
        <v>0</v>
      </c>
      <c r="G23" s="136">
        <v>0</v>
      </c>
      <c r="H23" s="134">
        <f t="shared" si="3"/>
        <v>97</v>
      </c>
      <c r="I23" s="132">
        <v>0</v>
      </c>
      <c r="J23" s="138">
        <f>+GrossMargin!K24-[7]GrossMargin!K24</f>
        <v>0</v>
      </c>
      <c r="K23" s="133">
        <f t="shared" si="4"/>
        <v>97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6.0999999999999943E-2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6.0999999999999943E-2</v>
      </c>
      <c r="I25" s="132"/>
      <c r="J25" s="138">
        <f>+GrossMargin!K26-[7]GrossMargin!K26</f>
        <v>0</v>
      </c>
      <c r="K25" s="133">
        <f t="shared" si="4"/>
        <v>6.0999999999999943E-2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-8386.0000000000018</v>
      </c>
      <c r="D31" s="44">
        <f>SUM(D9:D14)+SUM(D21:D29)</f>
        <v>-15.423000000000002</v>
      </c>
      <c r="E31" s="44">
        <f>SUM(E9:E14)+SUM(E21:E29)</f>
        <v>0</v>
      </c>
      <c r="F31" s="45">
        <f>SUM(F9:F14)+SUM(F21:F29)</f>
        <v>0</v>
      </c>
      <c r="G31" s="44">
        <f>SUM(G9:G14)+SUM(G21:G29)</f>
        <v>0</v>
      </c>
      <c r="H31" s="46">
        <f>SUM(H9:H14)+SUM(H21:H29)</f>
        <v>-8401.4230000000007</v>
      </c>
      <c r="I31" s="44" t="e">
        <f>+#REF!+#REF!</f>
        <v>#REF!</v>
      </c>
      <c r="J31" s="44">
        <f>SUM(J9:J14)+SUM(J21:J29)</f>
        <v>0</v>
      </c>
      <c r="K31" s="45">
        <f>SUM(K9:K14)+SUM(K21:K29)</f>
        <v>-8401.4230000000007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-8386.0000000000018</v>
      </c>
      <c r="D35" s="40">
        <f t="shared" si="5"/>
        <v>-15.423000000000002</v>
      </c>
      <c r="E35" s="40">
        <f t="shared" si="5"/>
        <v>0</v>
      </c>
      <c r="F35" s="40">
        <f t="shared" si="5"/>
        <v>0</v>
      </c>
      <c r="G35" s="40">
        <f t="shared" si="5"/>
        <v>0</v>
      </c>
      <c r="H35" s="42">
        <f t="shared" si="5"/>
        <v>-8401.4230000000007</v>
      </c>
      <c r="I35" s="40">
        <f t="shared" si="5"/>
        <v>0</v>
      </c>
      <c r="J35" s="40">
        <f t="shared" si="5"/>
        <v>0</v>
      </c>
      <c r="K35" s="41">
        <f t="shared" si="5"/>
        <v>-8401.4230000000007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5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75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G42" sqref="G42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November 23,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-51496-1.476</f>
        <v>-51497.476000000002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-51497.476000000002</v>
      </c>
      <c r="J10" s="135"/>
      <c r="K10" s="36">
        <v>0</v>
      </c>
      <c r="L10" s="36">
        <f>+I10+K10</f>
        <v>-51497.476000000002</v>
      </c>
      <c r="M10" s="249">
        <v>45000</v>
      </c>
      <c r="N10" s="133">
        <f t="shared" ref="N10:N23" si="1">L10-M10</f>
        <v>-96497.475999999995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3379</v>
      </c>
      <c r="E11" s="138">
        <v>116.294</v>
      </c>
      <c r="F11" s="138">
        <v>0</v>
      </c>
      <c r="G11" s="138">
        <v>-35.658999999999999</v>
      </c>
      <c r="H11" s="136">
        <v>0</v>
      </c>
      <c r="I11" s="134">
        <f t="shared" si="0"/>
        <v>3459.6349999999998</v>
      </c>
      <c r="J11" s="135"/>
      <c r="K11" s="36">
        <v>0</v>
      </c>
      <c r="L11" s="36">
        <f t="shared" ref="L11:L23" si="2">+I11+K11</f>
        <v>3459.6349999999998</v>
      </c>
      <c r="M11" s="249">
        <f>13750-M12+1875+3125</f>
        <v>16250</v>
      </c>
      <c r="N11" s="133">
        <f t="shared" si="1"/>
        <v>-12790.365</v>
      </c>
    </row>
    <row r="12" spans="1:16" s="186" customFormat="1" ht="13.5" customHeight="1">
      <c r="A12" s="12"/>
      <c r="B12" s="106" t="s">
        <v>108</v>
      </c>
      <c r="C12" s="185"/>
      <c r="D12" s="137">
        <v>3154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3154</v>
      </c>
      <c r="J12" s="135"/>
      <c r="K12" s="36">
        <v>0</v>
      </c>
      <c r="L12" s="36">
        <f>+I12+K12</f>
        <v>3154</v>
      </c>
      <c r="M12" s="249">
        <v>2500</v>
      </c>
      <c r="N12" s="133">
        <f>L12-M12</f>
        <v>654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-9470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-9470</v>
      </c>
      <c r="J14" s="135"/>
      <c r="K14" s="36">
        <v>0</v>
      </c>
      <c r="L14" s="36">
        <f t="shared" si="2"/>
        <v>-9470</v>
      </c>
      <c r="M14" s="249">
        <f>10252.58-1500</f>
        <v>8752.58</v>
      </c>
      <c r="N14" s="133">
        <f t="shared" si="1"/>
        <v>-18222.580000000002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-489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-489</v>
      </c>
      <c r="J16" s="242"/>
      <c r="K16" s="242">
        <v>0</v>
      </c>
      <c r="L16" s="36">
        <f t="shared" si="2"/>
        <v>-489</v>
      </c>
      <c r="M16" s="251">
        <v>0</v>
      </c>
      <c r="N16" s="243">
        <f>L16-M16</f>
        <v>-489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3031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3031</v>
      </c>
      <c r="J17" s="242"/>
      <c r="K17" s="242">
        <v>0</v>
      </c>
      <c r="L17" s="36">
        <f>+I17+K17</f>
        <v>3031</v>
      </c>
      <c r="M17" s="251">
        <v>0</v>
      </c>
      <c r="N17" s="243">
        <f>L17-M17</f>
        <v>3031</v>
      </c>
    </row>
    <row r="18" spans="1:16" ht="13.5" hidden="1" customHeight="1">
      <c r="B18" s="238" t="s">
        <v>80</v>
      </c>
      <c r="C18" s="239"/>
      <c r="D18" s="240">
        <v>782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782</v>
      </c>
      <c r="J18" s="242"/>
      <c r="K18" s="242">
        <v>0</v>
      </c>
      <c r="L18" s="36">
        <f t="shared" si="2"/>
        <v>782</v>
      </c>
      <c r="M18" s="251">
        <v>0</v>
      </c>
      <c r="N18" s="243">
        <f>L18-M18</f>
        <v>782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3316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3316</v>
      </c>
      <c r="J22" s="135"/>
      <c r="K22" s="36">
        <f>SUM(K16:K21)</f>
        <v>0</v>
      </c>
      <c r="L22" s="36">
        <f t="shared" si="2"/>
        <v>3316</v>
      </c>
      <c r="M22" s="249">
        <f>32500-2955</f>
        <v>29545</v>
      </c>
      <c r="N22" s="133">
        <f>L22-M22</f>
        <v>-26229</v>
      </c>
    </row>
    <row r="23" spans="1:16" s="186" customFormat="1" ht="13.5" customHeight="1">
      <c r="A23" s="12"/>
      <c r="B23" s="106" t="s">
        <v>105</v>
      </c>
      <c r="C23" s="185"/>
      <c r="D23" s="137">
        <v>-220</v>
      </c>
      <c r="E23" s="138">
        <v>67.903999999999996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-152.096</v>
      </c>
      <c r="J23" s="135"/>
      <c r="K23" s="36">
        <v>0</v>
      </c>
      <c r="L23" s="36">
        <f t="shared" si="2"/>
        <v>-152.096</v>
      </c>
      <c r="M23" s="136">
        <f>5000+8305.5</f>
        <v>13305.5</v>
      </c>
      <c r="N23" s="133">
        <f t="shared" si="1"/>
        <v>-13457.596</v>
      </c>
    </row>
    <row r="24" spans="1:16" s="186" customFormat="1" ht="13.5" customHeight="1">
      <c r="A24" s="12"/>
      <c r="B24" s="106" t="s">
        <v>85</v>
      </c>
      <c r="C24" s="185"/>
      <c r="D24" s="137">
        <v>1284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2321</v>
      </c>
      <c r="J24" s="135"/>
      <c r="K24" s="36">
        <v>0</v>
      </c>
      <c r="L24" s="36">
        <f t="shared" ref="L24:L30" si="5">+I24+K24</f>
        <v>2321</v>
      </c>
      <c r="M24" s="249">
        <v>44000</v>
      </c>
      <c r="N24" s="133">
        <f t="shared" ref="N24:N30" si="6">L24-M24</f>
        <v>-41679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1.476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1.476</v>
      </c>
      <c r="J26" s="135"/>
      <c r="K26" s="36">
        <v>0</v>
      </c>
      <c r="L26" s="36">
        <f t="shared" si="5"/>
        <v>1.476</v>
      </c>
      <c r="M26" s="249">
        <v>3750</v>
      </c>
      <c r="N26" s="133">
        <f t="shared" si="6"/>
        <v>-3748.5239999999999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-48763</v>
      </c>
      <c r="E32" s="44">
        <f t="shared" si="7"/>
        <v>1899.625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-46862.034</v>
      </c>
      <c r="J32" s="44">
        <f t="shared" si="7"/>
        <v>0</v>
      </c>
      <c r="K32" s="44">
        <f t="shared" si="7"/>
        <v>0</v>
      </c>
      <c r="L32" s="44">
        <f t="shared" si="7"/>
        <v>-46862.034</v>
      </c>
      <c r="M32" s="45">
        <f t="shared" si="7"/>
        <v>175311.47200000001</v>
      </c>
      <c r="N32" s="46">
        <f t="shared" si="7"/>
        <v>-222173.50599999999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-48763</v>
      </c>
      <c r="E36" s="40">
        <f t="shared" si="8"/>
        <v>1899.625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-46862.034</v>
      </c>
      <c r="J36" s="40">
        <f t="shared" si="8"/>
        <v>0</v>
      </c>
      <c r="K36" s="40">
        <f t="shared" si="8"/>
        <v>0</v>
      </c>
      <c r="L36" s="40">
        <f t="shared" si="8"/>
        <v>-46862.034</v>
      </c>
      <c r="M36" s="40">
        <f t="shared" si="8"/>
        <v>175311.47200000001</v>
      </c>
      <c r="N36" s="42">
        <f t="shared" si="8"/>
        <v>-222173.50599999999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17" sqref="D17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5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+E17+1840+3000</f>
        <v>6270.25</v>
      </c>
      <c r="E17" s="171">
        <v>1430.25</v>
      </c>
      <c r="F17" s="175">
        <f t="shared" ref="F17:F22" si="1">E17-D17</f>
        <v>-4840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35094.57699999999</v>
      </c>
      <c r="E24" s="57">
        <f>SUM(E9:E23)</f>
        <v>29954.577000000001</v>
      </c>
      <c r="F24" s="179">
        <f>SUM(F9:F23)</f>
        <v>-5140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77736.561999999991</v>
      </c>
      <c r="E29" s="48">
        <f>SUM(E24:E27)</f>
        <v>72596.562000000005</v>
      </c>
      <c r="F29" s="49">
        <f>SUM(F24:F27)</f>
        <v>-5140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5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23,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5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2001-11-26T13:59:04Z</cp:lastPrinted>
  <dcterms:created xsi:type="dcterms:W3CDTF">1999-10-18T12:36:30Z</dcterms:created>
  <dcterms:modified xsi:type="dcterms:W3CDTF">2023-09-17T16:40:37Z</dcterms:modified>
</cp:coreProperties>
</file>