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drawings/drawing20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DE6B2D-3129-40E4-9D6E-E354E0A22976}" xr6:coauthVersionLast="47" xr6:coauthVersionMax="47" xr10:uidLastSave="{00000000-0000-0000-0000-000000000000}"/>
  <bookViews>
    <workbookView xWindow="-120" yWindow="-120" windowWidth="38640" windowHeight="15720" tabRatio="929" firstSheet="4" activeTab="4"/>
  </bookViews>
  <sheets>
    <sheet name="IS Input" sheetId="1" state="hidden" r:id="rId1"/>
    <sheet name="volumes Input" sheetId="2" state="hidden" r:id="rId2"/>
    <sheet name="Funds Flow-Cap Employed" sheetId="3" state="hidden" r:id="rId3"/>
    <sheet name="Cash Flow by Team" sheetId="4" state="hidden" r:id="rId4"/>
    <sheet name="EGM Summary" sheetId="5" r:id="rId5"/>
    <sheet name="EGM Summary (2)" sheetId="6" r:id="rId6"/>
    <sheet name="Crude &amp; Products" sheetId="7" r:id="rId7"/>
    <sheet name="Crude &amp; Products volumes " sheetId="8" r:id="rId8"/>
    <sheet name="Coal" sheetId="9" r:id="rId9"/>
    <sheet name="Emissions" sheetId="10" state="hidden" r:id="rId10"/>
    <sheet name="Coal volumes" sheetId="11" r:id="rId11"/>
    <sheet name="Weather" sheetId="12" r:id="rId12"/>
    <sheet name="Weather volumes" sheetId="13" r:id="rId13"/>
    <sheet name="Insurance Risk Mkts" sheetId="14" r:id="rId14"/>
    <sheet name="Financial Trading" sheetId="15" r:id="rId15"/>
    <sheet name="PR" sheetId="16" state="hidden" r:id="rId16"/>
    <sheet name="Freight" sheetId="17" r:id="rId17"/>
    <sheet name="Freight volumes" sheetId="18" r:id="rId18"/>
    <sheet name="LNG" sheetId="19" r:id="rId19"/>
    <sheet name="Japan" sheetId="20" r:id="rId20"/>
    <sheet name="Middle East" sheetId="2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'Cash Flow by Team'!$A$1:$P$104</definedName>
    <definedName name="_xlnm.Print_Area" localSheetId="8">Coal!$A$1:$O$43</definedName>
    <definedName name="_xlnm.Print_Area" localSheetId="10">'Coal volumes'!$A$1:$O$42</definedName>
    <definedName name="_xlnm.Print_Area" localSheetId="6">'Crude &amp; Products'!$A$1:$O$43</definedName>
    <definedName name="_xlnm.Print_Area" localSheetId="7">'Crude &amp; Products volumes '!$A$1:$O$43</definedName>
    <definedName name="_xlnm.Print_Area" localSheetId="4">'EGM Summary'!$A$1:$O$42</definedName>
    <definedName name="_xlnm.Print_Area" localSheetId="5">'EGM Summary (2)'!$A$1:$O$42</definedName>
    <definedName name="_xlnm.Print_Area" localSheetId="14">'Financial Trading'!$A$1:$O$43</definedName>
    <definedName name="_xlnm.Print_Area" localSheetId="16">Freight!$A$1:$O$43</definedName>
    <definedName name="_xlnm.Print_Area" localSheetId="17">'Freight volumes'!$A$1:$O$43</definedName>
    <definedName name="_xlnm.Print_Area" localSheetId="2">'Funds Flow-Cap Employed'!$A$1:$P$65</definedName>
    <definedName name="_xlnm.Print_Area" localSheetId="13">'Insurance Risk Mkts'!$A$1:$O$43</definedName>
    <definedName name="_xlnm.Print_Area" localSheetId="0">'IS Input'!$AK$16:$AV$31</definedName>
    <definedName name="_xlnm.Print_Area" localSheetId="19">Japan!$A$1:$O$44</definedName>
    <definedName name="_xlnm.Print_Area" localSheetId="18">LNG!$A$1:$O$43</definedName>
    <definedName name="_xlnm.Print_Area" localSheetId="1">'volumes Input'!$AK$9:$AX$15</definedName>
    <definedName name="_xlnm.Print_Area" localSheetId="11">Weather!$A$1:$O$43</definedName>
    <definedName name="_xlnm.Print_Area" localSheetId="12">'Weather volumes'!$A$1:$O$42</definedName>
    <definedName name="_xlnm.Print_Titles" localSheetId="1">'volumes Input'!$A:$A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J2" i="4"/>
  <c r="J3" i="4"/>
  <c r="D10" i="4"/>
  <c r="E10" i="4"/>
  <c r="F10" i="4"/>
  <c r="G10" i="4"/>
  <c r="H10" i="4"/>
  <c r="I10" i="4"/>
  <c r="J10" i="4"/>
  <c r="K10" i="4"/>
  <c r="L10" i="4"/>
  <c r="D14" i="4"/>
  <c r="E14" i="4"/>
  <c r="F14" i="4"/>
  <c r="G14" i="4"/>
  <c r="H14" i="4"/>
  <c r="I14" i="4"/>
  <c r="J14" i="4"/>
  <c r="K14" i="4"/>
  <c r="L14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8" i="4"/>
  <c r="E28" i="4"/>
  <c r="F28" i="4"/>
  <c r="G28" i="4"/>
  <c r="H28" i="4"/>
  <c r="I28" i="4"/>
  <c r="J28" i="4"/>
  <c r="K28" i="4"/>
  <c r="L28" i="4"/>
  <c r="D32" i="4"/>
  <c r="E32" i="4"/>
  <c r="F32" i="4"/>
  <c r="G32" i="4"/>
  <c r="H32" i="4"/>
  <c r="I32" i="4"/>
  <c r="J32" i="4"/>
  <c r="K32" i="4"/>
  <c r="L32" i="4"/>
  <c r="D37" i="4"/>
  <c r="E37" i="4"/>
  <c r="F37" i="4"/>
  <c r="G37" i="4"/>
  <c r="H37" i="4"/>
  <c r="I37" i="4"/>
  <c r="J37" i="4"/>
  <c r="K37" i="4"/>
  <c r="L37" i="4"/>
  <c r="D41" i="4"/>
  <c r="E41" i="4"/>
  <c r="F41" i="4"/>
  <c r="G41" i="4"/>
  <c r="H41" i="4"/>
  <c r="I41" i="4"/>
  <c r="J41" i="4"/>
  <c r="K41" i="4"/>
  <c r="L41" i="4"/>
  <c r="D46" i="4"/>
  <c r="E46" i="4"/>
  <c r="F46" i="4"/>
  <c r="G46" i="4"/>
  <c r="H46" i="4"/>
  <c r="I46" i="4"/>
  <c r="J46" i="4"/>
  <c r="K46" i="4"/>
  <c r="L46" i="4"/>
  <c r="D50" i="4"/>
  <c r="E50" i="4"/>
  <c r="F50" i="4"/>
  <c r="G50" i="4"/>
  <c r="H50" i="4"/>
  <c r="I50" i="4"/>
  <c r="J50" i="4"/>
  <c r="K50" i="4"/>
  <c r="L50" i="4"/>
  <c r="D55" i="4"/>
  <c r="E55" i="4"/>
  <c r="F55" i="4"/>
  <c r="G55" i="4"/>
  <c r="H55" i="4"/>
  <c r="I55" i="4"/>
  <c r="J55" i="4"/>
  <c r="K55" i="4"/>
  <c r="L55" i="4"/>
  <c r="D59" i="4"/>
  <c r="E59" i="4"/>
  <c r="F59" i="4"/>
  <c r="G59" i="4"/>
  <c r="H59" i="4"/>
  <c r="I59" i="4"/>
  <c r="J59" i="4"/>
  <c r="K59" i="4"/>
  <c r="L59" i="4"/>
  <c r="D64" i="4"/>
  <c r="E64" i="4"/>
  <c r="F64" i="4"/>
  <c r="G64" i="4"/>
  <c r="H64" i="4"/>
  <c r="I64" i="4"/>
  <c r="J64" i="4"/>
  <c r="K64" i="4"/>
  <c r="L64" i="4"/>
  <c r="D68" i="4"/>
  <c r="E68" i="4"/>
  <c r="F68" i="4"/>
  <c r="G68" i="4"/>
  <c r="H68" i="4"/>
  <c r="I68" i="4"/>
  <c r="J68" i="4"/>
  <c r="K68" i="4"/>
  <c r="L68" i="4"/>
  <c r="D73" i="4"/>
  <c r="E73" i="4"/>
  <c r="F73" i="4"/>
  <c r="G73" i="4"/>
  <c r="H73" i="4"/>
  <c r="I73" i="4"/>
  <c r="J73" i="4"/>
  <c r="K73" i="4"/>
  <c r="L73" i="4"/>
  <c r="D77" i="4"/>
  <c r="E77" i="4"/>
  <c r="F77" i="4"/>
  <c r="G77" i="4"/>
  <c r="H77" i="4"/>
  <c r="I77" i="4"/>
  <c r="J77" i="4"/>
  <c r="K77" i="4"/>
  <c r="L77" i="4"/>
  <c r="D82" i="4"/>
  <c r="E82" i="4"/>
  <c r="F82" i="4"/>
  <c r="G82" i="4"/>
  <c r="H82" i="4"/>
  <c r="I82" i="4"/>
  <c r="J82" i="4"/>
  <c r="K82" i="4"/>
  <c r="L82" i="4"/>
  <c r="D86" i="4"/>
  <c r="E86" i="4"/>
  <c r="F86" i="4"/>
  <c r="G86" i="4"/>
  <c r="H86" i="4"/>
  <c r="I86" i="4"/>
  <c r="J86" i="4"/>
  <c r="K86" i="4"/>
  <c r="L86" i="4"/>
  <c r="D91" i="4"/>
  <c r="E91" i="4"/>
  <c r="F91" i="4"/>
  <c r="G91" i="4"/>
  <c r="H91" i="4"/>
  <c r="I91" i="4"/>
  <c r="J91" i="4"/>
  <c r="K91" i="4"/>
  <c r="L91" i="4"/>
  <c r="D95" i="4"/>
  <c r="E95" i="4"/>
  <c r="F95" i="4"/>
  <c r="G95" i="4"/>
  <c r="H95" i="4"/>
  <c r="I95" i="4"/>
  <c r="J95" i="4"/>
  <c r="K95" i="4"/>
  <c r="L95" i="4"/>
  <c r="J100" i="4"/>
  <c r="K100" i="4"/>
  <c r="L100" i="4"/>
  <c r="J104" i="4"/>
  <c r="K104" i="4"/>
  <c r="L104" i="4"/>
  <c r="J1" i="3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L21" i="3"/>
  <c r="D22" i="3"/>
  <c r="E22" i="3"/>
  <c r="F22" i="3"/>
  <c r="F23" i="3"/>
  <c r="L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L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40" i="3"/>
  <c r="E40" i="3"/>
  <c r="F40" i="3"/>
  <c r="D41" i="3"/>
  <c r="E41" i="3"/>
  <c r="F41" i="3"/>
  <c r="G41" i="3"/>
  <c r="H41" i="3"/>
  <c r="I41" i="3"/>
  <c r="J41" i="3"/>
  <c r="K41" i="3"/>
  <c r="L41" i="3"/>
  <c r="M41" i="3"/>
  <c r="N41" i="3"/>
  <c r="O41" i="3"/>
  <c r="D43" i="3"/>
  <c r="E43" i="3"/>
  <c r="F43" i="3"/>
  <c r="G43" i="3"/>
  <c r="H43" i="3"/>
  <c r="I43" i="3"/>
  <c r="J43" i="3"/>
  <c r="K43" i="3"/>
  <c r="L43" i="3"/>
  <c r="M43" i="3"/>
  <c r="N43" i="3"/>
  <c r="O43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D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D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D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D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BD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D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  <author>agreen3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P1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total (51.1) - show (45) on Crude</t>
        </r>
      </text>
    </comment>
    <comment ref="P2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of (51.1) - show (45) on Crude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<sst xmlns="http://schemas.openxmlformats.org/spreadsheetml/2006/main" count="896" uniqueCount="110">
  <si>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</si>
  <si>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</si>
  <si>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</si>
  <si>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</si>
  <si>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</si>
  <si>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</si>
  <si>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</si>
  <si>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</si>
  <si>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</si>
  <si>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</si>
  <si>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</si>
  <si>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</si>
  <si>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</si>
  <si>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</si>
  <si>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</si>
  <si>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</si>
  <si>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</si>
  <si>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</si>
  <si>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</si>
  <si>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</si>
  <si>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</si>
  <si>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</si>
  <si>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</si>
  <si>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</si>
  <si>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</si>
  <si>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</si>
  <si>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</si>
  <si>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</si>
  <si>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</si>
  <si>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</si>
  <si>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</si>
  <si>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</si>
  <si>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</si>
  <si>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</si>
  <si>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</si>
  <si>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</si>
  <si>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</si>
  <si>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</si>
  <si>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</si>
  <si>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</si>
  <si>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</si>
  <si>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</si>
  <si>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</si>
  <si>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</si>
  <si>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</si>
  <si>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</si>
  <si>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</si>
  <si>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</si>
  <si>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</si>
  <si>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</si>
  <si>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</si>
  <si>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</si>
  <si>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</si>
  <si>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</si>
  <si>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</si>
  <si>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</si>
  <si>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</si>
  <si>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</si>
  <si>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</si>
  <si>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</si>
  <si>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</si>
  <si>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</si>
  <si>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</si>
  <si>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</si>
  <si>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</si>
  <si>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</si>
  <si>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</si>
  <si>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</si>
  <si>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</si>
  <si>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</si>
  <si>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</si>
  <si>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</si>
  <si>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</si>
  <si>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</si>
  <si>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</si>
  <si>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</si>
  <si>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</si>
  <si>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</si>
  <si>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</si>
  <si>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</si>
  <si>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</si>
  <si>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</si>
  <si>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</si>
  <si>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</si>
  <si>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</si>
  <si>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</si>
  <si>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</si>
  <si>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</si>
  <si>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</si>
  <si>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</si>
  <si>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</si>
  <si>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</si>
  <si>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</si>
  <si>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</si>
  <si>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</si>
  <si>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</si>
  <si>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</si>
  <si>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</si>
  <si>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</si>
  <si>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</si>
  <si>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</si>
  <si>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</si>
  <si>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</si>
  <si>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</si>
  <si>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Insurance Risk Markets</t>
  </si>
  <si>
    <t>Net Cash Flow</t>
  </si>
  <si>
    <t>Coal Domestic</t>
  </si>
  <si>
    <t>Coal Int'l (includes Vessel)</t>
  </si>
  <si>
    <t>Sum of Coal &amp; Emissions</t>
  </si>
  <si>
    <t>as of November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</si>
</sst>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  <xf numFmtId="0" fontId="7" fillId="0" borderId="0" xfId="0" applyFont="1" applyBorder="1" applyAlignment="1">
      <alignment horizontal="center"/>
    </xf>
    <xf numFmtId="10" fontId="0" fillId="0" borderId="26" xfId="3" applyNumberFormat="1" applyFont="1" applyBorder="1"/>
    <xf numFmtId="0" fontId="21" fillId="0" borderId="4" xfId="2" quotePrefix="1" applyFont="1" applyBorder="1" applyAlignment="1">
      <alignment horizontal="left"/>
    </xf>
    <xf numFmtId="0" fontId="21" fillId="0" borderId="17" xfId="2" applyFont="1" applyBorder="1"/>
    <xf numFmtId="164" fontId="1" fillId="0" borderId="0" xfId="1" applyNumberFormat="1" applyBorder="1"/>
    <xf numFmtId="164" fontId="1" fillId="0" borderId="18" xfId="1" applyNumberFormat="1" applyBorder="1"/>
    <xf numFmtId="0" fontId="20" fillId="0" borderId="0" xfId="2" applyFill="1"/>
    <xf numFmtId="0" fontId="20" fillId="0" borderId="17" xfId="2" applyFill="1" applyBorder="1"/>
    <xf numFmtId="0" fontId="25" fillId="0" borderId="0" xfId="2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1" fillId="0" borderId="4" xfId="2" applyFont="1" applyBorder="1" applyAlignment="1">
      <alignment horizontal="left"/>
    </xf>
    <xf numFmtId="164" fontId="1" fillId="0" borderId="0" xfId="1" applyNumberFormat="1" applyFill="1" applyBorder="1"/>
    <xf numFmtId="0" fontId="0" fillId="0" borderId="0" xfId="0" applyFill="1" applyBorder="1"/>
    <xf numFmtId="10" fontId="1" fillId="0" borderId="0" xfId="3" applyNumberFormat="1" applyFill="1" applyBorder="1"/>
    <xf numFmtId="10" fontId="1" fillId="0" borderId="18" xfId="3" applyNumberFormat="1" applyFill="1" applyBorder="1"/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16" xfId="2" applyBorder="1"/>
    <xf numFmtId="0" fontId="21" fillId="0" borderId="17" xfId="2" applyFont="1" applyFill="1" applyBorder="1"/>
    <xf numFmtId="0" fontId="20" fillId="0" borderId="5" xfId="2" applyFill="1" applyBorder="1"/>
    <xf numFmtId="0" fontId="25" fillId="0" borderId="15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06410129608095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A2-428A-9F32-77C471411E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8675496688741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A2-428A-9F32-77C471411E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7721702302211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A2-428A-9F32-77C471411E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4567006520487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A2-428A-9F32-77C471411E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695144563674962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A2-428A-9F32-77C471411E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290037282238303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A2-428A-9F32-77C471411E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9239113346958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A2-428A-9F32-77C471411E9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134404499271743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A2-428A-9F32-77C471411E9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81031867412241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A2-428A-9F32-77C471411E9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73013010782797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A2-428A-9F32-77C471411E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27.134721000000006</c:v>
                </c:pt>
                <c:pt idx="1">
                  <c:v>79.333107850000005</c:v>
                </c:pt>
                <c:pt idx="2">
                  <c:v>17.039000000000001</c:v>
                </c:pt>
                <c:pt idx="3">
                  <c:v>6.0778972799999993</c:v>
                </c:pt>
                <c:pt idx="4">
                  <c:v>39.495207000000001</c:v>
                </c:pt>
                <c:pt idx="5">
                  <c:v>2.8037999999999998</c:v>
                </c:pt>
                <c:pt idx="6">
                  <c:v>7.448734</c:v>
                </c:pt>
                <c:pt idx="7">
                  <c:v>2.3249999999999998E-3</c:v>
                </c:pt>
                <c:pt idx="8">
                  <c:v>-30.281074999999998</c:v>
                </c:pt>
                <c:pt idx="9">
                  <c:v>149.05371713000002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A2-428A-9F32-77C471411E98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6A2-428A-9F32-77C471411E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99600421025892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A2-428A-9F32-77C471411E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67002460148818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A2-428A-9F32-77C471411E9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221836085167168"/>
                  <c:y val="0.5298013245033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A2-428A-9F32-77C471411E9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897750260017841"/>
                  <c:y val="0.15894039735099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A2-428A-9F32-77C471411E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2-428A-9F32-77C471411E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22688"/>
        <c:axId val="1"/>
      </c:barChart>
      <c:catAx>
        <c:axId val="112782268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782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8506493506493507"/>
          <c:w val="0.79317779806790345"/>
          <c:h val="0.52597402597402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74-4D1C-98B0-67AC2E97E0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74-4D1C-98B0-67AC2E97E0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74-4D1C-98B0-67AC2E97E01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30519480519480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74-4D1C-98B0-67AC2E97E0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74-4D1C-98B0-67AC2E97E01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74-4D1C-98B0-67AC2E97E01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8181818181818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74-4D1C-98B0-67AC2E97E01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74-4D1C-98B0-67AC2E97E01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74-4D1C-98B0-67AC2E97E01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2068305308320257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74-4D1C-98B0-67AC2E97E0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74-4D1C-98B0-67AC2E97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508192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74-4D1C-98B0-67AC2E97E01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74-4D1C-98B0-67AC2E97E01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674-4D1C-98B0-67AC2E97E01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266602881174705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74-4D1C-98B0-67AC2E97E01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74-4D1C-98B0-67AC2E97E01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74-4D1C-98B0-67AC2E97E0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74-4D1C-98B0-67AC2E97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08192"/>
        <c:axId val="1"/>
      </c:lineChart>
      <c:catAx>
        <c:axId val="10985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2597402597402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508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610389610389607"/>
          <c:w val="0.37739911359682504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3171528753628"/>
          <c:y val="0.1490066225165563"/>
          <c:w val="0.79579029172521765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526363616738914"/>
                  <c:y val="0.32119205298013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12-4537-9123-ABE949FCF6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-68.419218999999998</c:v>
                </c:pt>
                <c:pt idx="4">
                  <c:v>9.534498499999998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2-4537-9123-ABE949FCF6B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2-4537-9123-ABE949FCF6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5086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12-4537-9123-ABE949FCF6B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10563538819429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12-4537-9123-ABE949FCF6B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368473857395003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12-4537-9123-ABE949FCF6B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210592321743754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12-4537-9123-ABE949FCF6B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12-4537-9123-ABE949FCF6B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537-9123-ABE949FCF6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508672"/>
        <c:axId val="1"/>
      </c:lineChart>
      <c:catAx>
        <c:axId val="10985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50867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05285881256045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26865034843481"/>
          <c:w val="0.8497862981431672"/>
          <c:h val="0.6731412859693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Team'!$D$13:$O$13</c:f>
              <c:numCache>
                <c:formatCode>_(* #,##0.0_);_(* \(#,##0.0\);_(* "-"??_);_(@_)</c:formatCode>
                <c:ptCount val="12"/>
                <c:pt idx="0">
                  <c:v>-95.409000000000006</c:v>
                </c:pt>
                <c:pt idx="1">
                  <c:v>40.747999999999998</c:v>
                </c:pt>
                <c:pt idx="2">
                  <c:v>-136.43799999999999</c:v>
                </c:pt>
                <c:pt idx="3">
                  <c:v>23.298999999999999</c:v>
                </c:pt>
                <c:pt idx="4">
                  <c:v>-37.631</c:v>
                </c:pt>
                <c:pt idx="5">
                  <c:v>10.903</c:v>
                </c:pt>
                <c:pt idx="6">
                  <c:v>-25.443000000000001</c:v>
                </c:pt>
                <c:pt idx="7">
                  <c:v>-39.478000000000002</c:v>
                </c:pt>
                <c:pt idx="8">
                  <c:v>19.797000000000001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1DA-B820-1BC5EBA9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50675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Team'!$D$14:$L$14</c:f>
              <c:numCache>
                <c:formatCode>_(* #,##0.0_);_(* \(#,##0.0\);_(* "-"??_);_(@_)</c:formatCode>
                <c:ptCount val="9"/>
                <c:pt idx="0">
                  <c:v>-95.409000000000006</c:v>
                </c:pt>
                <c:pt idx="1">
                  <c:v>-54.661000000000008</c:v>
                </c:pt>
                <c:pt idx="2">
                  <c:v>-191.09899999999999</c:v>
                </c:pt>
                <c:pt idx="3">
                  <c:v>-167.79999999999998</c:v>
                </c:pt>
                <c:pt idx="4">
                  <c:v>-205.43099999999998</c:v>
                </c:pt>
                <c:pt idx="5">
                  <c:v>-194.52799999999999</c:v>
                </c:pt>
                <c:pt idx="6">
                  <c:v>-219.971</c:v>
                </c:pt>
                <c:pt idx="7">
                  <c:v>-259.44900000000001</c:v>
                </c:pt>
                <c:pt idx="8">
                  <c:v>-239.65200000000002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1DA-B820-1BC5EBA9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506752"/>
        <c:axId val="1"/>
      </c:lineChart>
      <c:catAx>
        <c:axId val="10985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7768279000679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506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938798729516612"/>
          <c:w val="0.79613817326039149"/>
          <c:h val="7.7670148381081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D8-4DEF-B275-5ECBA55E89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D8-4DEF-B275-5ECBA55E89C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D8-4DEF-B275-5ECBA55E89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814569536423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D8-4DEF-B275-5ECBA55E89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D8-4DEF-B275-5ECBA55E89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  <c:pt idx="9">
                  <c:v>69486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8-4DEF-B275-5ECBA55E8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83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8-4DEF-B275-5ECBA55E8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818368"/>
        <c:axId val="1"/>
      </c:lineChart>
      <c:catAx>
        <c:axId val="11278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7818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52-461E-B8A5-9BEF86D615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52-461E-B8A5-9BEF86D615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52-461E-B8A5-9BEF86D615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52-461E-B8A5-9BEF86D615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52-461E-B8A5-9BEF86D615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  <c:pt idx="9">
                  <c:v>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2-461E-B8A5-9BEF86D61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2220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52-461E-B8A5-9BEF86D61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822208"/>
        <c:axId val="1"/>
      </c:lineChart>
      <c:catAx>
        <c:axId val="11278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782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66-46F4-98C0-85FF9D0DB46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66-46F4-98C0-85FF9D0DB46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66-46F4-98C0-85FF9D0DB46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66-46F4-98C0-85FF9D0DB46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66-46F4-98C0-85FF9D0DB46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66-46F4-98C0-85FF9D0DB46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66-46F4-98C0-85FF9D0DB46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66-46F4-98C0-85FF9D0DB46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6-46F4-98C0-85FF9D0DB46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1428645793749368"/>
                  <c:y val="0.3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66-46F4-98C0-85FF9D0DB4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  <c:pt idx="9">
                  <c:v>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66-46F4-98C0-85FF9D0D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8255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66-46F4-98C0-85FF9D0D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25568"/>
        <c:axId val="1"/>
      </c:lineChart>
      <c:catAx>
        <c:axId val="11278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782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98-4780-9B36-13630DD6A82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98-4780-9B36-13630DD6A82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98-4780-9B36-13630DD6A82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98-4780-9B36-13630DD6A8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98-4780-9B36-13630DD6A82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98-4780-9B36-13630DD6A82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98-4780-9B36-13630DD6A82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98-4780-9B36-13630DD6A82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98-4780-9B36-13630DD6A8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  <c:pt idx="9">
                  <c:v>352307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98-4780-9B36-13630DD6A8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3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98-4780-9B36-13630DD6A8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819328"/>
        <c:axId val="1"/>
      </c:lineChart>
      <c:catAx>
        <c:axId val="11278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7819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73-40B0-B3CA-05CA92D627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73-40B0-B3CA-05CA92D627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6.6136349999999995</c:v>
                </c:pt>
                <c:pt idx="4">
                  <c:v>79.333107850000005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3-40B0-B3CA-05CA92D627C9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3-40B0-B3CA-05CA92D62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079249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73-40B0-B3CA-05CA92D627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73-40B0-B3CA-05CA92D627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3-40B0-B3CA-05CA92D627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73-40B0-B3CA-05CA92D627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73-40B0-B3CA-05CA92D627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3-40B0-B3CA-05CA92D62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2496"/>
        <c:axId val="1"/>
      </c:lineChart>
      <c:catAx>
        <c:axId val="101079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1079249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5112540192926044"/>
          <c:w val="0.81876417865073903"/>
          <c:h val="0.62700964630225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2861736334405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36-4458-BC57-B59FDF2E5C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8295819935691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36-4458-BC57-B59FDF2E5C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36-4458-BC57-B59FDF2E5C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974276527331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36-4458-BC57-B59FDF2E5C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366559485530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36-4458-BC57-B59FDF2E5C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36-4458-BC57-B59FDF2E5C4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604501607717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36-4458-BC57-B59FDF2E5C4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543408360128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36-4458-BC57-B59FDF2E5C4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2186495176848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36-4458-BC57-B59FDF2E5C4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119482233935898"/>
                  <c:y val="8.68167202572347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36-4458-BC57-B59FDF2E5C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36-4458-BC57-B59FDF2E5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612683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9"/>
              <c:layout>
                <c:manualLayout>
                  <c:xMode val="edge"/>
                  <c:yMode val="edge"/>
                  <c:x val="0.79744219483170942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36-4458-BC57-B59FDF2E5C4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507471543792835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36-4458-BC57-B59FDF2E5C4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405211392685769"/>
                  <c:y val="0.22508038585209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36-4458-BC57-B59FDF2E5C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36-4458-BC57-B59FDF2E5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126832"/>
        <c:axId val="1"/>
      </c:lineChart>
      <c:catAx>
        <c:axId val="112612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8006430868167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612683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353697749196138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7D-4D1D-8B1F-5DBA611FC3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-3.0091260000000011</c:v>
                </c:pt>
                <c:pt idx="4">
                  <c:v>42.761536849999992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D-4D1D-8B1F-5DBA611FC3CF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D-4D1D-8B1F-5DBA611FC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61292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7D-4D1D-8B1F-5DBA611FC3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7D-4D1D-8B1F-5DBA611FC3C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7D-4D1D-8B1F-5DBA611FC3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7D-4D1D-8B1F-5DBA611FC3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7D-4D1D-8B1F-5DBA611FC3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7D-4D1D-8B1F-5DBA611FC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129232"/>
        <c:axId val="1"/>
      </c:lineChart>
      <c:catAx>
        <c:axId val="112612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612923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36845329816334"/>
                  <c:y val="0.46204769379026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3F-43D6-8427-71C539D35F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49835144115950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3F-43D6-8427-71C539D35F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5331111565702"/>
                  <c:y val="0.63696574929658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3F-43D6-8427-71C539D35FB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57980219963223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3F-43D6-8427-71C539D35F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31.038480000000007</c:v>
                </c:pt>
                <c:pt idx="3">
                  <c:v>-76.862033999999994</c:v>
                </c:pt>
                <c:pt idx="4">
                  <c:v>149.05371713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F-43D6-8427-71C539D35FB3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F-43D6-8427-71C539D35F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3324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346551885287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3F-43D6-8427-71C539D35FB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10559426973095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3F-43D6-8427-71C539D35F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42110651840719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3F-43D6-8427-71C539D35F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94804579363264"/>
                  <c:y val="0.47524905646998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3F-43D6-8427-71C539D35FB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79033284368098"/>
                  <c:y val="0.38944019905179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3F-43D6-8427-71C539D35F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3F-43D6-8427-71C539D35F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332464"/>
        <c:axId val="1"/>
      </c:lineChart>
      <c:catAx>
        <c:axId val="109833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33246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78979830365778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331905781584583"/>
          <c:y val="3.5483926858503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2505353319058"/>
          <c:y val="0.13225827283624123"/>
          <c:w val="0.8501070663811563"/>
          <c:h val="0.6709687987789799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Team'!$D$22:$O$22</c:f>
              <c:numCache>
                <c:formatCode>_(* #,##0.0_);_(* \(#,##0.0\);_(* "-"??_);_(@_)</c:formatCode>
                <c:ptCount val="12"/>
                <c:pt idx="0">
                  <c:v>12.599</c:v>
                </c:pt>
                <c:pt idx="1">
                  <c:v>-6.7300000000000013</c:v>
                </c:pt>
                <c:pt idx="2">
                  <c:v>-16.241</c:v>
                </c:pt>
                <c:pt idx="3">
                  <c:v>-31.310000000000002</c:v>
                </c:pt>
                <c:pt idx="4">
                  <c:v>-73.048000000000002</c:v>
                </c:pt>
                <c:pt idx="5">
                  <c:v>7.5369999999999999</c:v>
                </c:pt>
                <c:pt idx="6">
                  <c:v>2.3749999999999991</c:v>
                </c:pt>
                <c:pt idx="7">
                  <c:v>7.3559999999999999</c:v>
                </c:pt>
                <c:pt idx="8">
                  <c:v>-14.707000000000001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7-42E2-837E-3F8CC3A5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13067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Team'!$D$23:$L$23</c:f>
              <c:numCache>
                <c:formatCode>_(* #,##0.0_);_(* \(#,##0.0\);_(* "-"??_);_(@_)</c:formatCode>
                <c:ptCount val="9"/>
                <c:pt idx="0">
                  <c:v>12.599</c:v>
                </c:pt>
                <c:pt idx="1">
                  <c:v>5.8689999999999998</c:v>
                </c:pt>
                <c:pt idx="2">
                  <c:v>-10.372</c:v>
                </c:pt>
                <c:pt idx="3">
                  <c:v>-41.682000000000009</c:v>
                </c:pt>
                <c:pt idx="4">
                  <c:v>-114.73</c:v>
                </c:pt>
                <c:pt idx="5">
                  <c:v>-107.19300000000001</c:v>
                </c:pt>
                <c:pt idx="6">
                  <c:v>-104.81800000000001</c:v>
                </c:pt>
                <c:pt idx="7">
                  <c:v>-97.462000000000018</c:v>
                </c:pt>
                <c:pt idx="8">
                  <c:v>-112.169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7-42E2-837E-3F8CC3A5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130672"/>
        <c:axId val="1"/>
      </c:lineChart>
      <c:catAx>
        <c:axId val="11261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06638115631691E-2"/>
              <c:y val="0.406452253106497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6130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32762312633834"/>
          <c:y val="0.90967885219073241"/>
          <c:w val="0.79443254817987152"/>
          <c:h val="7.7419476782189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C66-ACDA-94D22C6F1E7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2-4C66-ACDA-94D22C6F1E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20238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62-4C66-ACDA-94D22C6F1E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62-4C66-ACDA-94D22C6F1E7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62-4C66-ACDA-94D22C6F1E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62-4C66-ACDA-94D22C6F1E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2-4C66-ACDA-94D22C6F1E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202384"/>
        <c:axId val="1"/>
      </c:lineChart>
      <c:catAx>
        <c:axId val="113020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02023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9-416B-BDEF-F5ACBDEF78CC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9-416B-BDEF-F5ACBDEF7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1985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39-416B-BDEF-F5ACBDEF78C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39-416B-BDEF-F5ACBDEF78C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39-416B-BDEF-F5ACBDEF78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39-416B-BDEF-F5ACBDEF78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39-416B-BDEF-F5ACBDEF78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39-416B-BDEF-F5ACBDEF7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0198544"/>
        <c:axId val="1"/>
      </c:lineChart>
      <c:catAx>
        <c:axId val="113019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0198544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6-49E5-A785-74D01504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9710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6-49E5-A785-74D01504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97104"/>
        <c:axId val="1"/>
      </c:lineChart>
      <c:catAx>
        <c:axId val="11301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019710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B-4502-8EB0-95D69E5DD716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B-4502-8EB0-95D69E5DD7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B-4502-8EB0-95D69E5DD7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B-4502-8EB0-95D69E5DD7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0703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B-4502-8EB0-95D69E5DD7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B-4502-8EB0-95D69E5DD7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0B-4502-8EB0-95D69E5DD7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0B-4502-8EB0-95D69E5DD7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0B-4502-8EB0-95D69E5DD7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070304"/>
        <c:axId val="1"/>
      </c:lineChart>
      <c:catAx>
        <c:axId val="10980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07030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BF-4326-B630-0BA54D6313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BF-4326-B630-0BA54D6313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BF-4326-B630-0BA54D6313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BF-4326-B630-0BA54D6313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  <c:pt idx="9">
                  <c:v>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F-4326-B630-0BA54D6313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613019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F-4326-B630-0BA54D6313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130192"/>
        <c:axId val="1"/>
      </c:lineChart>
      <c:catAx>
        <c:axId val="11261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6130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9C-4FC8-B9D8-B2CBE89D809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9C-4FC8-B9D8-B2CBE89D809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9C-4FC8-B9D8-B2CBE89D809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9C-4FC8-B9D8-B2CBE89D80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9C-4FC8-B9D8-B2CBE89D809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9C-4FC8-B9D8-B2CBE89D80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  <c:pt idx="9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9C-4FC8-B9D8-B2CBE89D80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612443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9C-4FC8-B9D8-B2CBE89D809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9C-4FC8-B9D8-B2CBE89D809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9C-4FC8-B9D8-B2CBE89D809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9C-4FC8-B9D8-B2CBE89D80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9C-4FC8-B9D8-B2CBE89D80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9C-4FC8-B9D8-B2CBE89D80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124432"/>
        <c:axId val="1"/>
      </c:lineChart>
      <c:catAx>
        <c:axId val="112612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6124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00-4843-9CF1-7F54D2000B3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00-4843-9CF1-7F54D2000B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00-4843-9CF1-7F54D2000B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00-4843-9CF1-7F54D2000B3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00-4843-9CF1-7F54D2000B3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00-4843-9CF1-7F54D2000B3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00-4843-9CF1-7F54D2000B3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00-4843-9CF1-7F54D2000B3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00-4843-9CF1-7F54D2000B3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840163204794119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00-4843-9CF1-7F54D2000B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0-4843-9CF1-7F54D2000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612827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00-4843-9CF1-7F54D2000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128272"/>
        <c:axId val="1"/>
      </c:lineChart>
      <c:catAx>
        <c:axId val="112612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2612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C-4D07-ACDD-6A71A5AC66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AC-4D07-ACDD-6A71A5AC66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AC-4D07-ACDD-6A71A5AC66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AC-4D07-ACDD-6A71A5AC66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  <c:pt idx="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C-4D07-ACDD-6A71A5AC6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51011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C-4D07-ACDD-6A71A5AC66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510112"/>
        <c:axId val="1"/>
      </c:lineChart>
      <c:catAx>
        <c:axId val="10985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51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94-46FE-88AD-EC83CC6B19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605610971659877"/>
                  <c:y val="0.72000234375762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94-46FE-88AD-EC83CC6B19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-9.4700000000000006</c:v>
                </c:pt>
                <c:pt idx="4">
                  <c:v>17.039000000000001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4-46FE-88AD-EC83CC6B19D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4-46FE-88AD-EC83CC6B1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175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94-46FE-88AD-EC83CC6B19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94-46FE-88AD-EC83CC6B19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4-46FE-88AD-EC83CC6B19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94-46FE-88AD-EC83CC6B19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94-46FE-88AD-EC83CC6B19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94-46FE-88AD-EC83CC6B1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17568"/>
        <c:axId val="1"/>
      </c:lineChart>
      <c:catAx>
        <c:axId val="11352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175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5894039735099338"/>
          <c:w val="0.86736931267404671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263179752446293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D6-486F-8E57-9B7E1038CC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84241040543835"/>
                  <c:y val="0.5298013245033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D6-486F-8E57-9B7E1038CC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3688192524869"/>
                  <c:y val="0.440397350993377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6-486F-8E57-9B7E1038CC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00004934215598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6-486F-8E57-9B7E1038CC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368477969241336"/>
                  <c:y val="0.440397350993377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D6-486F-8E57-9B7E1038CC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842171918351066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D6-486F-8E57-9B7E1038CC2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684286270853483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D6-486F-8E57-9B7E1038CC2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21135301331514"/>
                  <c:y val="0.5761589403973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D6-486F-8E57-9B7E1038CC2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263249653833932"/>
                  <c:y val="0.65894039735099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6-486F-8E57-9B7E1038CC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-51.497475999999999</c:v>
                </c:pt>
                <c:pt idx="1">
                  <c:v>6.6136349999999995</c:v>
                </c:pt>
                <c:pt idx="2">
                  <c:v>-9.4700000000000006</c:v>
                </c:pt>
                <c:pt idx="3">
                  <c:v>0.85842700000000005</c:v>
                </c:pt>
                <c:pt idx="4">
                  <c:v>3.3159999999999998</c:v>
                </c:pt>
                <c:pt idx="5">
                  <c:v>-0.15209600000000001</c:v>
                </c:pt>
                <c:pt idx="6">
                  <c:v>2.3210000000000002</c:v>
                </c:pt>
                <c:pt idx="7">
                  <c:v>1.4759999999999999E-3</c:v>
                </c:pt>
                <c:pt idx="8">
                  <c:v>-28.853000000000002</c:v>
                </c:pt>
                <c:pt idx="9">
                  <c:v>-76.862033999999994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D6-486F-8E57-9B7E1038CC29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D6-486F-8E57-9B7E1038CC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789498138875553"/>
                  <c:y val="0.41390728476821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D6-486F-8E57-9B7E1038CC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D6-486F-8E57-9B7E1038CC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333424"/>
        <c:axId val="1"/>
      </c:barChart>
      <c:catAx>
        <c:axId val="109833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33342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89514586260882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755627009646303"/>
          <c:w val="0.78464900454029163"/>
          <c:h val="0.6302250803858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0E-475B-9EED-F10742DD4D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51768488745980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0E-475B-9EED-F10742DD4D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3987138263665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0E-475B-9EED-F10742DD4D1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3665594855305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0E-475B-9EED-F10742DD4D1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0E-475B-9EED-F10742DD4D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0E-475B-9EED-F10742DD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2380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0E-475B-9EED-F10742DD4D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50803858520900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0E-475B-9EED-F10742DD4D1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51446945337620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0E-475B-9EED-F10742DD4D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52733118971061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0E-475B-9EED-F10742DD4D1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42765273311897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0E-475B-9EED-F10742DD4D1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0E-475B-9EED-F10742DD4D1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545921910316483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0E-475B-9EED-F10742DD4D1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0E-475B-9EED-F10742DD4D1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0E-475B-9EED-F10742DD4D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0E-475B-9EED-F10742DD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3808"/>
        <c:axId val="1"/>
      </c:lineChart>
      <c:catAx>
        <c:axId val="1135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7652733118971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380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318327974276525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39072847682119205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86-4D93-9745-4DF44CC679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00008223692664"/>
                  <c:y val="0.41059602649006621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86-4D93-9745-4DF44CC67970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-13.106833</c:v>
                </c:pt>
                <c:pt idx="4">
                  <c:v>4.5409030000000019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6-4D93-9745-4DF44CC6797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6-4D93-9745-4DF44CC679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276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86-4D93-9745-4DF44CC6797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86-4D93-9745-4DF44CC679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86-4D93-9745-4DF44CC679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86-4D93-9745-4DF44CC679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86-4D93-9745-4DF44CC679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86-4D93-9745-4DF44CC679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27648"/>
        <c:axId val="1"/>
      </c:lineChart>
      <c:catAx>
        <c:axId val="11352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76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25648382512817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017290200341802E-2"/>
          <c:y val="0.13183279742765272"/>
          <c:w val="0.86111290797131235"/>
          <c:h val="0.6720257234726687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Team'!$D$58:$O$58</c:f>
              <c:numCache>
                <c:formatCode>_(* #,##0.0_);_(* \(#,##0.0\);_(* "-"??_);_(@_)</c:formatCode>
                <c:ptCount val="12"/>
                <c:pt idx="0">
                  <c:v>-18.495999999999999</c:v>
                </c:pt>
                <c:pt idx="1">
                  <c:v>-30.257999999999999</c:v>
                </c:pt>
                <c:pt idx="2">
                  <c:v>19.824999999999999</c:v>
                </c:pt>
                <c:pt idx="3">
                  <c:v>-1.018</c:v>
                </c:pt>
                <c:pt idx="4">
                  <c:v>0.28399999999999997</c:v>
                </c:pt>
                <c:pt idx="5">
                  <c:v>-12.212</c:v>
                </c:pt>
                <c:pt idx="6">
                  <c:v>-7.532</c:v>
                </c:pt>
                <c:pt idx="7">
                  <c:v>-3.2250000000000001</c:v>
                </c:pt>
                <c:pt idx="8">
                  <c:v>15.262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B-40EA-B448-895FDEAF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28128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Team'!$D$59:$L$59</c:f>
              <c:numCache>
                <c:formatCode>_(* #,##0.0_);_(* \(#,##0.0\);_(* "-"??_);_(@_)</c:formatCode>
                <c:ptCount val="9"/>
                <c:pt idx="0">
                  <c:v>-18.495999999999999</c:v>
                </c:pt>
                <c:pt idx="1">
                  <c:v>-48.753999999999998</c:v>
                </c:pt>
                <c:pt idx="2">
                  <c:v>-28.928999999999998</c:v>
                </c:pt>
                <c:pt idx="3">
                  <c:v>-29.946999999999999</c:v>
                </c:pt>
                <c:pt idx="4">
                  <c:v>-29.663</c:v>
                </c:pt>
                <c:pt idx="5">
                  <c:v>-41.875</c:v>
                </c:pt>
                <c:pt idx="6">
                  <c:v>-49.406999999999996</c:v>
                </c:pt>
                <c:pt idx="7">
                  <c:v>-52.631999999999998</c:v>
                </c:pt>
                <c:pt idx="8">
                  <c:v>-37.369999999999997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B-40EA-B448-895FDEAF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8128"/>
        <c:axId val="1"/>
      </c:lineChart>
      <c:catAx>
        <c:axId val="11352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83782977311568E-2"/>
              <c:y val="0.405144694533762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8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75242210958807"/>
          <c:y val="0.909967845659164"/>
          <c:w val="0.7927366969165183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B9-467B-8558-DA077BF26A7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B9-467B-8558-DA077BF26A7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B9-467B-8558-DA077BF26A7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B9-467B-8558-DA077BF26A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B9-467B-8558-DA077BF26A7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B9-467B-8558-DA077BF26A7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B9-467B-8558-DA077BF26A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9-467B-8558-DA077BF26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209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B9-467B-8558-DA077BF26A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20928"/>
        <c:axId val="1"/>
      </c:lineChart>
      <c:catAx>
        <c:axId val="11352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0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390728476821192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57284768211920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BF-4C5F-B625-F38F787AB9E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BF-4C5F-B625-F38F787AB9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BF-4C5F-B625-F38F787AB9E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BF-4C5F-B625-F38F787AB9E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BF-4C5F-B625-F38F787AB9E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BF-4C5F-B625-F38F787AB9E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BF-4C5F-B625-F38F787AB9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BF-4C5F-B625-F38F787A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50905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BF-4C5F-B625-F38F787A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509056"/>
        <c:axId val="1"/>
      </c:lineChart>
      <c:catAx>
        <c:axId val="11005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00509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73686958970969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721311475409836"/>
          <c:w val="0.76631657721687629"/>
          <c:h val="0.61967213114754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5803278688524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DE-4933-AC70-E5FB6713B65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36721311475409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DE-4933-AC70-E5FB6713B65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54754098360655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DE-4933-AC70-E5FB6713B65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5901639344262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DE-4933-AC70-E5FB6713B6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DE-4933-AC70-E5FB6713B65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4622950819672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DE-4933-AC70-E5FB6713B6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  <c:pt idx="9">
                  <c:v>259335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DE-4933-AC70-E5FB6713B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050569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DE-4933-AC70-E5FB6713B6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0505696"/>
        <c:axId val="1"/>
      </c:lineChart>
      <c:catAx>
        <c:axId val="11005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6229508196721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0050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163934426229508"/>
          <c:w val="0.44842151359119409"/>
          <c:h val="8.52459016393442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3D-4E5A-904C-F411A2C2E1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0.85842700000000005</c:v>
                </c:pt>
                <c:pt idx="4">
                  <c:v>6.0778972799999993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D-4E5A-904C-F411A2C2E1A2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D-4E5A-904C-F411A2C2E1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771164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3D-4E5A-904C-F411A2C2E1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3D-4E5A-904C-F411A2C2E1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D-4E5A-904C-F411A2C2E1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711648"/>
        <c:axId val="1"/>
      </c:lineChart>
      <c:catAx>
        <c:axId val="10977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77116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91401712575056"/>
          <c:w val="0.79957439321361234"/>
          <c:h val="0.58147055565868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675-80D8-39D5EACF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71452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405784191830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56-4675-80D8-39D5EACF76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675-80D8-39D5EACF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714528"/>
        <c:axId val="1"/>
      </c:lineChart>
      <c:catAx>
        <c:axId val="10977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4920790673657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77145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776497879171258"/>
          <c:w val="0.42643967638059327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DB-49AE-B8D1-4D2B9C1710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-2.6119809999999997</c:v>
                </c:pt>
                <c:pt idx="4">
                  <c:v>-3.3528377199999997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B-49AE-B8D1-4D2B9C1710A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B-49AE-B8D1-4D2B9C171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77097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DB-49AE-B8D1-4D2B9C1710A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DB-49AE-B8D1-4D2B9C1710A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DB-49AE-B8D1-4D2B9C1710A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DB-49AE-B8D1-4D2B9C1710A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DB-49AE-B8D1-4D2B9C1710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DB-49AE-B8D1-4D2B9C171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709728"/>
        <c:axId val="1"/>
      </c:lineChart>
      <c:catAx>
        <c:axId val="10977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77097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68053463208648"/>
          <c:y val="3.5256520609602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55736894215682E-2"/>
          <c:y val="0.1378209442011725"/>
          <c:w val="0.87206913819831322"/>
          <c:h val="0.6698738915824431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Team'!$D$67:$O$67</c:f>
              <c:numCache>
                <c:formatCode>_(* #,##0.0_);_(* \(#,##0.0\);_(* "-"??_);_(@_)</c:formatCode>
                <c:ptCount val="12"/>
                <c:pt idx="0">
                  <c:v>0.311</c:v>
                </c:pt>
                <c:pt idx="1">
                  <c:v>-0.70499999999999996</c:v>
                </c:pt>
                <c:pt idx="2">
                  <c:v>0.122</c:v>
                </c:pt>
                <c:pt idx="3">
                  <c:v>-0.72399999999999998</c:v>
                </c:pt>
                <c:pt idx="4">
                  <c:v>-0.876</c:v>
                </c:pt>
                <c:pt idx="5">
                  <c:v>3.5150000000000001</c:v>
                </c:pt>
                <c:pt idx="6">
                  <c:v>-1.008</c:v>
                </c:pt>
                <c:pt idx="7">
                  <c:v>0.33700000000000002</c:v>
                </c:pt>
                <c:pt idx="8">
                  <c:v>-1.292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6-4B17-99A9-C03B3689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22003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Team'!$D$68:$L$68</c:f>
              <c:numCache>
                <c:formatCode>_(* #,##0.0_);_(* \(#,##0.0\);_(* "-"??_);_(@_)</c:formatCode>
                <c:ptCount val="9"/>
                <c:pt idx="0">
                  <c:v>0.311</c:v>
                </c:pt>
                <c:pt idx="1">
                  <c:v>-0.39399999999999996</c:v>
                </c:pt>
                <c:pt idx="2">
                  <c:v>-0.27199999999999996</c:v>
                </c:pt>
                <c:pt idx="3">
                  <c:v>-0.996</c:v>
                </c:pt>
                <c:pt idx="4">
                  <c:v>-1.8719999999999999</c:v>
                </c:pt>
                <c:pt idx="5">
                  <c:v>1.6430000000000002</c:v>
                </c:pt>
                <c:pt idx="6">
                  <c:v>0.63500000000000023</c:v>
                </c:pt>
                <c:pt idx="7">
                  <c:v>0.9720000000000002</c:v>
                </c:pt>
                <c:pt idx="8">
                  <c:v>-0.31999999999999984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6-4B17-99A9-C03B3689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20032"/>
        <c:axId val="1"/>
      </c:lineChart>
      <c:catAx>
        <c:axId val="11332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0257694366280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20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46069644178985"/>
          <c:y val="0.91025925937518581"/>
          <c:w val="0.79104559968600052"/>
          <c:h val="7.6923317693677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8C-4787-A098-D3F019CED13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38944019905179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8C-4787-A098-D3F019CED13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1628938763299"/>
                  <c:y val="0.54455621053852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8C-4787-A098-D3F019CED13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315874091153463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8C-4787-A098-D3F019CED1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-31.105953999999983</c:v>
                </c:pt>
                <c:pt idx="3">
                  <c:v>-154.59859599999999</c:v>
                </c:pt>
                <c:pt idx="4">
                  <c:v>-105.25892286999998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C-4787-A098-D3F019CED134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78967494826782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8C-4787-A098-D3F019CED1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C-4787-A098-D3F019CED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3358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2106539994387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8C-4787-A098-D3F019CED13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473722732034059"/>
                  <c:y val="0.50165178182943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8C-4787-A098-D3F019CED13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84265711621826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8C-4787-A098-D3F019CED13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5331111565702"/>
                  <c:y val="0.38944019905179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8C-4787-A098-D3F019CED13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79033284368098"/>
                  <c:y val="0.419143265081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8C-4787-A098-D3F019CED1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8C-4787-A098-D3F019CED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335824"/>
        <c:axId val="1"/>
      </c:lineChart>
      <c:catAx>
        <c:axId val="109833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33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4D-43DF-96F4-14667443E4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4D-43DF-96F4-14667443E4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4D-43DF-96F4-14667443E4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3.3159999999999998</c:v>
                </c:pt>
                <c:pt idx="4">
                  <c:v>39.495207000000001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D-43DF-96F4-14667443E4A2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4D-43DF-96F4-14667443E4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D-43DF-96F4-14667443E4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0664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4D-43DF-96F4-14667443E4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4D-43DF-96F4-14667443E4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4D-43DF-96F4-14667443E4A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4D-43DF-96F4-14667443E4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4D-43DF-96F4-14667443E4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4D-43DF-96F4-14667443E4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066464"/>
        <c:axId val="1"/>
      </c:lineChart>
      <c:catAx>
        <c:axId val="10980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066464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327974276527331"/>
          <c:w val="0.80810318674122417"/>
          <c:h val="0.58842443729903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5080385852090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0E-479E-B4A0-66FE51FED58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3794212218649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0E-479E-B4A0-66FE51FED58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0E-479E-B4A0-66FE51FED5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79E-B4A0-66FE51FED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06454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60E-479E-B4A0-66FE51FED58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60E-479E-B4A0-66FE51FED58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60E-479E-B4A0-66FE51FED58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60E-479E-B4A0-66FE51FED58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60E-479E-B4A0-66FE51FED58A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60E-479E-B4A0-66FE51FED58A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60E-479E-B4A0-66FE51FED58A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60E-479E-B4A0-66FE51FED58A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60E-479E-B4A0-66FE51FED58A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60E-479E-B4A0-66FE51FED5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0E-479E-B4A0-66FE51FED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064544"/>
        <c:axId val="1"/>
      </c:lineChart>
      <c:catAx>
        <c:axId val="10980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30868167202572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06454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710610932475887"/>
          <c:w val="0.35181273301398941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0.18545299999999976</c:v>
                </c:pt>
                <c:pt idx="4">
                  <c:v>24.251759999999997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225-9935-F488F181AB6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0-4225-9935-F488F181A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0655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0-4225-9935-F488F181AB6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00-4225-9935-F488F181AB6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00-4225-9935-F488F181AB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00-4225-9935-F488F181AB6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00-4225-9935-F488F181AB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0-4225-9935-F488F181A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065504"/>
        <c:axId val="1"/>
      </c:lineChart>
      <c:catAx>
        <c:axId val="10980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065504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89361702127659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531914893617"/>
          <c:y val="0.13738040600727275"/>
          <c:w val="0.85106382978723405"/>
          <c:h val="0.6709275642215646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Team'!$D$76:$O$76</c:f>
              <c:numCache>
                <c:formatCode>_(* #,##0.0_);_(* \(#,##0.0\);_(* "-"??_);_(@_)</c:formatCode>
                <c:ptCount val="12"/>
                <c:pt idx="0">
                  <c:v>2.5299999999999998</c:v>
                </c:pt>
                <c:pt idx="1">
                  <c:v>-20.100999999999999</c:v>
                </c:pt>
                <c:pt idx="2">
                  <c:v>-2.1040000000000001</c:v>
                </c:pt>
                <c:pt idx="3">
                  <c:v>12.176</c:v>
                </c:pt>
                <c:pt idx="4">
                  <c:v>-82.956000000000003</c:v>
                </c:pt>
                <c:pt idx="5">
                  <c:v>39.329000000000001</c:v>
                </c:pt>
                <c:pt idx="6">
                  <c:v>-47.298999999999999</c:v>
                </c:pt>
                <c:pt idx="7">
                  <c:v>-3.9849999999999999</c:v>
                </c:pt>
                <c:pt idx="8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C8C-A55C-58747E79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068864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Team'!$D$77:$L$77</c:f>
              <c:numCache>
                <c:formatCode>_(* #,##0.0_);_(* \(#,##0.0\);_(* "-"??_);_(@_)</c:formatCode>
                <c:ptCount val="9"/>
                <c:pt idx="0">
                  <c:v>2.5299999999999998</c:v>
                </c:pt>
                <c:pt idx="1">
                  <c:v>-17.570999999999998</c:v>
                </c:pt>
                <c:pt idx="2">
                  <c:v>-19.674999999999997</c:v>
                </c:pt>
                <c:pt idx="3">
                  <c:v>-7.498999999999997</c:v>
                </c:pt>
                <c:pt idx="4">
                  <c:v>-90.454999999999998</c:v>
                </c:pt>
                <c:pt idx="5">
                  <c:v>-51.125999999999998</c:v>
                </c:pt>
                <c:pt idx="6">
                  <c:v>-98.424999999999997</c:v>
                </c:pt>
                <c:pt idx="7">
                  <c:v>-102.41</c:v>
                </c:pt>
                <c:pt idx="8">
                  <c:v>-101.961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0-4C8C-A55C-58747E79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068864"/>
        <c:axId val="1"/>
      </c:lineChart>
      <c:catAx>
        <c:axId val="10980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412141218021818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068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8085106382977"/>
          <c:y val="0.91054455144355195"/>
          <c:w val="0.78936170212765955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B-4D48-88FD-A63083DADEA8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EB-4D48-88FD-A63083DADE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B-4D48-88FD-A63083DAD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305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EB-4D48-88FD-A63083DADE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B-4D48-88FD-A63083DAD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30528"/>
        <c:axId val="1"/>
      </c:lineChart>
      <c:catAx>
        <c:axId val="11352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3052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9-4398-A62D-E102AB976B2D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9-4398-A62D-E102AB97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194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79-4398-A62D-E102AB976B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79-4398-A62D-E102AB976B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9-4398-A62D-E102AB97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19488"/>
        <c:axId val="1"/>
      </c:lineChart>
      <c:catAx>
        <c:axId val="11352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1948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16-4896-993F-42C4EAB399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16-4896-993F-42C4EAB399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6-4896-993F-42C4EAB399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6-4896-993F-42C4EAB39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2284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416-4896-993F-42C4EAB39995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16-4896-993F-42C4EAB399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16-4896-993F-42C4EAB399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22848"/>
        <c:axId val="1"/>
      </c:lineChart>
      <c:catAx>
        <c:axId val="11352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284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BED-8386-2A01B130F1D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5-4BED-8386-2A01B130F1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170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15-4BED-8386-2A01B130F1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5-4BED-8386-2A01B130F1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17088"/>
        <c:axId val="1"/>
      </c:lineChart>
      <c:catAx>
        <c:axId val="11352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1708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7450331125827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0C-415D-952A-BEE8B49914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-0.15209600000000001</c:v>
                </c:pt>
                <c:pt idx="4">
                  <c:v>2.8037999999999998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C-415D-952A-BEE8B499147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C-415D-952A-BEE8B49914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663313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C0C-415D-952A-BEE8B499147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C0C-415D-952A-BEE8B49914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C0C-415D-952A-BEE8B4991473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0C-415D-952A-BEE8B49914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633136"/>
        <c:axId val="1"/>
      </c:lineChart>
      <c:catAx>
        <c:axId val="109663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66331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197452229299362"/>
          <c:w val="0.82302857541454499"/>
          <c:h val="0.54140127388535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F0-4E28-8847-843FFC7F41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F0-4E28-8847-843FFC7F41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3184713375796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F0-4E28-8847-843FFC7F41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757961783439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F0-4E28-8847-843FFC7F41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140127388535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F0-4E28-8847-843FFC7F412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8853503184713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F0-4E28-8847-843FFC7F412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7898089171974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F0-4E28-8847-843FFC7F412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40127388535031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F0-4E28-8847-843FFC7F412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8464900454029163"/>
                  <c:y val="0.41082802547770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F0-4E28-8847-843FFC7F41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F0-4E28-8847-843FFC7F4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663697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62420382165605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F0-4E28-8847-843FFC7F41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4649681528662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F0-4E28-8847-843FFC7F41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6369426751592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F0-4E28-8847-843FFC7F41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949044585987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F0-4E28-8847-843FFC7F41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0955414012738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F0-4E28-8847-843FFC7F41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726114649681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5F0-4E28-8847-843FFC7F412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F0-4E28-8847-843FFC7F41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F0-4E28-8847-843FFC7F412A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802547770700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5F0-4E28-8847-843FFC7F412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759141748506787"/>
                  <c:y val="0.292993630573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5F0-4E28-8847-843FFC7F412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3155736894215682"/>
                  <c:y val="0.2802547770700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5F0-4E28-8847-843FFC7F412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912672525353686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5F0-4E28-8847-843FFC7F41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F0-4E28-8847-843FFC7F4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636976"/>
        <c:axId val="1"/>
      </c:lineChart>
      <c:catAx>
        <c:axId val="109663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1719745222929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6636976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5350318471337583"/>
          <c:w val="0.65458490324421059"/>
          <c:h val="0.105095541401273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Headcount</a:t>
            </a:r>
          </a:p>
        </c:rich>
      </c:tx>
      <c:layout>
        <c:manualLayout>
          <c:xMode val="edge"/>
          <c:yMode val="edge"/>
          <c:x val="0.3021276595744680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049521224993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8-466A-AD9E-9C113D94E3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8-466A-AD9E-9C113D94E3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8-466A-AD9E-9C113D94E32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B8-466A-AD9E-9C113D94E32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49505110048957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B8-466A-AD9E-9C113D94E32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18481907751610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B8-466A-AD9E-9C113D94E3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Input'!$BD$4:$BD$13</c:f>
              <c:numCache>
                <c:formatCode>General</c:formatCode>
                <c:ptCount val="10"/>
                <c:pt idx="0">
                  <c:v>143</c:v>
                </c:pt>
                <c:pt idx="1">
                  <c:v>96</c:v>
                </c:pt>
                <c:pt idx="2">
                  <c:v>48</c:v>
                </c:pt>
                <c:pt idx="3">
                  <c:v>30</c:v>
                </c:pt>
                <c:pt idx="4">
                  <c:v>34</c:v>
                </c:pt>
                <c:pt idx="5">
                  <c:v>62</c:v>
                </c:pt>
                <c:pt idx="6">
                  <c:v>38</c:v>
                </c:pt>
                <c:pt idx="7">
                  <c:v>18</c:v>
                </c:pt>
                <c:pt idx="8">
                  <c:v>165</c:v>
                </c:pt>
                <c:pt idx="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B8-466A-AD9E-9C113D94E329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8-466A-AD9E-9C113D94E32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B8-466A-AD9E-9C113D94E3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Input'!$BE$4:$BE$13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92</c:v>
                </c:pt>
                <c:pt idx="6">
                  <c:v>44</c:v>
                </c:pt>
                <c:pt idx="7">
                  <c:v>27</c:v>
                </c:pt>
                <c:pt idx="8">
                  <c:v>118</c:v>
                </c:pt>
                <c:pt idx="9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B8-466A-AD9E-9C113D94E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329584"/>
        <c:axId val="1"/>
      </c:barChart>
      <c:catAx>
        <c:axId val="10983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32958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5B-4AC9-B4C0-4E63AC1874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-8.9153059999999993</c:v>
                </c:pt>
                <c:pt idx="4">
                  <c:v>-18.684111000000001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B-4AC9-B4C0-4E63AC18741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5B-4AC9-B4C0-4E63AC1874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B-4AC9-B4C0-4E63AC1874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663841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F5B-4AC9-B4C0-4E63AC18741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F5B-4AC9-B4C0-4E63AC18741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F5B-4AC9-B4C0-4E63AC187419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F5B-4AC9-B4C0-4E63AC187419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35430463576158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5B-4AC9-B4C0-4E63AC18741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F5B-4AC9-B4C0-4E63AC1874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5B-4AC9-B4C0-4E63AC1874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638416"/>
        <c:axId val="1"/>
      </c:lineChart>
      <c:catAx>
        <c:axId val="10966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663841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31919768278447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8452715409189E-2"/>
          <c:y val="0.13694267515923567"/>
          <c:w val="0.8619975409649121"/>
          <c:h val="0.6719745222929935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Team'!$D$85:$O$85</c:f>
              <c:numCache>
                <c:formatCode>_(* #,##0.0_);_(* \(#,##0.0\);_(* "-"??_);_(@_)</c:formatCode>
                <c:ptCount val="12"/>
                <c:pt idx="0">
                  <c:v>-0.10299999999999999</c:v>
                </c:pt>
                <c:pt idx="1">
                  <c:v>-0.186</c:v>
                </c:pt>
                <c:pt idx="2">
                  <c:v>-14.026999999999999</c:v>
                </c:pt>
                <c:pt idx="3">
                  <c:v>-1.9930000000000001</c:v>
                </c:pt>
                <c:pt idx="4">
                  <c:v>-1.925</c:v>
                </c:pt>
                <c:pt idx="5">
                  <c:v>-1.925</c:v>
                </c:pt>
                <c:pt idx="6">
                  <c:v>-1.143</c:v>
                </c:pt>
                <c:pt idx="7">
                  <c:v>-1.9219999999999999</c:v>
                </c:pt>
                <c:pt idx="8">
                  <c:v>-1.968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0-4BBA-9B0D-496F1A10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639856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Team'!$D$86:$L$86</c:f>
              <c:numCache>
                <c:formatCode>_(* #,##0.0_);_(* \(#,##0.0\);_(* "-"??_);_(@_)</c:formatCode>
                <c:ptCount val="9"/>
                <c:pt idx="0">
                  <c:v>-0.10299999999999999</c:v>
                </c:pt>
                <c:pt idx="1">
                  <c:v>-0.28899999999999998</c:v>
                </c:pt>
                <c:pt idx="2">
                  <c:v>-14.315999999999999</c:v>
                </c:pt>
                <c:pt idx="3">
                  <c:v>-16.308999999999997</c:v>
                </c:pt>
                <c:pt idx="4">
                  <c:v>-18.233999999999998</c:v>
                </c:pt>
                <c:pt idx="5">
                  <c:v>-20.158999999999999</c:v>
                </c:pt>
                <c:pt idx="6">
                  <c:v>-21.302</c:v>
                </c:pt>
                <c:pt idx="7">
                  <c:v>-23.224</c:v>
                </c:pt>
                <c:pt idx="8">
                  <c:v>-25.192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BA-9B0D-496F1A10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39856"/>
        <c:axId val="1"/>
      </c:lineChart>
      <c:catAx>
        <c:axId val="109663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15733263114682E-2"/>
              <c:y val="0.410828025477707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6639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225082572573672"/>
          <c:y val="0.91082802547770703"/>
          <c:w val="0.78768740812310933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4966887417218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4-4429-91BF-DC11DC2A66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49006622516556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4-4429-91BF-DC11DC2A66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4-4429-91BF-DC11DC2A66B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353951178070839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B4-4429-91BF-DC11DC2A66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1447</c:v>
                </c:pt>
                <c:pt idx="9">
                  <c:v>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4-4429-91BF-DC11DC2A6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66345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4-4429-91BF-DC11DC2A6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634576"/>
        <c:axId val="1"/>
      </c:lineChart>
      <c:catAx>
        <c:axId val="109663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6634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8-4AAA-8F29-067ED722EF7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3036313416336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A8-4AAA-8F29-067ED722EF7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8-4AAA-8F29-067ED722EF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2101</c:v>
                </c:pt>
                <c:pt idx="9">
                  <c:v>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8-4AAA-8F29-067ED722EF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663601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A8-4AAA-8F29-067ED722EF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6636016"/>
        <c:axId val="1"/>
      </c:lineChart>
      <c:catAx>
        <c:axId val="109663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663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9-438A-B657-C0E44DB6E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771068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9-438A-B657-C0E44DB6E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710688"/>
        <c:axId val="1"/>
      </c:lineChart>
      <c:catAx>
        <c:axId val="10977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77106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4B8B-85C9-8C1DA41F9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77121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7C-4B8B-85C9-8C1DA41F99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7C-4B8B-85C9-8C1DA41F99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C-4B8B-85C9-8C1DA41F9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712128"/>
        <c:axId val="1"/>
      </c:lineChart>
      <c:catAx>
        <c:axId val="10977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7712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7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3D-4896-A942-943A03F8D1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-5.1384280000000002</c:v>
                </c:pt>
                <c:pt idx="4">
                  <c:v>-18.945885000000001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D-4896-A942-943A03F8D1BC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D-4896-A942-943A03F8D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214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D-4896-A942-943A03F8D1B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D-4896-A942-943A03F8D1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D-4896-A942-943A03F8D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21472"/>
        <c:axId val="1"/>
      </c:lineChart>
      <c:catAx>
        <c:axId val="11332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2147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AF-4A65-948F-48E374905D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AF-4A65-948F-48E374905D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2.3210000000000002</c:v>
                </c:pt>
                <c:pt idx="4">
                  <c:v>6.3405590000000007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F-4A65-948F-48E374905D9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F-4A65-948F-48E374905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229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AF-4A65-948F-48E374905D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AF-4A65-948F-48E374905D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AF-4A65-948F-48E374905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22912"/>
        <c:axId val="1"/>
      </c:lineChart>
      <c:catAx>
        <c:axId val="11332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2291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878980891719744"/>
          <c:w val="0.77612021101267969"/>
          <c:h val="0.61146496815286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228152514651055"/>
                  <c:y val="0.24840764331210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5-4CED-892D-9B7445B066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5-4CED-892D-9B7445B066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3011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F15-4CED-892D-9B7445B0663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F15-4CED-892D-9B7445B0663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F15-4CED-892D-9B7445B066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15-4CED-892D-9B7445B066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30112"/>
        <c:axId val="1"/>
      </c:lineChart>
      <c:catAx>
        <c:axId val="11332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9936305732484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3011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808917197452232"/>
          <c:w val="0.3475483362501835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57663282143059"/>
          <c:y val="3.4920743181867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435419048162E-2"/>
          <c:y val="0.13650835971093661"/>
          <c:w val="0.86228902762619553"/>
          <c:h val="0.6698433464885493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Team'!$D$94:$O$94</c:f>
              <c:numCache>
                <c:formatCode>_(* #,##0.0_);_(* \(#,##0.0\);_(* "-"??_);_(@_)</c:formatCode>
                <c:ptCount val="12"/>
                <c:pt idx="0">
                  <c:v>0.129</c:v>
                </c:pt>
                <c:pt idx="1">
                  <c:v>-24.236000000000001</c:v>
                </c:pt>
                <c:pt idx="2">
                  <c:v>11.356999999999999</c:v>
                </c:pt>
                <c:pt idx="3">
                  <c:v>-1.88</c:v>
                </c:pt>
                <c:pt idx="4">
                  <c:v>-11.257</c:v>
                </c:pt>
                <c:pt idx="5">
                  <c:v>6.45</c:v>
                </c:pt>
                <c:pt idx="6">
                  <c:v>-0.56699999999999995</c:v>
                </c:pt>
                <c:pt idx="7">
                  <c:v>-15.481</c:v>
                </c:pt>
                <c:pt idx="8">
                  <c:v>14.911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1-46F5-BA4E-842E350D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22915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Team'!$D$95:$L$95</c:f>
              <c:numCache>
                <c:formatCode>_(* #,##0.0_);_(* \(#,##0.0\);_(* "-"??_);_(@_)</c:formatCode>
                <c:ptCount val="9"/>
                <c:pt idx="0">
                  <c:v>0.129</c:v>
                </c:pt>
                <c:pt idx="1">
                  <c:v>-24.106999999999999</c:v>
                </c:pt>
                <c:pt idx="2">
                  <c:v>-12.75</c:v>
                </c:pt>
                <c:pt idx="3">
                  <c:v>-14.629999999999999</c:v>
                </c:pt>
                <c:pt idx="4">
                  <c:v>-25.887</c:v>
                </c:pt>
                <c:pt idx="5">
                  <c:v>-19.437000000000001</c:v>
                </c:pt>
                <c:pt idx="6">
                  <c:v>-20.004000000000001</c:v>
                </c:pt>
                <c:pt idx="7">
                  <c:v>-35.484999999999999</c:v>
                </c:pt>
                <c:pt idx="8">
                  <c:v>-20.573999999999998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1-46F5-BA4E-842E350D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29152"/>
        <c:axId val="1"/>
      </c:lineChart>
      <c:catAx>
        <c:axId val="11332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9323129761911E-2"/>
              <c:y val="0.40952507913280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29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06794564761988"/>
          <c:y val="0.91111393574508848"/>
          <c:w val="0.78601776228333786"/>
          <c:h val="7.61907123968018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1113.4469999999999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8-4971-BFB4-451BE2AE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331024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2.0266631997022267E-2</c:v>
                </c:pt>
                <c:pt idx="1">
                  <c:v>2.0266631997022267E-2</c:v>
                </c:pt>
                <c:pt idx="2">
                  <c:v>2.0266631997022267E-2</c:v>
                </c:pt>
                <c:pt idx="3">
                  <c:v>2.0266631997022267E-2</c:v>
                </c:pt>
                <c:pt idx="4">
                  <c:v>2.0266631997022267E-2</c:v>
                </c:pt>
                <c:pt idx="5">
                  <c:v>2.0266631997022267E-2</c:v>
                </c:pt>
                <c:pt idx="6">
                  <c:v>2.0266631997022267E-2</c:v>
                </c:pt>
                <c:pt idx="7">
                  <c:v>2.0266631997022267E-2</c:v>
                </c:pt>
                <c:pt idx="8">
                  <c:v>2.0266631997022267E-2</c:v>
                </c:pt>
                <c:pt idx="9">
                  <c:v>2.0266631997022267E-2</c:v>
                </c:pt>
                <c:pt idx="10">
                  <c:v>2.0266631997022267E-2</c:v>
                </c:pt>
                <c:pt idx="11">
                  <c:v>2.0266631997022267E-2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8-4971-BFB4-451BE2AE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983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3310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560344827586207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0CD-4AF8-A8BC-691D15251D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1.4759999999999999E-3</c:v>
                </c:pt>
                <c:pt idx="4">
                  <c:v>2.3249999999999998E-3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D-4AF8-A8BC-691D15251D6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CD-4AF8-A8BC-691D15251D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D-4AF8-A8BC-691D15251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24352"/>
        <c:axId val="1"/>
      </c:barChart>
      <c:catAx>
        <c:axId val="11332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2435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2974703592735723"/>
          <c:w val="0.77398801263077677"/>
          <c:h val="0.66139342704433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73417834963772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9B-4771-8CA7-B0DD4E278B7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61643333600553"/>
                  <c:y val="0.7405074733415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9B-4771-8CA7-B0DD4E278B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73101378778584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9B-4771-8CA7-B0DD4E278B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9B-4771-8CA7-B0DD4E278B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3443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C9B-4771-8CA7-B0DD4E278B7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C9B-4771-8CA7-B0DD4E278B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9B-4771-8CA7-B0DD4E278B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34432"/>
        <c:axId val="1"/>
      </c:lineChart>
      <c:catAx>
        <c:axId val="11332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1393040745279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34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873556593584036"/>
          <c:w val="0.31343316213973604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98-49CC-80AC-F141AC41FE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-3.3649019999999998</c:v>
                </c:pt>
                <c:pt idx="4">
                  <c:v>-5.8958119999999994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8-49CC-80AC-F141AC41FE8C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8-49CC-80AC-F141AC41FE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349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B98-49CC-80AC-F141AC41FE8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B98-49CC-80AC-F141AC41FE8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8B98-49CC-80AC-F141AC41FE8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B98-49CC-80AC-F141AC41FE8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8B98-49CC-80AC-F141AC41FE8C}"/>
              </c:ext>
            </c:extLst>
          </c:dPt>
          <c:dLbls>
            <c:delete val="1"/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8-49CC-80AC-F141AC41FE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34912"/>
        <c:axId val="1"/>
      </c:lineChart>
      <c:catAx>
        <c:axId val="11332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349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95137420718814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3657505285412"/>
          <c:y val="0.21202564407641306"/>
          <c:w val="0.87315010570824525"/>
          <c:h val="0.6708871125999935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Team'!$D$103:$O$103</c:f>
              <c:numCache>
                <c:formatCode>_(* #,##0.0_);_(* \(#,##0.0\);_(* "-"??_);_(@_)</c:formatCode>
                <c:ptCount val="12"/>
                <c:pt idx="6">
                  <c:v>-1.573</c:v>
                </c:pt>
                <c:pt idx="7">
                  <c:v>-0.99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4A68-85E6-B8C23A2A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235392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Team'!$D$104:$L$104</c:f>
              <c:numCache>
                <c:formatCode>_(* #,##0.0_);_(* \(#,##0.0\);_(* "-"??_);_(@_)</c:formatCode>
                <c:ptCount val="9"/>
                <c:pt idx="6">
                  <c:v>-1.573</c:v>
                </c:pt>
                <c:pt idx="7">
                  <c:v>-2.5629999999999997</c:v>
                </c:pt>
                <c:pt idx="8">
                  <c:v>-2.4379999999999997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6-4A68-85E6-B8C23A2A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35392"/>
        <c:axId val="1"/>
      </c:lineChart>
      <c:catAx>
        <c:axId val="11332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913319238900635E-2"/>
              <c:y val="0.487342525190561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353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53488372093023"/>
          <c:y val="0.91139381334338743"/>
          <c:w val="0.78435517970401691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D1-4545-B6A9-F7A79EC92C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1-4545-B6A9-F7A79EC92CC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1-4545-B6A9-F7A79EC92C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310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1-4545-B6A9-F7A79EC92C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1-4545-B6A9-F7A79EC92C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1-4545-B6A9-F7A79EC92C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31072"/>
        <c:axId val="1"/>
      </c:lineChart>
      <c:catAx>
        <c:axId val="11332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31072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4-4D58-B39D-030E692E8D82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A4-4D58-B39D-030E692E8D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4-4D58-B39D-030E692E8D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32334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A4-4D58-B39D-030E692E8D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A4-4D58-B39D-030E692E8D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A4-4D58-B39D-030E692E8D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3233472"/>
        <c:axId val="1"/>
      </c:lineChart>
      <c:catAx>
        <c:axId val="11332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323347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7D-40FE-A11A-9DA447E0B5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7D-40FE-A11A-9DA447E0B5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7D-40FE-A11A-9DA447E0B5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D-40FE-A11A-9DA447E0B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2428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7D-40FE-A11A-9DA447E0B5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D-40FE-A11A-9DA447E0B5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7D-40FE-A11A-9DA447E0B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24288"/>
        <c:axId val="1"/>
      </c:lineChart>
      <c:catAx>
        <c:axId val="11352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428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B-4897-81FF-34EA2BEA15B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AB-4897-81FF-34EA2BEA15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B-4897-81FF-34EA2BEA1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52223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AB-4897-81FF-34EA2BEA15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AB-4897-81FF-34EA2BEA15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B-4897-81FF-34EA2BEA1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222368"/>
        <c:axId val="1"/>
      </c:lineChart>
      <c:catAx>
        <c:axId val="11352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5222368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FA3-8C64-0F799949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200944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FA3-8C64-0F7999497E26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B-4FA3-8C64-0F799949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00944"/>
        <c:axId val="1"/>
      </c:lineChart>
      <c:catAx>
        <c:axId val="113020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0200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442622950819672"/>
          <c:w val="0.8497862981431672"/>
          <c:h val="0.66885245901639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Employed'!$D$40:$O$40</c:f>
              <c:numCache>
                <c:formatCode>General</c:formatCode>
                <c:ptCount val="12"/>
                <c:pt idx="0">
                  <c:v>4.6000000000000227</c:v>
                </c:pt>
                <c:pt idx="1">
                  <c:v>-111.7</c:v>
                </c:pt>
                <c:pt idx="2">
                  <c:v>-51.199999999999989</c:v>
                </c:pt>
                <c:pt idx="3">
                  <c:v>-48.2</c:v>
                </c:pt>
                <c:pt idx="4">
                  <c:v>-113.3</c:v>
                </c:pt>
                <c:pt idx="5">
                  <c:v>11.5</c:v>
                </c:pt>
                <c:pt idx="6">
                  <c:v>104.3</c:v>
                </c:pt>
                <c:pt idx="7">
                  <c:v>-49.5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47B-A643-C290C56E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204304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Employed'!$D$43:$O$43</c:f>
              <c:numCache>
                <c:formatCode>General</c:formatCode>
                <c:ptCount val="12"/>
                <c:pt idx="0">
                  <c:v>0.5</c:v>
                </c:pt>
                <c:pt idx="1">
                  <c:v>-12.2</c:v>
                </c:pt>
                <c:pt idx="2">
                  <c:v>-32.299999999999997</c:v>
                </c:pt>
                <c:pt idx="3">
                  <c:v>-21.599999999999998</c:v>
                </c:pt>
                <c:pt idx="4">
                  <c:v>-22.2</c:v>
                </c:pt>
                <c:pt idx="5">
                  <c:v>-11.399999999999999</c:v>
                </c:pt>
                <c:pt idx="6">
                  <c:v>-10.7</c:v>
                </c:pt>
                <c:pt idx="7">
                  <c:v>-10</c:v>
                </c:pt>
                <c:pt idx="8">
                  <c:v>1.0999999999999996</c:v>
                </c:pt>
                <c:pt idx="9">
                  <c:v>17</c:v>
                </c:pt>
                <c:pt idx="10">
                  <c:v>21</c:v>
                </c:pt>
                <c:pt idx="11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A-447B-A643-C290C56EC1D1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Employed'!$D$41:$L$41</c:f>
              <c:numCache>
                <c:formatCode>General</c:formatCode>
                <c:ptCount val="9"/>
                <c:pt idx="0">
                  <c:v>4.6000000000000227</c:v>
                </c:pt>
                <c:pt idx="1">
                  <c:v>-107.09999999999998</c:v>
                </c:pt>
                <c:pt idx="2">
                  <c:v>-158.29999999999995</c:v>
                </c:pt>
                <c:pt idx="3">
                  <c:v>-206.49999999999994</c:v>
                </c:pt>
                <c:pt idx="4">
                  <c:v>-319.79999999999995</c:v>
                </c:pt>
                <c:pt idx="5">
                  <c:v>-308.29999999999995</c:v>
                </c:pt>
                <c:pt idx="6">
                  <c:v>-203.99999999999994</c:v>
                </c:pt>
                <c:pt idx="7">
                  <c:v>-253.49999999999994</c:v>
                </c:pt>
                <c:pt idx="8">
                  <c:v>-240.99999999999994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A-447B-A643-C290C56E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04304"/>
        <c:axId val="1"/>
      </c:lineChart>
      <c:catAx>
        <c:axId val="113020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6557377049180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30204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819672131147544"/>
          <c:w val="0.79613817326039149"/>
          <c:h val="7.86885245901639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3752731618898695"/>
                  <c:y val="0.7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81-4431-A852-C3B461DE890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744219483170942"/>
                  <c:y val="0.4966887417218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81-4431-A852-C3B461DE89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-16.135788999999999</c:v>
                </c:pt>
                <c:pt idx="3">
                  <c:v>-51.497475999999999</c:v>
                </c:pt>
                <c:pt idx="4">
                  <c:v>27.134721000000006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1-4431-A852-C3B461DE890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1-4431-A852-C3B461DE8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5062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81-4431-A852-C3B461DE890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81-4431-A852-C3B461DE890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225165562913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81-4431-A852-C3B461DE890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81-4431-A852-C3B461DE89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1-4431-A852-C3B461DE8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506272"/>
        <c:axId val="1"/>
      </c:lineChart>
      <c:catAx>
        <c:axId val="10985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9850627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6776DB41-763C-325E-0BC0-C09926520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577D8F88-FD38-8F0B-6952-6E17DC30A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EBE7E750-1F47-F39F-A780-25CC5C89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8CD1EC1A-F170-EAE8-E283-3BE1A313476A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3AB9A725-B212-21B8-BA41-D670E6CDC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>
          <a:extLst>
            <a:ext uri="{FF2B5EF4-FFF2-40B4-BE49-F238E27FC236}">
              <a16:creationId xmlns:a16="http://schemas.microsoft.com/office/drawing/2014/main" id="{0B7BD738-186C-E478-8B43-9099FC4F2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>
          <a:extLst>
            <a:ext uri="{FF2B5EF4-FFF2-40B4-BE49-F238E27FC236}">
              <a16:creationId xmlns:a16="http://schemas.microsoft.com/office/drawing/2014/main" id="{AD990EA5-EF67-C65A-AA13-24DC5EE31B70}"/>
            </a:ext>
          </a:extLst>
        </xdr:cNvPr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025">
          <a:extLst>
            <a:ext uri="{FF2B5EF4-FFF2-40B4-BE49-F238E27FC236}">
              <a16:creationId xmlns:a16="http://schemas.microsoft.com/office/drawing/2014/main" id="{830C5D1D-8C33-A604-B723-C5F388F9F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1026">
          <a:extLst>
            <a:ext uri="{FF2B5EF4-FFF2-40B4-BE49-F238E27FC236}">
              <a16:creationId xmlns:a16="http://schemas.microsoft.com/office/drawing/2014/main" id="{E3CD2332-79F2-BC04-339D-D1A872CF1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1027">
          <a:extLst>
            <a:ext uri="{FF2B5EF4-FFF2-40B4-BE49-F238E27FC236}">
              <a16:creationId xmlns:a16="http://schemas.microsoft.com/office/drawing/2014/main" id="{CACC17F4-B508-9C33-8872-6981E6A3D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1028">
          <a:extLst>
            <a:ext uri="{FF2B5EF4-FFF2-40B4-BE49-F238E27FC236}">
              <a16:creationId xmlns:a16="http://schemas.microsoft.com/office/drawing/2014/main" id="{1035E245-AB11-6633-4048-2138A7ECA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1029">
          <a:extLst>
            <a:ext uri="{FF2B5EF4-FFF2-40B4-BE49-F238E27FC236}">
              <a16:creationId xmlns:a16="http://schemas.microsoft.com/office/drawing/2014/main" id="{05434F8B-B240-5D83-8E01-0E818C522910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1030">
          <a:extLst>
            <a:ext uri="{FF2B5EF4-FFF2-40B4-BE49-F238E27FC236}">
              <a16:creationId xmlns:a16="http://schemas.microsoft.com/office/drawing/2014/main" id="{21FE5AD9-1AB7-6A8E-12DA-8CB902323C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>
          <a:extLst xmlns:a="http://schemas.openxmlformats.org/drawingml/2006/main">
            <a:ext uri="{FF2B5EF4-FFF2-40B4-BE49-F238E27FC236}">
              <a16:creationId xmlns:a16="http://schemas.microsoft.com/office/drawing/2014/main" id="{0BBCD9F9-3147-F7B1-4F4D-E125724904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53ADBBE-6A84-0F19-4ABC-1B491516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85725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F1A9CA79-E467-BE91-490B-F89DC9C36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E450C26D-948D-9E16-A759-166C1399E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B3B1A071-81E6-F549-79D8-A0D39A9D03E2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CFD80EC9-903F-327B-290C-94E0B5CA54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062FEF08-897B-8B0D-B270-85BC67042D6D}"/>
            </a:ext>
          </a:extLst>
        </xdr:cNvPr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9525</xdr:colOff>
      <xdr:row>24</xdr:row>
      <xdr:rowOff>47625</xdr:rowOff>
    </xdr:from>
    <xdr:to>
      <xdr:col>7</xdr:col>
      <xdr:colOff>190500</xdr:colOff>
      <xdr:row>42</xdr:row>
      <xdr:rowOff>85725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3581D8D0-F5C5-BBE7-F1D7-A39D62A55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>
          <a:extLst>
            <a:ext uri="{FF2B5EF4-FFF2-40B4-BE49-F238E27FC236}">
              <a16:creationId xmlns:a16="http://schemas.microsoft.com/office/drawing/2014/main" id="{F9167867-AA81-8615-621F-1A4994DE0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>
          <a:extLst>
            <a:ext uri="{FF2B5EF4-FFF2-40B4-BE49-F238E27FC236}">
              <a16:creationId xmlns:a16="http://schemas.microsoft.com/office/drawing/2014/main" id="{6E92430B-391D-7EF4-2348-6336531F1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>
          <a:extLst>
            <a:ext uri="{FF2B5EF4-FFF2-40B4-BE49-F238E27FC236}">
              <a16:creationId xmlns:a16="http://schemas.microsoft.com/office/drawing/2014/main" id="{829CDA6C-7D52-8C0B-ECE6-C878A416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>
          <a:extLst>
            <a:ext uri="{FF2B5EF4-FFF2-40B4-BE49-F238E27FC236}">
              <a16:creationId xmlns:a16="http://schemas.microsoft.com/office/drawing/2014/main" id="{C101CC5F-6365-BAD4-CC19-23427EDD7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>
          <a:extLst>
            <a:ext uri="{FF2B5EF4-FFF2-40B4-BE49-F238E27FC236}">
              <a16:creationId xmlns:a16="http://schemas.microsoft.com/office/drawing/2014/main" id="{F0174C31-484B-60F9-8E03-8158AC8A09F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>
          <a:extLst>
            <a:ext uri="{FF2B5EF4-FFF2-40B4-BE49-F238E27FC236}">
              <a16:creationId xmlns:a16="http://schemas.microsoft.com/office/drawing/2014/main" id="{C6F71504-BDB7-A32D-CB78-95338994D8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>
          <a:extLst xmlns:a="http://schemas.openxmlformats.org/drawingml/2006/main">
            <a:ext uri="{FF2B5EF4-FFF2-40B4-BE49-F238E27FC236}">
              <a16:creationId xmlns:a16="http://schemas.microsoft.com/office/drawing/2014/main" id="{3528CC64-39E1-054C-B716-120EAB30D13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>
          <a:extLst>
            <a:ext uri="{FF2B5EF4-FFF2-40B4-BE49-F238E27FC236}">
              <a16:creationId xmlns:a16="http://schemas.microsoft.com/office/drawing/2014/main" id="{313EEC5D-17AF-D3E9-B925-2852EE6B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>
          <a:extLst>
            <a:ext uri="{FF2B5EF4-FFF2-40B4-BE49-F238E27FC236}">
              <a16:creationId xmlns:a16="http://schemas.microsoft.com/office/drawing/2014/main" id="{34CCA34F-D40A-7CF8-3DC2-0BC470C2E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>
          <a:extLst>
            <a:ext uri="{FF2B5EF4-FFF2-40B4-BE49-F238E27FC236}">
              <a16:creationId xmlns:a16="http://schemas.microsoft.com/office/drawing/2014/main" id="{063B62B5-8BAB-7BA7-512A-1D7DC8F7D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>
          <a:extLst>
            <a:ext uri="{FF2B5EF4-FFF2-40B4-BE49-F238E27FC236}">
              <a16:creationId xmlns:a16="http://schemas.microsoft.com/office/drawing/2014/main" id="{12459419-DF64-2771-6524-407B5AD2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>
          <a:extLst>
            <a:ext uri="{FF2B5EF4-FFF2-40B4-BE49-F238E27FC236}">
              <a16:creationId xmlns:a16="http://schemas.microsoft.com/office/drawing/2014/main" id="{1F1A9614-F0F7-EDF3-6012-1451900D6607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>
          <a:extLst>
            <a:ext uri="{FF2B5EF4-FFF2-40B4-BE49-F238E27FC236}">
              <a16:creationId xmlns:a16="http://schemas.microsoft.com/office/drawing/2014/main" id="{07AC18F2-D5BF-AE61-8E4E-721E29D8D4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35A1D81-D984-95CB-B102-34FFEC4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42</xdr:row>
      <xdr:rowOff>66675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C00B719C-B257-7154-219F-C25042AE8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2617395C-5809-E5B2-C7A5-146FB2C61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>
          <a:extLst>
            <a:ext uri="{FF2B5EF4-FFF2-40B4-BE49-F238E27FC236}">
              <a16:creationId xmlns:a16="http://schemas.microsoft.com/office/drawing/2014/main" id="{9F830504-1EE6-6AF3-F8C5-D017F605A307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>
          <a:extLst>
            <a:ext uri="{FF2B5EF4-FFF2-40B4-BE49-F238E27FC236}">
              <a16:creationId xmlns:a16="http://schemas.microsoft.com/office/drawing/2014/main" id="{59FFEDCB-A3AA-EC4E-EEEF-B9945CE2D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190500</xdr:colOff>
      <xdr:row>42</xdr:row>
      <xdr:rowOff>66675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9352502D-8F1E-EDB5-D653-540552DAD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0.35511</cdr:x>
      <cdr:y>0.51475</cdr:y>
    </cdr:from>
    <cdr:to>
      <cdr:x>0.38864</cdr:x>
      <cdr:y>0.59041</cdr:y>
    </cdr:to>
    <cdr:sp macro="" textlink="">
      <cdr:nvSpPr>
        <cdr:cNvPr id="245762" name="Line 2">
          <a:extLst xmlns:a="http://schemas.openxmlformats.org/drawingml/2006/main">
            <a:ext uri="{FF2B5EF4-FFF2-40B4-BE49-F238E27FC236}">
              <a16:creationId xmlns:a16="http://schemas.microsoft.com/office/drawing/2014/main" id="{F7943BDC-D178-C2F4-E88E-2C6C0793DEC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13205" y="1488773"/>
          <a:ext cx="15202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0.86957</cdr:x>
      <cdr:y>0.36946</cdr:y>
    </cdr:from>
    <cdr:to>
      <cdr:x>0.91974</cdr:x>
      <cdr:y>0.42337</cdr:y>
    </cdr:to>
    <cdr:sp macro="" textlink="">
      <cdr:nvSpPr>
        <cdr:cNvPr id="245763" name="Line 3">
          <a:extLst xmlns:a="http://schemas.openxmlformats.org/drawingml/2006/main">
            <a:ext uri="{FF2B5EF4-FFF2-40B4-BE49-F238E27FC236}">
              <a16:creationId xmlns:a16="http://schemas.microsoft.com/office/drawing/2014/main" id="{75940664-200A-D8AF-9A49-D30E7242784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81661" y="1033505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0.49976</cdr:x>
      <cdr:y>0.49178</cdr:y>
    </cdr:from>
    <cdr:to>
      <cdr:x>0.53329</cdr:x>
      <cdr:y>0.56745</cdr:y>
    </cdr:to>
    <cdr:sp macro="" textlink="">
      <cdr:nvSpPr>
        <cdr:cNvPr id="245764" name="Line 4">
          <a:extLst xmlns:a="http://schemas.openxmlformats.org/drawingml/2006/main">
            <a:ext uri="{FF2B5EF4-FFF2-40B4-BE49-F238E27FC236}">
              <a16:creationId xmlns:a16="http://schemas.microsoft.com/office/drawing/2014/main" id="{470EAC5C-3E53-8124-3BE8-1D384764A52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69015" y="1422490"/>
          <a:ext cx="152024" cy="2183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0</xdr:rowOff>
    </xdr:from>
    <xdr:to>
      <xdr:col>15</xdr:col>
      <xdr:colOff>28575</xdr:colOff>
      <xdr:row>21</xdr:row>
      <xdr:rowOff>133350</xdr:rowOff>
    </xdr:to>
    <xdr:graphicFrame macro="">
      <xdr:nvGraphicFramePr>
        <xdr:cNvPr id="349185" name="Chart 1">
          <a:extLst>
            <a:ext uri="{FF2B5EF4-FFF2-40B4-BE49-F238E27FC236}">
              <a16:creationId xmlns:a16="http://schemas.microsoft.com/office/drawing/2014/main" id="{5BF8EC95-EB68-0ADF-7D6E-CF8099FA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>
          <a:extLst>
            <a:ext uri="{FF2B5EF4-FFF2-40B4-BE49-F238E27FC236}">
              <a16:creationId xmlns:a16="http://schemas.microsoft.com/office/drawing/2014/main" id="{896CBCAA-0034-84AA-8746-4AFAD010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142875</xdr:rowOff>
    </xdr:to>
    <xdr:graphicFrame macro="">
      <xdr:nvGraphicFramePr>
        <xdr:cNvPr id="349187" name="Chart 3">
          <a:extLst>
            <a:ext uri="{FF2B5EF4-FFF2-40B4-BE49-F238E27FC236}">
              <a16:creationId xmlns:a16="http://schemas.microsoft.com/office/drawing/2014/main" id="{ADBD1CFE-B952-D7F3-2B5F-972638921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>
          <a:extLst>
            <a:ext uri="{FF2B5EF4-FFF2-40B4-BE49-F238E27FC236}">
              <a16:creationId xmlns:a16="http://schemas.microsoft.com/office/drawing/2014/main" id="{BF38A6A1-4581-04C5-39C0-B57077A2F0D6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>
          <a:extLst>
            <a:ext uri="{FF2B5EF4-FFF2-40B4-BE49-F238E27FC236}">
              <a16:creationId xmlns:a16="http://schemas.microsoft.com/office/drawing/2014/main" id="{9D658417-7EC3-2706-3623-EC2790F582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7BFC6F5-F1E4-2044-5EE4-DD1650A4D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42</xdr:row>
      <xdr:rowOff>85725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F35092A5-C0F7-A0BF-C409-EF367E23D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830AEF3B-932A-6A70-05CE-4D1C347E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D08F7776-ABBD-B38F-668C-C175C81649AA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14A8B44A-BFE6-D3A9-F08E-89501B503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200025</xdr:colOff>
      <xdr:row>42</xdr:row>
      <xdr:rowOff>85725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C15404AF-CD2A-641C-7662-37F118C9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>
          <a:extLst xmlns:a="http://schemas.openxmlformats.org/drawingml/2006/main">
            <a:ext uri="{FF2B5EF4-FFF2-40B4-BE49-F238E27FC236}">
              <a16:creationId xmlns:a16="http://schemas.microsoft.com/office/drawing/2014/main" id="{E78EF6D0-1B4B-8FE0-081E-DB57914017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>
          <a:extLst xmlns:a="http://schemas.openxmlformats.org/drawingml/2006/main">
            <a:ext uri="{FF2B5EF4-FFF2-40B4-BE49-F238E27FC236}">
              <a16:creationId xmlns:a16="http://schemas.microsoft.com/office/drawing/2014/main" id="{0A701FB9-F860-E964-3F15-44F15D883D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>
          <a:extLst xmlns:a="http://schemas.openxmlformats.org/drawingml/2006/main">
            <a:ext uri="{FF2B5EF4-FFF2-40B4-BE49-F238E27FC236}">
              <a16:creationId xmlns:a16="http://schemas.microsoft.com/office/drawing/2014/main" id="{0CC25754-1751-F928-D1FC-9ED41CEAB5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>
          <a:extLst xmlns:a="http://schemas.openxmlformats.org/drawingml/2006/main">
            <a:ext uri="{FF2B5EF4-FFF2-40B4-BE49-F238E27FC236}">
              <a16:creationId xmlns:a16="http://schemas.microsoft.com/office/drawing/2014/main" id="{DD71E15B-683C-5414-F841-19F4A4E132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>
          <a:extLst xmlns:a="http://schemas.openxmlformats.org/drawingml/2006/main">
            <a:ext uri="{FF2B5EF4-FFF2-40B4-BE49-F238E27FC236}">
              <a16:creationId xmlns:a16="http://schemas.microsoft.com/office/drawing/2014/main" id="{85409845-E539-0C21-A2BA-9A7A363E0B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>
          <a:extLst xmlns:a="http://schemas.openxmlformats.org/drawingml/2006/main">
            <a:ext uri="{FF2B5EF4-FFF2-40B4-BE49-F238E27FC236}">
              <a16:creationId xmlns:a16="http://schemas.microsoft.com/office/drawing/2014/main" id="{BD0C26CF-763E-51A7-767F-9931C6CF14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>
          <a:extLst xmlns:a="http://schemas.openxmlformats.org/drawingml/2006/main">
            <a:ext uri="{FF2B5EF4-FFF2-40B4-BE49-F238E27FC236}">
              <a16:creationId xmlns:a16="http://schemas.microsoft.com/office/drawing/2014/main" id="{F666AC42-7D6B-4A35-294D-41FFC41B65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>
          <a:extLst xmlns:a="http://schemas.openxmlformats.org/drawingml/2006/main">
            <a:ext uri="{FF2B5EF4-FFF2-40B4-BE49-F238E27FC236}">
              <a16:creationId xmlns:a16="http://schemas.microsoft.com/office/drawing/2014/main" id="{00E9E39A-C5B0-4D59-3809-486C83561A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>
          <a:extLst xmlns:a="http://schemas.openxmlformats.org/drawingml/2006/main">
            <a:ext uri="{FF2B5EF4-FFF2-40B4-BE49-F238E27FC236}">
              <a16:creationId xmlns:a16="http://schemas.microsoft.com/office/drawing/2014/main" id="{10885633-C5FE-D12C-85AF-B896C77E50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>
          <a:extLst xmlns:a="http://schemas.openxmlformats.org/drawingml/2006/main">
            <a:ext uri="{FF2B5EF4-FFF2-40B4-BE49-F238E27FC236}">
              <a16:creationId xmlns:a16="http://schemas.microsoft.com/office/drawing/2014/main" id="{716DAFA2-E414-E7FC-ADB5-29D64983D53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>
          <a:extLst xmlns:a="http://schemas.openxmlformats.org/drawingml/2006/main">
            <a:ext uri="{FF2B5EF4-FFF2-40B4-BE49-F238E27FC236}">
              <a16:creationId xmlns:a16="http://schemas.microsoft.com/office/drawing/2014/main" id="{BBB52636-16D1-92CA-1F47-8AA96D1CCC0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1FEF391D-A3F1-AFB3-2051-93FEDFE6A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85725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1EBD6D4E-6558-5DD6-1E53-C45BC4AD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928786A6-4EFC-866A-C32C-3C81EE22C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>
          <a:extLst>
            <a:ext uri="{FF2B5EF4-FFF2-40B4-BE49-F238E27FC236}">
              <a16:creationId xmlns:a16="http://schemas.microsoft.com/office/drawing/2014/main" id="{0B4235FE-2495-856D-E246-14C3C2B9505D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>
          <a:extLst>
            <a:ext uri="{FF2B5EF4-FFF2-40B4-BE49-F238E27FC236}">
              <a16:creationId xmlns:a16="http://schemas.microsoft.com/office/drawing/2014/main" id="{DA092F39-63F0-DE07-551E-FC24FB457E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209550</xdr:colOff>
      <xdr:row>42</xdr:row>
      <xdr:rowOff>95250</xdr:rowOff>
    </xdr:to>
    <xdr:graphicFrame macro="">
      <xdr:nvGraphicFramePr>
        <xdr:cNvPr id="7176" name="Chart 8">
          <a:extLst>
            <a:ext uri="{FF2B5EF4-FFF2-40B4-BE49-F238E27FC236}">
              <a16:creationId xmlns:a16="http://schemas.microsoft.com/office/drawing/2014/main" id="{57ED8623-BA9C-7B8F-AD12-184185D27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>
          <a:extLst>
            <a:ext uri="{FF2B5EF4-FFF2-40B4-BE49-F238E27FC236}">
              <a16:creationId xmlns:a16="http://schemas.microsoft.com/office/drawing/2014/main" id="{F5408513-1965-12A5-0763-83F40BD74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>
          <a:extLst>
            <a:ext uri="{FF2B5EF4-FFF2-40B4-BE49-F238E27FC236}">
              <a16:creationId xmlns:a16="http://schemas.microsoft.com/office/drawing/2014/main" id="{FD3081AE-84CB-8AC6-29F9-2E82B14AB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>
          <a:extLst>
            <a:ext uri="{FF2B5EF4-FFF2-40B4-BE49-F238E27FC236}">
              <a16:creationId xmlns:a16="http://schemas.microsoft.com/office/drawing/2014/main" id="{2AF0C023-E49A-415B-657F-F4D8006B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>
          <a:extLst>
            <a:ext uri="{FF2B5EF4-FFF2-40B4-BE49-F238E27FC236}">
              <a16:creationId xmlns:a16="http://schemas.microsoft.com/office/drawing/2014/main" id="{36DD9965-9C25-B13A-041F-1B6C03A32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>
          <a:extLst>
            <a:ext uri="{FF2B5EF4-FFF2-40B4-BE49-F238E27FC236}">
              <a16:creationId xmlns:a16="http://schemas.microsoft.com/office/drawing/2014/main" id="{599EB689-E63F-15D0-AA56-EEB5E7821C3F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>
          <a:extLst>
            <a:ext uri="{FF2B5EF4-FFF2-40B4-BE49-F238E27FC236}">
              <a16:creationId xmlns:a16="http://schemas.microsoft.com/office/drawing/2014/main" id="{66E03608-5B8B-4FE3-7D9B-3AABC689F4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F846025F-A02F-78B6-20C9-BCFF385B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0419" name="Chart 3">
          <a:extLst>
            <a:ext uri="{FF2B5EF4-FFF2-40B4-BE49-F238E27FC236}">
              <a16:creationId xmlns:a16="http://schemas.microsoft.com/office/drawing/2014/main" id="{E0C26688-E729-3D14-63D9-ED3664BD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>
          <a:extLst>
            <a:ext uri="{FF2B5EF4-FFF2-40B4-BE49-F238E27FC236}">
              <a16:creationId xmlns:a16="http://schemas.microsoft.com/office/drawing/2014/main" id="{F5DCE304-4493-BCC4-E80E-C447580AC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>
          <a:extLst>
            <a:ext uri="{FF2B5EF4-FFF2-40B4-BE49-F238E27FC236}">
              <a16:creationId xmlns:a16="http://schemas.microsoft.com/office/drawing/2014/main" id="{7F03E8CA-65C2-727C-05F0-761E92B224C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>
          <a:extLst>
            <a:ext uri="{FF2B5EF4-FFF2-40B4-BE49-F238E27FC236}">
              <a16:creationId xmlns:a16="http://schemas.microsoft.com/office/drawing/2014/main" id="{7DD97EBA-99BB-E684-4627-54F928B3EA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219075</xdr:colOff>
      <xdr:row>42</xdr:row>
      <xdr:rowOff>104775</xdr:rowOff>
    </xdr:to>
    <xdr:graphicFrame macro="">
      <xdr:nvGraphicFramePr>
        <xdr:cNvPr id="60426" name="Chart 10">
          <a:extLst>
            <a:ext uri="{FF2B5EF4-FFF2-40B4-BE49-F238E27FC236}">
              <a16:creationId xmlns:a16="http://schemas.microsoft.com/office/drawing/2014/main" id="{D1FAAC9F-A3DB-6679-11E8-1863D46E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>
          <a:extLst>
            <a:ext uri="{FF2B5EF4-FFF2-40B4-BE49-F238E27FC236}">
              <a16:creationId xmlns:a16="http://schemas.microsoft.com/office/drawing/2014/main" id="{BC7536A1-C501-60F0-3BDA-FEBDD2BA9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>
          <a:extLst>
            <a:ext uri="{FF2B5EF4-FFF2-40B4-BE49-F238E27FC236}">
              <a16:creationId xmlns:a16="http://schemas.microsoft.com/office/drawing/2014/main" id="{402607AA-DAC0-2B85-E4B0-9C1A2602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>
          <a:extLst>
            <a:ext uri="{FF2B5EF4-FFF2-40B4-BE49-F238E27FC236}">
              <a16:creationId xmlns:a16="http://schemas.microsoft.com/office/drawing/2014/main" id="{A20B6093-5B5B-AF85-5F06-550C34656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>
          <a:extLst>
            <a:ext uri="{FF2B5EF4-FFF2-40B4-BE49-F238E27FC236}">
              <a16:creationId xmlns:a16="http://schemas.microsoft.com/office/drawing/2014/main" id="{40866B02-F965-6F51-5BD1-43EB0C79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>
          <a:extLst>
            <a:ext uri="{FF2B5EF4-FFF2-40B4-BE49-F238E27FC236}">
              <a16:creationId xmlns:a16="http://schemas.microsoft.com/office/drawing/2014/main" id="{646FAA6B-1501-DC99-3285-BA1F1B3F9FE6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>
          <a:extLst>
            <a:ext uri="{FF2B5EF4-FFF2-40B4-BE49-F238E27FC236}">
              <a16:creationId xmlns:a16="http://schemas.microsoft.com/office/drawing/2014/main" id="{E22CE0BD-B520-7AE5-0B4F-164FA02AD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>
          <a:extLst>
            <a:ext uri="{FF2B5EF4-FFF2-40B4-BE49-F238E27FC236}">
              <a16:creationId xmlns:a16="http://schemas.microsoft.com/office/drawing/2014/main" id="{143D75F0-D471-91BE-3A05-BCACE3C9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>
          <a:extLst>
            <a:ext uri="{FF2B5EF4-FFF2-40B4-BE49-F238E27FC236}">
              <a16:creationId xmlns:a16="http://schemas.microsoft.com/office/drawing/2014/main" id="{5345F7CC-28CB-1D55-D4A3-3324CB07C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7587" name="Chart 3">
          <a:extLst>
            <a:ext uri="{FF2B5EF4-FFF2-40B4-BE49-F238E27FC236}">
              <a16:creationId xmlns:a16="http://schemas.microsoft.com/office/drawing/2014/main" id="{C109D23A-5EAF-AB5B-44CB-A39689029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>
          <a:extLst>
            <a:ext uri="{FF2B5EF4-FFF2-40B4-BE49-F238E27FC236}">
              <a16:creationId xmlns:a16="http://schemas.microsoft.com/office/drawing/2014/main" id="{3F7BA82A-3BDB-AFE0-BDC4-1408EE77CC6C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>
          <a:extLst>
            <a:ext uri="{FF2B5EF4-FFF2-40B4-BE49-F238E27FC236}">
              <a16:creationId xmlns:a16="http://schemas.microsoft.com/office/drawing/2014/main" id="{E2FA8E28-3C66-9CD2-D8F7-D4C0755B5A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>
          <a:extLst>
            <a:ext uri="{FF2B5EF4-FFF2-40B4-BE49-F238E27FC236}">
              <a16:creationId xmlns:a16="http://schemas.microsoft.com/office/drawing/2014/main" id="{964EFEF3-E2E0-FBEC-E8E7-C25EC1BC4C05}"/>
            </a:ext>
          </a:extLst>
        </xdr:cNvPr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228600</xdr:colOff>
      <xdr:row>42</xdr:row>
      <xdr:rowOff>123825</xdr:rowOff>
    </xdr:to>
    <xdr:graphicFrame macro="">
      <xdr:nvGraphicFramePr>
        <xdr:cNvPr id="67595" name="Chart 11">
          <a:extLst>
            <a:ext uri="{FF2B5EF4-FFF2-40B4-BE49-F238E27FC236}">
              <a16:creationId xmlns:a16="http://schemas.microsoft.com/office/drawing/2014/main" id="{1009DF35-CC70-1141-BB27-8CFE48DB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>
          <a:extLst>
            <a:ext uri="{FF2B5EF4-FFF2-40B4-BE49-F238E27FC236}">
              <a16:creationId xmlns:a16="http://schemas.microsoft.com/office/drawing/2014/main" id="{4132C5F2-1E12-B278-CD6A-C61D7E9FE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133350</xdr:rowOff>
    </xdr:to>
    <xdr:graphicFrame macro="">
      <xdr:nvGraphicFramePr>
        <xdr:cNvPr id="334851" name="Chart 3">
          <a:extLst>
            <a:ext uri="{FF2B5EF4-FFF2-40B4-BE49-F238E27FC236}">
              <a16:creationId xmlns:a16="http://schemas.microsoft.com/office/drawing/2014/main" id="{865BF613-6974-6296-CEB6-BBFE1521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>
          <a:extLst>
            <a:ext uri="{FF2B5EF4-FFF2-40B4-BE49-F238E27FC236}">
              <a16:creationId xmlns:a16="http://schemas.microsoft.com/office/drawing/2014/main" id="{651B0811-78AF-BA3B-7D21-C23FE2722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>
          <a:extLst>
            <a:ext uri="{FF2B5EF4-FFF2-40B4-BE49-F238E27FC236}">
              <a16:creationId xmlns:a16="http://schemas.microsoft.com/office/drawing/2014/main" id="{F1FA9B9D-4EB6-F0C7-5D2A-B3C9AA0B8B4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>
          <a:extLst>
            <a:ext uri="{FF2B5EF4-FFF2-40B4-BE49-F238E27FC236}">
              <a16:creationId xmlns:a16="http://schemas.microsoft.com/office/drawing/2014/main" id="{CF176066-A66A-EDCF-630B-029375E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238125</xdr:colOff>
      <xdr:row>42</xdr:row>
      <xdr:rowOff>133350</xdr:rowOff>
    </xdr:to>
    <xdr:graphicFrame macro="">
      <xdr:nvGraphicFramePr>
        <xdr:cNvPr id="334855" name="Chart 7">
          <a:extLst>
            <a:ext uri="{FF2B5EF4-FFF2-40B4-BE49-F238E27FC236}">
              <a16:creationId xmlns:a16="http://schemas.microsoft.com/office/drawing/2014/main" id="{4B6EE74B-8806-A10C-572C-942CDCA79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>
          <a:extLst>
            <a:ext uri="{FF2B5EF4-FFF2-40B4-BE49-F238E27FC236}">
              <a16:creationId xmlns:a16="http://schemas.microsoft.com/office/drawing/2014/main" id="{52507B95-5081-787A-F66C-2680B912D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>
          <a:extLst>
            <a:ext uri="{FF2B5EF4-FFF2-40B4-BE49-F238E27FC236}">
              <a16:creationId xmlns:a16="http://schemas.microsoft.com/office/drawing/2014/main" id="{03E12AEC-AAA0-6D4D-334A-DDA461972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>
          <a:extLst>
            <a:ext uri="{FF2B5EF4-FFF2-40B4-BE49-F238E27FC236}">
              <a16:creationId xmlns:a16="http://schemas.microsoft.com/office/drawing/2014/main" id="{A03CBB78-F229-53BC-66AF-E079A3B26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>
          <a:extLst>
            <a:ext uri="{FF2B5EF4-FFF2-40B4-BE49-F238E27FC236}">
              <a16:creationId xmlns:a16="http://schemas.microsoft.com/office/drawing/2014/main" id="{E92D8576-A42F-EF7D-E6BC-20E06DA98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>
          <a:extLst>
            <a:ext uri="{FF2B5EF4-FFF2-40B4-BE49-F238E27FC236}">
              <a16:creationId xmlns:a16="http://schemas.microsoft.com/office/drawing/2014/main" id="{CD52EF44-5299-28F2-7CEE-28DDD75B30D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>
          <a:extLst>
            <a:ext uri="{FF2B5EF4-FFF2-40B4-BE49-F238E27FC236}">
              <a16:creationId xmlns:a16="http://schemas.microsoft.com/office/drawing/2014/main" id="{2CB89895-6081-1F72-20E0-865B5475C2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>
          <a:extLst>
            <a:ext uri="{FF2B5EF4-FFF2-40B4-BE49-F238E27FC236}">
              <a16:creationId xmlns:a16="http://schemas.microsoft.com/office/drawing/2014/main" id="{619C2B34-6598-BFA9-E249-1D9BA9B51837}"/>
            </a:ext>
          </a:extLst>
        </xdr:cNvPr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0.1155</cdr:x>
      <cdr:y>0.72942</cdr:y>
    </cdr:from>
    <cdr:to>
      <cdr:x>0.20802</cdr:x>
      <cdr:y>0.85489</cdr:y>
    </cdr:to>
    <cdr:sp macro="" textlink="">
      <cdr:nvSpPr>
        <cdr:cNvPr id="49157" name="Text Box 5">
          <a:extLst xmlns:a="http://schemas.openxmlformats.org/drawingml/2006/main">
            <a:ext uri="{FF2B5EF4-FFF2-40B4-BE49-F238E27FC236}">
              <a16:creationId xmlns:a16="http://schemas.microsoft.com/office/drawing/2014/main" id="{CA0B8CC9-15D9-DF0C-6EC9-CEE23630BC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845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0.20802</cdr:x>
      <cdr:y>0.72942</cdr:y>
    </cdr:from>
    <cdr:to>
      <cdr:x>0.32574</cdr:x>
      <cdr:y>0.8515</cdr:y>
    </cdr:to>
    <cdr:sp macro="" textlink="">
      <cdr:nvSpPr>
        <cdr:cNvPr id="49158" name="Text Box 6">
          <a:extLst xmlns:a="http://schemas.openxmlformats.org/drawingml/2006/main">
            <a:ext uri="{FF2B5EF4-FFF2-40B4-BE49-F238E27FC236}">
              <a16:creationId xmlns:a16="http://schemas.microsoft.com/office/drawing/2014/main" id="{355B8221-35B6-BC37-7AA4-8B316AE509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298" y="2108336"/>
          <a:ext cx="53374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0.29637</cdr:x>
      <cdr:y>0.72604</cdr:y>
    </cdr:from>
    <cdr:to>
      <cdr:x>0.38252</cdr:x>
      <cdr:y>0.79542</cdr:y>
    </cdr:to>
    <cdr:sp macro="" textlink="">
      <cdr:nvSpPr>
        <cdr:cNvPr id="49159" name="Text Box 7">
          <a:extLst xmlns:a="http://schemas.openxmlformats.org/drawingml/2006/main">
            <a:ext uri="{FF2B5EF4-FFF2-40B4-BE49-F238E27FC236}">
              <a16:creationId xmlns:a16="http://schemas.microsoft.com/office/drawing/2014/main" id="{7F840421-00A7-BF5C-BFC2-96C5DA57A0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886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0.38203</cdr:x>
      <cdr:y>0.72604</cdr:y>
    </cdr:from>
    <cdr:to>
      <cdr:x>0.48703</cdr:x>
      <cdr:y>0.8515</cdr:y>
    </cdr:to>
    <cdr:sp macro="" textlink="">
      <cdr:nvSpPr>
        <cdr:cNvPr id="49160" name="Text Box 8">
          <a:extLst xmlns:a="http://schemas.openxmlformats.org/drawingml/2006/main">
            <a:ext uri="{FF2B5EF4-FFF2-40B4-BE49-F238E27FC236}">
              <a16:creationId xmlns:a16="http://schemas.microsoft.com/office/drawing/2014/main" id="{4D46A829-07BE-932A-327D-4149A525D7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5268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0.48752</cdr:x>
      <cdr:y>0.72604</cdr:y>
    </cdr:from>
    <cdr:to>
      <cdr:x>0.58199</cdr:x>
      <cdr:y>0.8515</cdr:y>
    </cdr:to>
    <cdr:sp macro="" textlink="">
      <cdr:nvSpPr>
        <cdr:cNvPr id="49161" name="Text Box 9">
          <a:extLst xmlns:a="http://schemas.openxmlformats.org/drawingml/2006/main">
            <a:ext uri="{FF2B5EF4-FFF2-40B4-BE49-F238E27FC236}">
              <a16:creationId xmlns:a16="http://schemas.microsoft.com/office/drawing/2014/main" id="{E6F556C3-FECE-E1DE-7211-79637E048C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3532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0.58199</cdr:x>
      <cdr:y>0.72942</cdr:y>
    </cdr:from>
    <cdr:to>
      <cdr:x>0.65762</cdr:x>
      <cdr:y>0.80194</cdr:y>
    </cdr:to>
    <cdr:sp macro="" textlink="">
      <cdr:nvSpPr>
        <cdr:cNvPr id="49162" name="Text Box 10">
          <a:extLst xmlns:a="http://schemas.openxmlformats.org/drawingml/2006/main">
            <a:ext uri="{FF2B5EF4-FFF2-40B4-BE49-F238E27FC236}">
              <a16:creationId xmlns:a16="http://schemas.microsoft.com/office/drawing/2014/main" id="{BAF4332A-A471-E582-6DDA-CFE381C485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1862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0.67451</cdr:x>
      <cdr:y>0.72604</cdr:y>
    </cdr:from>
    <cdr:to>
      <cdr:x>0.73129</cdr:x>
      <cdr:y>0.8515</cdr:y>
    </cdr:to>
    <cdr:sp macro="" textlink="">
      <cdr:nvSpPr>
        <cdr:cNvPr id="49163" name="Text Box 11">
          <a:extLst xmlns:a="http://schemas.openxmlformats.org/drawingml/2006/main">
            <a:ext uri="{FF2B5EF4-FFF2-40B4-BE49-F238E27FC236}">
              <a16:creationId xmlns:a16="http://schemas.microsoft.com/office/drawing/2014/main" id="{5FF7406F-F43C-57A4-C75B-590E2D1D5A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1314" y="2098568"/>
          <a:ext cx="257442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0.81646</cdr:x>
      <cdr:y>0.72579</cdr:y>
    </cdr:from>
    <cdr:to>
      <cdr:x>0.8796</cdr:x>
      <cdr:y>0.84449</cdr:y>
    </cdr:to>
    <cdr:sp macro="" textlink="">
      <cdr:nvSpPr>
        <cdr:cNvPr id="49164" name="Text Box 12">
          <a:extLst xmlns:a="http://schemas.openxmlformats.org/drawingml/2006/main">
            <a:ext uri="{FF2B5EF4-FFF2-40B4-BE49-F238E27FC236}">
              <a16:creationId xmlns:a16="http://schemas.microsoft.com/office/drawing/2014/main" id="{0F41B10C-A973-41CF-92F2-E255793004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4919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0.92121</cdr:x>
      <cdr:y>0.75335</cdr:y>
    </cdr:from>
    <cdr:to>
      <cdr:x>0.97995</cdr:x>
      <cdr:y>0.82274</cdr:y>
    </cdr:to>
    <cdr:sp macro="" textlink="">
      <cdr:nvSpPr>
        <cdr:cNvPr id="49165" name="Text Box 13">
          <a:extLst xmlns:a="http://schemas.openxmlformats.org/drawingml/2006/main">
            <a:ext uri="{FF2B5EF4-FFF2-40B4-BE49-F238E27FC236}">
              <a16:creationId xmlns:a16="http://schemas.microsoft.com/office/drawing/2014/main" id="{0A171689-44C9-7DCE-390A-A5E92FFDD4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854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0.74548</cdr:x>
      <cdr:y>0.72604</cdr:y>
    </cdr:from>
    <cdr:to>
      <cdr:x>0.81475</cdr:x>
      <cdr:y>0.8515</cdr:y>
    </cdr:to>
    <cdr:sp macro="" textlink="">
      <cdr:nvSpPr>
        <cdr:cNvPr id="49167" name="Text Box 15">
          <a:extLst xmlns:a="http://schemas.openxmlformats.org/drawingml/2006/main">
            <a:ext uri="{FF2B5EF4-FFF2-40B4-BE49-F238E27FC236}">
              <a16:creationId xmlns:a16="http://schemas.microsoft.com/office/drawing/2014/main" id="{769B238F-6F63-2B91-3693-D743F8AC5D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3116" y="2098568"/>
          <a:ext cx="31403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0.16763</cdr:x>
      <cdr:y>0.46712</cdr:y>
    </cdr:from>
    <cdr:to>
      <cdr:x>0.19455</cdr:x>
      <cdr:y>0.55609</cdr:y>
    </cdr:to>
    <cdr:sp macro="" textlink="">
      <cdr:nvSpPr>
        <cdr:cNvPr id="274433" name="Line 1">
          <a:extLst xmlns:a="http://schemas.openxmlformats.org/drawingml/2006/main">
            <a:ext uri="{FF2B5EF4-FFF2-40B4-BE49-F238E27FC236}">
              <a16:creationId xmlns:a16="http://schemas.microsoft.com/office/drawing/2014/main" id="{A842621C-CAFD-B64E-49B4-73DF3BC3A73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355763"/>
          <a:ext cx="122063" cy="2576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>
          <a:extLst>
            <a:ext uri="{FF2B5EF4-FFF2-40B4-BE49-F238E27FC236}">
              <a16:creationId xmlns:a16="http://schemas.microsoft.com/office/drawing/2014/main" id="{51DD210C-6ED8-BD75-4A9C-5E8FB3CA5B4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>
          <a:extLst>
            <a:ext uri="{FF2B5EF4-FFF2-40B4-BE49-F238E27FC236}">
              <a16:creationId xmlns:a16="http://schemas.microsoft.com/office/drawing/2014/main" id="{E2344260-0850-98B7-E01D-EA5FEA048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>
          <a:extLst>
            <a:ext uri="{FF2B5EF4-FFF2-40B4-BE49-F238E27FC236}">
              <a16:creationId xmlns:a16="http://schemas.microsoft.com/office/drawing/2014/main" id="{AB6A5D75-4D5D-3DDD-DC15-905F85FCB527}"/>
            </a:ext>
          </a:extLst>
        </xdr:cNvPr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>
          <a:extLst>
            <a:ext uri="{FF2B5EF4-FFF2-40B4-BE49-F238E27FC236}">
              <a16:creationId xmlns:a16="http://schemas.microsoft.com/office/drawing/2014/main" id="{C8666B49-FCA6-8F81-C6D5-926BFDD36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>
          <a:extLst>
            <a:ext uri="{FF2B5EF4-FFF2-40B4-BE49-F238E27FC236}">
              <a16:creationId xmlns:a16="http://schemas.microsoft.com/office/drawing/2014/main" id="{0F07C099-1D21-01B9-F0B7-2CC3C8A5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>
          <a:extLst>
            <a:ext uri="{FF2B5EF4-FFF2-40B4-BE49-F238E27FC236}">
              <a16:creationId xmlns:a16="http://schemas.microsoft.com/office/drawing/2014/main" id="{A3E86D5C-F749-D572-B6DE-7A9F90AB2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23</xdr:row>
      <xdr:rowOff>28575</xdr:rowOff>
    </xdr:from>
    <xdr:to>
      <xdr:col>7</xdr:col>
      <xdr:colOff>190500</xdr:colOff>
      <xdr:row>41</xdr:row>
      <xdr:rowOff>19050</xdr:rowOff>
    </xdr:to>
    <xdr:graphicFrame macro="">
      <xdr:nvGraphicFramePr>
        <xdr:cNvPr id="78884" name="Chart 36">
          <a:extLst>
            <a:ext uri="{FF2B5EF4-FFF2-40B4-BE49-F238E27FC236}">
              <a16:creationId xmlns:a16="http://schemas.microsoft.com/office/drawing/2014/main" id="{0B4C491A-7822-2835-52DB-E8ADF616D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025">
          <a:extLst xmlns:a="http://schemas.openxmlformats.org/drawingml/2006/main">
            <a:ext uri="{FF2B5EF4-FFF2-40B4-BE49-F238E27FC236}">
              <a16:creationId xmlns:a16="http://schemas.microsoft.com/office/drawing/2014/main" id="{D87D10D1-1594-2957-215A-B28DA137F4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1026">
          <a:extLst xmlns:a="http://schemas.openxmlformats.org/drawingml/2006/main">
            <a:ext uri="{FF2B5EF4-FFF2-40B4-BE49-F238E27FC236}">
              <a16:creationId xmlns:a16="http://schemas.microsoft.com/office/drawing/2014/main" id="{5C0DA291-6A33-9C17-BE11-FC91D4B5D7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1027">
          <a:extLst xmlns:a="http://schemas.openxmlformats.org/drawingml/2006/main">
            <a:ext uri="{FF2B5EF4-FFF2-40B4-BE49-F238E27FC236}">
              <a16:creationId xmlns:a16="http://schemas.microsoft.com/office/drawing/2014/main" id="{B88A56E5-EFED-EE72-7BC4-46583FB066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1028">
          <a:extLst xmlns:a="http://schemas.openxmlformats.org/drawingml/2006/main">
            <a:ext uri="{FF2B5EF4-FFF2-40B4-BE49-F238E27FC236}">
              <a16:creationId xmlns:a16="http://schemas.microsoft.com/office/drawing/2014/main" id="{1E1789D7-1A74-E8DA-02C4-8C7C945E772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1029">
          <a:extLst xmlns:a="http://schemas.openxmlformats.org/drawingml/2006/main">
            <a:ext uri="{FF2B5EF4-FFF2-40B4-BE49-F238E27FC236}">
              <a16:creationId xmlns:a16="http://schemas.microsoft.com/office/drawing/2014/main" id="{2E48B4FC-DA1F-B07E-F362-DF9E88FEA8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1030">
          <a:extLst xmlns:a="http://schemas.openxmlformats.org/drawingml/2006/main">
            <a:ext uri="{FF2B5EF4-FFF2-40B4-BE49-F238E27FC236}">
              <a16:creationId xmlns:a16="http://schemas.microsoft.com/office/drawing/2014/main" id="{F82BD2D0-B21C-8257-8437-3A1B594268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1031">
          <a:extLst xmlns:a="http://schemas.openxmlformats.org/drawingml/2006/main">
            <a:ext uri="{FF2B5EF4-FFF2-40B4-BE49-F238E27FC236}">
              <a16:creationId xmlns:a16="http://schemas.microsoft.com/office/drawing/2014/main" id="{C29CC99A-21BF-C056-79C5-0EACDE813E6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1032">
          <a:extLst xmlns:a="http://schemas.openxmlformats.org/drawingml/2006/main">
            <a:ext uri="{FF2B5EF4-FFF2-40B4-BE49-F238E27FC236}">
              <a16:creationId xmlns:a16="http://schemas.microsoft.com/office/drawing/2014/main" id="{409E59E4-0E96-82F3-4C78-C164716AFF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1033">
          <a:extLst xmlns:a="http://schemas.openxmlformats.org/drawingml/2006/main">
            <a:ext uri="{FF2B5EF4-FFF2-40B4-BE49-F238E27FC236}">
              <a16:creationId xmlns:a16="http://schemas.microsoft.com/office/drawing/2014/main" id="{3019214A-287B-18A2-C204-6718ED8FDC2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34">
          <a:extLst xmlns:a="http://schemas.openxmlformats.org/drawingml/2006/main">
            <a:ext uri="{FF2B5EF4-FFF2-40B4-BE49-F238E27FC236}">
              <a16:creationId xmlns:a16="http://schemas.microsoft.com/office/drawing/2014/main" id="{9A2377F3-70BD-A6EE-3A7C-C9C242DCFC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6A724BE-0C5B-29F4-E6AE-AF459A091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915C996C-88F9-059E-E4C7-C3669B400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CDC4DDD1-836B-80E3-FEE8-B1540957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1A8CE077-0087-3B1E-929F-71BC5025FFF3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5CBF5C85-045F-3A85-9D99-42E4BEDCC5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24</xdr:row>
      <xdr:rowOff>47625</xdr:rowOff>
    </xdr:from>
    <xdr:to>
      <xdr:col>7</xdr:col>
      <xdr:colOff>200025</xdr:colOff>
      <xdr:row>42</xdr:row>
      <xdr:rowOff>76200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10FEAD64-AC9E-78E0-085D-DF7986D2E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0.45528</cdr:y>
    </cdr:from>
    <cdr:to>
      <cdr:x>0.91033</cdr:x>
      <cdr:y>0.4855</cdr:y>
    </cdr:to>
    <cdr:sp macro="" textlink="">
      <cdr:nvSpPr>
        <cdr:cNvPr id="241666" name="Line 2">
          <a:extLst xmlns:a="http://schemas.openxmlformats.org/drawingml/2006/main">
            <a:ext uri="{FF2B5EF4-FFF2-40B4-BE49-F238E27FC236}">
              <a16:creationId xmlns:a16="http://schemas.microsoft.com/office/drawing/2014/main" id="{08AFE2C3-FA95-4BF5-6995-408B135129E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17137"/>
          <a:ext cx="188405" cy="87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0.09819</cdr:y>
    </cdr:from>
    <cdr:to>
      <cdr:x>0.178</cdr:x>
      <cdr:y>0.16302</cdr:y>
    </cdr:to>
    <cdr:sp macro="" textlink="">
      <cdr:nvSpPr>
        <cdr:cNvPr id="13316" name="Text Box 4">
          <a:extLst xmlns:a="http://schemas.openxmlformats.org/drawingml/2006/main">
            <a:ext uri="{FF2B5EF4-FFF2-40B4-BE49-F238E27FC236}">
              <a16:creationId xmlns:a16="http://schemas.microsoft.com/office/drawing/2014/main" id="{6684294F-C1E6-FD75-8DEA-062F9378E1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92166"/>
          <a:ext cx="95298" cy="190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12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J27">
            <v>-51501</v>
          </cell>
          <cell r="M27">
            <v>0</v>
          </cell>
          <cell r="O27">
            <v>-51501</v>
          </cell>
        </row>
        <row r="28">
          <cell r="E28">
            <v>0</v>
          </cell>
          <cell r="O28">
            <v>-1448.0150000000001</v>
          </cell>
        </row>
        <row r="29">
          <cell r="E29">
            <v>-29901.168999999998</v>
          </cell>
          <cell r="O29">
            <v>-27940.684999999998</v>
          </cell>
        </row>
        <row r="30">
          <cell r="E30">
            <v>23493.214</v>
          </cell>
          <cell r="O30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J9">
            <v>-51497.476000000002</v>
          </cell>
          <cell r="M9">
            <v>6903.1189999999997</v>
          </cell>
          <cell r="O9">
            <v>-68419.218999999997</v>
          </cell>
        </row>
        <row r="10">
          <cell r="J10">
            <v>3459.6349999999998</v>
          </cell>
          <cell r="M10">
            <v>5110.5330000000004</v>
          </cell>
          <cell r="O10">
            <v>-5439.8520000000008</v>
          </cell>
        </row>
        <row r="11">
          <cell r="J11">
            <v>3154</v>
          </cell>
          <cell r="M11">
            <v>348.209</v>
          </cell>
          <cell r="O11">
            <v>2430.7260000000001</v>
          </cell>
        </row>
        <row r="13">
          <cell r="J13">
            <v>-9470</v>
          </cell>
          <cell r="M13">
            <v>1860.0810000000001</v>
          </cell>
          <cell r="O13">
            <v>-13106.833000000001</v>
          </cell>
        </row>
        <row r="14">
          <cell r="J14">
            <v>858.42700000000002</v>
          </cell>
          <cell r="M14">
            <v>2517.0659999999998</v>
          </cell>
          <cell r="O14">
            <v>-2611.9809999999998</v>
          </cell>
        </row>
        <row r="15">
          <cell r="J15">
            <v>3316</v>
          </cell>
          <cell r="M15">
            <v>1849.1360000000002</v>
          </cell>
          <cell r="O15">
            <v>185.45299999999975</v>
          </cell>
        </row>
        <row r="16">
          <cell r="J16">
            <v>-152.096</v>
          </cell>
          <cell r="M16">
            <v>7322.1759999999995</v>
          </cell>
          <cell r="O16">
            <v>-8915.3059999999987</v>
          </cell>
        </row>
        <row r="17">
          <cell r="J17">
            <v>2321</v>
          </cell>
          <cell r="M17">
            <v>6270.25</v>
          </cell>
          <cell r="O17">
            <v>-5138.4279999999999</v>
          </cell>
        </row>
        <row r="19">
          <cell r="J19">
            <v>1.476</v>
          </cell>
          <cell r="M19">
            <v>1542.4860000000001</v>
          </cell>
          <cell r="O19">
            <v>-3364.902</v>
          </cell>
        </row>
        <row r="20">
          <cell r="J20">
            <v>1147</v>
          </cell>
          <cell r="M20">
            <v>138.44999999999999</v>
          </cell>
          <cell r="O20">
            <v>1008.55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0</v>
          </cell>
          <cell r="M22">
            <v>537.20399999999995</v>
          </cell>
          <cell r="O22">
            <v>-1010.9559999999999</v>
          </cell>
        </row>
        <row r="23">
          <cell r="J23">
            <v>0</v>
          </cell>
          <cell r="M23">
            <v>0</v>
          </cell>
          <cell r="O23">
            <v>0</v>
          </cell>
        </row>
        <row r="27">
          <cell r="J27">
            <v>-30000</v>
          </cell>
          <cell r="O27">
            <v>-30000</v>
          </cell>
        </row>
        <row r="28">
          <cell r="M28">
            <v>0</v>
          </cell>
          <cell r="O28">
            <v>0</v>
          </cell>
        </row>
        <row r="29">
          <cell r="O29">
            <v>-42641.985000000001</v>
          </cell>
        </row>
        <row r="30">
          <cell r="O30">
            <v>23192.098000000002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R1" zoomScale="80" workbookViewId="0">
      <selection activeCell="W30" sqref="W30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-16.135788999999999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-51.497475999999999</v>
      </c>
      <c r="X3" s="21">
        <f t="shared" si="3"/>
        <v>6.9031189999999993</v>
      </c>
      <c r="Y3" s="158">
        <f t="shared" si="3"/>
        <v>-68.419218999999998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27.134721000000006</v>
      </c>
      <c r="AE3" s="21">
        <f t="shared" ref="AE3:AE8" si="5">+C3+J3+Q3+X3</f>
        <v>28.787011</v>
      </c>
      <c r="AF3" s="21">
        <f t="shared" ref="AF3:AF8" si="6">+D3+K3+R3+Y3</f>
        <v>9.534498499999998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6.6136349999999995</v>
      </c>
      <c r="X4" s="21">
        <f t="shared" si="13"/>
        <v>5.458742</v>
      </c>
      <c r="Y4" s="158">
        <f t="shared" si="13"/>
        <v>-3.0091260000000011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79.333107850000005</v>
      </c>
      <c r="AE4" s="21">
        <f t="shared" si="5"/>
        <v>19.068826999999999</v>
      </c>
      <c r="AF4" s="21">
        <f t="shared" si="6"/>
        <v>42.761536849999992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>
        <f>+BD19</f>
        <v>143</v>
      </c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-9.4700000000000006</v>
      </c>
      <c r="X5" s="21">
        <f t="shared" si="23"/>
        <v>1.8600810000000001</v>
      </c>
      <c r="Y5" s="158">
        <f t="shared" si="23"/>
        <v>-13.106833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17.039000000000001</v>
      </c>
      <c r="AE5" s="21">
        <f t="shared" si="5"/>
        <v>7.6312569999999997</v>
      </c>
      <c r="AF5" s="21">
        <f t="shared" si="6"/>
        <v>4.5409030000000019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>
        <f>+BD20+BD21</f>
        <v>96</v>
      </c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0.85842700000000005</v>
      </c>
      <c r="X6" s="21">
        <f t="shared" si="23"/>
        <v>2.5170659999999998</v>
      </c>
      <c r="Y6" s="158">
        <f t="shared" si="23"/>
        <v>-2.6119809999999997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6.0778972799999993</v>
      </c>
      <c r="AE6" s="21">
        <f t="shared" si="5"/>
        <v>6.6997389999999992</v>
      </c>
      <c r="AF6" s="21">
        <f t="shared" si="6"/>
        <v>-3.3528377199999997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44</v>
      </c>
      <c r="BC6" s="65">
        <f t="shared" si="31"/>
        <v>26</v>
      </c>
      <c r="BD6" s="7">
        <f>+BD22</f>
        <v>48</v>
      </c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3.3159999999999998</v>
      </c>
      <c r="X7" s="21">
        <f t="shared" si="23"/>
        <v>1.8491360000000001</v>
      </c>
      <c r="Y7" s="158">
        <f t="shared" si="23"/>
        <v>0.18545299999999976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39.495207000000001</v>
      </c>
      <c r="AE7" s="21">
        <f t="shared" si="5"/>
        <v>9.5574659999999998</v>
      </c>
      <c r="AF7" s="21">
        <f t="shared" si="6"/>
        <v>24.251759999999997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7">
        <f>+BD23</f>
        <v>30</v>
      </c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-0.15209600000000001</v>
      </c>
      <c r="X8" s="21">
        <f t="shared" si="23"/>
        <v>7.3221759999999998</v>
      </c>
      <c r="Y8" s="158">
        <f t="shared" si="23"/>
        <v>-8.9153059999999993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2.8037999999999998</v>
      </c>
      <c r="AE8" s="21">
        <f t="shared" si="5"/>
        <v>17.203637000000001</v>
      </c>
      <c r="AF8" s="21">
        <f t="shared" si="6"/>
        <v>-18.684111000000001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7">
        <f>+BD29</f>
        <v>34</v>
      </c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2.3210000000000002</v>
      </c>
      <c r="X9" s="21">
        <f t="shared" si="37"/>
        <v>6.2702499999999999</v>
      </c>
      <c r="Y9" s="158">
        <f t="shared" si="37"/>
        <v>-5.1384280000000002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7.448734</v>
      </c>
      <c r="AE9" s="21">
        <f t="shared" si="38"/>
        <v>21.412856999999999</v>
      </c>
      <c r="AF9" s="21">
        <f t="shared" si="38"/>
        <v>-19.470860999999999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7">
        <f>+BD24</f>
        <v>62</v>
      </c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1.4759999999999999E-3</v>
      </c>
      <c r="X10" s="21">
        <f t="shared" si="42"/>
        <v>1.542486</v>
      </c>
      <c r="Y10" s="158">
        <f t="shared" si="42"/>
        <v>-3.3649019999999998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2.3249999999999998E-3</v>
      </c>
      <c r="AE10" s="21">
        <f t="shared" si="44"/>
        <v>2.473363</v>
      </c>
      <c r="AF10" s="21">
        <f t="shared" si="44"/>
        <v>-5.8958119999999994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7">
        <f>+BD26+BD27+BD28</f>
        <v>38</v>
      </c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-3.7758059999999958</v>
      </c>
      <c r="Q11" s="21">
        <f t="shared" si="49"/>
        <v>1.1761949999999999</v>
      </c>
      <c r="R11" s="21">
        <f t="shared" si="49"/>
        <v>-59.272211999999989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-28.853000000000002</v>
      </c>
      <c r="X11" s="21">
        <f t="shared" si="42"/>
        <v>1.371521</v>
      </c>
      <c r="Y11" s="158">
        <f t="shared" si="42"/>
        <v>-50.218253999999988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-30.281074999999998</v>
      </c>
      <c r="AE11" s="21">
        <f t="shared" si="50"/>
        <v>69.06681900000001</v>
      </c>
      <c r="AF11" s="21">
        <f t="shared" si="50"/>
        <v>-138.94399949999996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>
        <f>+BD25</f>
        <v>18</v>
      </c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31.038480000000007</v>
      </c>
      <c r="Q12" s="37">
        <f t="shared" si="55"/>
        <v>32.75573399999999</v>
      </c>
      <c r="R12" s="37">
        <f t="shared" si="55"/>
        <v>-31.105953999999983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-76.862033999999994</v>
      </c>
      <c r="X12" s="159">
        <f t="shared" si="56"/>
        <v>35.094576999999994</v>
      </c>
      <c r="Y12" s="160">
        <f t="shared" si="56"/>
        <v>-154.59859599999999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149.05371713000002</v>
      </c>
      <c r="AE12" s="37">
        <f t="shared" si="57"/>
        <v>181.90097600000001</v>
      </c>
      <c r="AF12" s="37">
        <f t="shared" si="57"/>
        <v>-105.25892286999996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7">
        <f>+BD30</f>
        <v>165</v>
      </c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D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561</v>
      </c>
      <c r="BC13" s="106">
        <f>SUM(BC4:BC12)</f>
        <v>578</v>
      </c>
      <c r="BD13" s="106">
        <f t="shared" si="61"/>
        <v>634</v>
      </c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+'[6]Mgmt Summary'!J9/1000-45</f>
        <v>-16.135788999999999</v>
      </c>
      <c r="Q16" s="21">
        <f>+'[6]Mgmt Summary'!M9/1000</f>
        <v>7.9809809999999999</v>
      </c>
      <c r="R16" s="21">
        <f>+'[6]Mgmt Summary'!O9/1000</f>
        <v>13.858067999999999</v>
      </c>
      <c r="S16" s="22">
        <f>+'[6]Mgmt Summary'!C9/1000</f>
        <v>32.5</v>
      </c>
      <c r="T16" s="22">
        <f>+[6]Expenses!E9/1000</f>
        <v>6.9133320000000005</v>
      </c>
      <c r="U16" s="75">
        <f>+'[6]Mgmt Summary'!E9/1000</f>
        <v>15.606718000000001</v>
      </c>
      <c r="V16" s="24"/>
      <c r="W16" s="21">
        <f>+'[7]Mgmt Summary'!J9/1000</f>
        <v>-51.497475999999999</v>
      </c>
      <c r="X16" s="21">
        <f>+'[7]Mgmt Summary'!M9/1000</f>
        <v>6.9031189999999993</v>
      </c>
      <c r="Y16" s="21">
        <f>+'[7]Mgmt Summary'!O9/1000</f>
        <v>-68.419218999999998</v>
      </c>
      <c r="Z16" s="22">
        <f>+'[5]Mgmt Summary'!C9/1000</f>
        <v>45</v>
      </c>
      <c r="AA16" s="22">
        <f>+[5]Expenses!E9/1000</f>
        <v>6.9031189999999993</v>
      </c>
      <c r="AB16" s="75">
        <f>+'[5]Mgmt Summary'!E9/1000</f>
        <v>28.078257000000001</v>
      </c>
      <c r="AC16" s="3"/>
      <c r="AD16" s="21">
        <f t="shared" ref="AD16:AD24" si="62">+B16+I16+P16+W16</f>
        <v>27.134721000000006</v>
      </c>
      <c r="AE16" s="21">
        <f t="shared" ref="AE16:AE24" si="63">+C16+J16+Q16+X16</f>
        <v>28.787011</v>
      </c>
      <c r="AF16" s="21">
        <f t="shared" ref="AF16:AF24" si="64">+D16+K16+R16+Y16</f>
        <v>9.534498499999998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+('[6]Mgmt Summary'!J10+'[6]Mgmt Summary'!$J$11)/1000</f>
        <v>32.464047000000001</v>
      </c>
      <c r="Q17" s="21">
        <f>+('[6]Mgmt Summary'!M10+'[6]Mgmt Summary'!M11)/1000</f>
        <v>5.1395629999999999</v>
      </c>
      <c r="R17" s="21">
        <f>+('[6]Mgmt Summary'!O10+'[6]Mgmt Summary'!O11)/1000</f>
        <v>21.846977999999996</v>
      </c>
      <c r="S17" s="22">
        <f>+'[6]Mgmt Summary'!C10/1000+'[6]Mgmt Summary'!C11/1000</f>
        <v>18.75</v>
      </c>
      <c r="T17" s="22">
        <f>+[6]Expenses!E10/1000+[6]Expenses!E11/1000</f>
        <v>5.4528499999999998</v>
      </c>
      <c r="U17" s="23">
        <f>+'[6]Mgmt Summary'!E10/1000+'[6]Mgmt Summary'!E11/1000</f>
        <v>9.1264590000000005</v>
      </c>
      <c r="V17" s="24"/>
      <c r="W17" s="21">
        <f>+'[7]Mgmt Summary'!J10/1000+'[7]Mgmt Summary'!J11/1000</f>
        <v>6.6136349999999995</v>
      </c>
      <c r="X17" s="21">
        <f>+'[7]Mgmt Summary'!M10/1000+'[7]Mgmt Summary'!M11/1000</f>
        <v>5.458742</v>
      </c>
      <c r="Y17" s="21">
        <f>+'[7]Mgmt Summary'!O10/1000+'[7]Mgmt Summary'!O11/1000</f>
        <v>-3.0091260000000011</v>
      </c>
      <c r="Z17" s="22">
        <f>+'[5]Mgmt Summary'!C10/1000+'[5]Mgmt Summary'!C11/1000</f>
        <v>18.75</v>
      </c>
      <c r="AA17" s="22">
        <f>+[5]Expenses!E10/1000+[5]Expenses!E11/1000</f>
        <v>5.458742</v>
      </c>
      <c r="AB17" s="23">
        <f>+'[5]Mgmt Summary'!E10/1000+'[5]Mgmt Summary'!E11/1000</f>
        <v>9.1272389999999994</v>
      </c>
      <c r="AC17" s="24"/>
      <c r="AD17" s="21">
        <f t="shared" si="62"/>
        <v>85.571260850000002</v>
      </c>
      <c r="AE17" s="21">
        <f t="shared" si="63"/>
        <v>18.498324</v>
      </c>
      <c r="AF17" s="21">
        <f t="shared" si="64"/>
        <v>50.321889849999998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+'[6]Mgmt Summary'!C12/1000</f>
        <v>0</v>
      </c>
      <c r="T18" s="22">
        <f>+[6]Expenses!E12/1000</f>
        <v>0</v>
      </c>
      <c r="U18" s="23">
        <f>+'[6]Mgmt Summary'!E12/1000</f>
        <v>0</v>
      </c>
      <c r="V18" s="24"/>
      <c r="W18" s="21"/>
      <c r="X18" s="21"/>
      <c r="Y18" s="21"/>
      <c r="Z18" s="22">
        <f>+'[5]Mgmt Summary'!C12/1000</f>
        <v>0</v>
      </c>
      <c r="AA18" s="22">
        <f>+[5]Expenses!E12/1000</f>
        <v>0</v>
      </c>
      <c r="AB18" s="23">
        <f>+'[5]Mgmt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+'[6]Mgmt Summary'!J13/1000</f>
        <v>8.9260000000000002</v>
      </c>
      <c r="Q19" s="21">
        <f>+'[6]Mgmt Summary'!M13/1000</f>
        <v>2.5604989999999996</v>
      </c>
      <c r="R19" s="21">
        <f>+'[6]Mgmt Summary'!O13/1000</f>
        <v>5.1617360000000012</v>
      </c>
      <c r="S19" s="22">
        <f>+'[6]Mgmt Summary'!C13/1000</f>
        <v>8.6593520000000002</v>
      </c>
      <c r="T19" s="22">
        <f>+[6]Expenses!E13/1000</f>
        <v>1.5277240000000001</v>
      </c>
      <c r="U19" s="23">
        <f>+'[6]Mgmt Summary'!E13/1000</f>
        <v>5.3528970000000005</v>
      </c>
      <c r="V19" s="24"/>
      <c r="W19" s="21">
        <f>+'[7]Mgmt Summary'!J13/1000</f>
        <v>-9.4700000000000006</v>
      </c>
      <c r="X19" s="21">
        <f>+'[7]Mgmt Summary'!M13/1000</f>
        <v>1.8600810000000001</v>
      </c>
      <c r="Y19" s="21">
        <f>+'[7]Mgmt Summary'!O13/1000</f>
        <v>-13.106833</v>
      </c>
      <c r="Z19" s="22">
        <f>+'[5]Mgmt Summary'!C13/1000</f>
        <v>8.75258</v>
      </c>
      <c r="AA19" s="22">
        <f>+[5]Expenses!E13/1000</f>
        <v>1.5600810000000001</v>
      </c>
      <c r="AB19" s="23">
        <f>+'[5]Mgmt Summary'!E13/1000</f>
        <v>5.4157469999999996</v>
      </c>
      <c r="AC19" s="24"/>
      <c r="AD19" s="21">
        <f t="shared" si="62"/>
        <v>17.039000000000001</v>
      </c>
      <c r="AE19" s="21">
        <f t="shared" si="63"/>
        <v>7.6312569999999997</v>
      </c>
      <c r="AF19" s="21">
        <f t="shared" si="64"/>
        <v>4.5409030000000019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D19" s="2">
        <f>84+50+9</f>
        <v>143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+'[6]Mgmt Summary'!J14/1000</f>
        <v>0.99688599999999972</v>
      </c>
      <c r="Q20" s="21">
        <f>+'[6]Mgmt Summary'!M14/1000</f>
        <v>2.093127</v>
      </c>
      <c r="R20" s="21">
        <f>+'[6]Mgmt Summary'!O14/1000</f>
        <v>-1.6838440000000001</v>
      </c>
      <c r="S20" s="22">
        <f>+'[6]Mgmt Summary'!C14/1000</f>
        <v>11.875</v>
      </c>
      <c r="T20" s="22">
        <f>+[6]Expenses!E14/1000</f>
        <v>2.5170659999999998</v>
      </c>
      <c r="U20" s="23">
        <f>+'[6]Mgmt Summary'!E14/1000</f>
        <v>8.401542000000001</v>
      </c>
      <c r="V20" s="24"/>
      <c r="W20" s="21">
        <f>+'[7]Mgmt Summary'!J14/1000</f>
        <v>0.85842700000000005</v>
      </c>
      <c r="X20" s="21">
        <f>+'[7]Mgmt Summary'!M14/1000</f>
        <v>2.5170659999999998</v>
      </c>
      <c r="Y20" s="21">
        <f>+'[7]Mgmt Summary'!O14/1000</f>
        <v>-2.6119809999999997</v>
      </c>
      <c r="Z20" s="22">
        <f>+'[5]Mgmt Summary'!C14/1000</f>
        <v>8.875</v>
      </c>
      <c r="AA20" s="22">
        <f>+[5]Expenses!E14/1000</f>
        <v>2.5170659999999998</v>
      </c>
      <c r="AB20" s="23">
        <f>+'[5]Mgmt Summary'!E14/1000</f>
        <v>5.404592000000001</v>
      </c>
      <c r="AC20" s="24"/>
      <c r="AD20" s="21">
        <f t="shared" si="62"/>
        <v>6.0778972799999993</v>
      </c>
      <c r="AE20" s="21">
        <f t="shared" si="63"/>
        <v>6.6997389999999992</v>
      </c>
      <c r="AF20" s="21">
        <f t="shared" si="64"/>
        <v>-3.3528377199999997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D20" s="2">
        <f>6+21+49+13</f>
        <v>89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+'[6]Mgmt Summary'!J15/1000</f>
        <v>5.7214499999999999</v>
      </c>
      <c r="Q21" s="21">
        <f>+'[6]Mgmt Summary'!M15/1000</f>
        <v>3.047825</v>
      </c>
      <c r="R21" s="21">
        <f>+'[6]Mgmt Summary'!O15/1000</f>
        <v>1.4289799999999999</v>
      </c>
      <c r="S21" s="22">
        <f>+'[6]Mgmt Summary'!C15/1000</f>
        <v>27.37</v>
      </c>
      <c r="T21" s="22">
        <f>+[6]Expenses!E15/1000</f>
        <v>3.3204479999999998</v>
      </c>
      <c r="U21" s="23">
        <f>+'[6]Mgmt Summary'!E15/1000</f>
        <v>21.837183</v>
      </c>
      <c r="V21" s="24"/>
      <c r="W21" s="21">
        <f>+'[7]Mgmt Summary'!J15/1000</f>
        <v>3.3159999999999998</v>
      </c>
      <c r="X21" s="21">
        <f>+'[7]Mgmt Summary'!M15/1000</f>
        <v>1.8491360000000001</v>
      </c>
      <c r="Y21" s="21">
        <f>+'[7]Mgmt Summary'!O15/1000</f>
        <v>0.18545299999999976</v>
      </c>
      <c r="Z21" s="22">
        <f>+'[5]Mgmt Summary'!C15/1000</f>
        <v>29.545000000000002</v>
      </c>
      <c r="AA21" s="22">
        <f>+[5]Expenses!E15/1000</f>
        <v>1.8491360000000001</v>
      </c>
      <c r="AB21" s="23">
        <f>+'[5]Mgmt Summary'!E15/1000</f>
        <v>26.414453000000002</v>
      </c>
      <c r="AC21" s="24"/>
      <c r="AD21" s="21">
        <f t="shared" si="62"/>
        <v>39.495207000000001</v>
      </c>
      <c r="AE21" s="21">
        <f t="shared" si="63"/>
        <v>9.5574659999999998</v>
      </c>
      <c r="AF21" s="21">
        <f t="shared" si="64"/>
        <v>24.251759999999997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D21" s="2">
        <f>4+3</f>
        <v>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+'[6]Mgmt Summary'!J16/1000</f>
        <v>1.2664900000000001</v>
      </c>
      <c r="Q22" s="21">
        <f>+'[6]Mgmt Summary'!M16/1000</f>
        <v>3.6831990000000001</v>
      </c>
      <c r="R22" s="21">
        <f>+'[6]Mgmt Summary'!O16/1000</f>
        <v>-4.1581299999999999</v>
      </c>
      <c r="S22" s="22">
        <f>+'[6]Mgmt Summary'!C16/1000</f>
        <v>5.7050000000000001</v>
      </c>
      <c r="T22" s="22">
        <f>+[6]Expenses!E16/1000</f>
        <v>4.6250780000000002</v>
      </c>
      <c r="U22" s="23">
        <f>+'[6]Mgmt Summary'!E16/1000</f>
        <v>0.24683999999999923</v>
      </c>
      <c r="V22" s="24"/>
      <c r="W22" s="21">
        <f>+'[7]Mgmt Summary'!J16/1000</f>
        <v>-0.15209600000000001</v>
      </c>
      <c r="X22" s="21">
        <f>+'[7]Mgmt Summary'!M16/1000</f>
        <v>7.3221759999999998</v>
      </c>
      <c r="Y22" s="21">
        <f>+'[7]Mgmt Summary'!O16/1000</f>
        <v>-8.9153059999999993</v>
      </c>
      <c r="Z22" s="22">
        <f>+'[5]Mgmt Summary'!C16/1000</f>
        <v>13.3055</v>
      </c>
      <c r="AA22" s="22">
        <f>+[5]Expenses!E16/1000</f>
        <v>7.3221759999999998</v>
      </c>
      <c r="AB22" s="23">
        <f>+'[5]Mgmt Summary'!E16/1000</f>
        <v>4.5422900000000013</v>
      </c>
      <c r="AC22" s="24"/>
      <c r="AD22" s="21">
        <f t="shared" si="62"/>
        <v>2.8037999999999998</v>
      </c>
      <c r="AE22" s="21">
        <f t="shared" si="63"/>
        <v>17.203637000000001</v>
      </c>
      <c r="AF22" s="21">
        <f t="shared" si="64"/>
        <v>-18.684111000000001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7+33+4</f>
        <v>44</v>
      </c>
      <c r="BC22" s="100">
        <v>26</v>
      </c>
      <c r="BD22" s="65">
        <f>2+7+2+37</f>
        <v>48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+'[6]Mgmt Summary'!J17/1000</f>
        <v>1.5743530000000001</v>
      </c>
      <c r="Q23" s="21">
        <f>+'[6]Mgmt Summary'!M17/1000</f>
        <v>6.1434679999999995</v>
      </c>
      <c r="R23" s="21">
        <f>+'[6]Mgmt Summary'!O17/1000</f>
        <v>-5.7566199999999998</v>
      </c>
      <c r="S23" s="22">
        <f>+'[6]Mgmt Summary'!C17/1000</f>
        <v>8</v>
      </c>
      <c r="T23" s="22">
        <f>+[6]Expenses!E17/1000</f>
        <v>1.43025</v>
      </c>
      <c r="U23" s="23">
        <f>+'[6]Mgmt Summary'!E17/1000</f>
        <v>5.3767870000000002</v>
      </c>
      <c r="V23" s="24"/>
      <c r="W23" s="21">
        <f>+'[7]Mgmt Summary'!J17/1000</f>
        <v>2.3210000000000002</v>
      </c>
      <c r="X23" s="21">
        <f>+'[7]Mgmt Summary'!M17/1000</f>
        <v>6.2702499999999999</v>
      </c>
      <c r="Y23" s="21">
        <f>+'[7]Mgmt Summary'!O17/1000</f>
        <v>-5.1384280000000002</v>
      </c>
      <c r="Z23" s="22">
        <f>+'[5]Mgmt Summary'!C17/1000</f>
        <v>44</v>
      </c>
      <c r="AA23" s="22">
        <f>+[5]Expenses!E17/1000</f>
        <v>1.43025</v>
      </c>
      <c r="AB23" s="23">
        <f>+'[5]Mgmt Summary'!E17/1000</f>
        <v>41.380572000000001</v>
      </c>
      <c r="AC23" s="24"/>
      <c r="AD23" s="21">
        <f t="shared" si="62"/>
        <v>6.3405590000000007</v>
      </c>
      <c r="AE23" s="21">
        <f t="shared" si="63"/>
        <v>20.754318999999999</v>
      </c>
      <c r="AF23" s="21">
        <f t="shared" si="64"/>
        <v>-18.945885000000001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D23" s="65">
        <v>30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+'[6]Mgmt Summary'!J18/1000</f>
        <v>0</v>
      </c>
      <c r="Q24" s="21">
        <f>+'[6]Mgmt Summary'!M18/1000</f>
        <v>0</v>
      </c>
      <c r="R24" s="21">
        <f>+'[6]Mgmt Summary'!O18/1000</f>
        <v>0</v>
      </c>
      <c r="S24" s="22">
        <f>+'[6]Mgmt Summary'!C18/1000</f>
        <v>0</v>
      </c>
      <c r="T24" s="22">
        <f>+[6]Expenses!E18/1000</f>
        <v>0</v>
      </c>
      <c r="U24" s="23">
        <f>+'[6]Mgmt Summary'!E18/1000</f>
        <v>0</v>
      </c>
      <c r="V24" s="24"/>
      <c r="W24" s="21"/>
      <c r="X24" s="21"/>
      <c r="Y24" s="21"/>
      <c r="Z24" s="22">
        <f>+'[5]Mgmt Summary'!C18/1000</f>
        <v>0</v>
      </c>
      <c r="AA24" s="22">
        <f>+[5]Expenses!E18/1000</f>
        <v>0</v>
      </c>
      <c r="AB24" s="23">
        <f>+'[5]Mgmt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D24" s="65">
        <v>62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+'[6]Mgmt Summary'!J19/1000</f>
        <v>8.4899999999999993E-4</v>
      </c>
      <c r="Q25" s="21">
        <f>+'[6]Mgmt Summary'!M19/1000</f>
        <v>0.93087699999999995</v>
      </c>
      <c r="R25" s="21">
        <f>+'[6]Mgmt Summary'!O19/1000</f>
        <v>-2.53091</v>
      </c>
      <c r="S25" s="22">
        <f>+'[6]Mgmt Summary'!C19/1000</f>
        <v>3.75</v>
      </c>
      <c r="T25" s="22">
        <f>+[6]Expenses!E19/1000</f>
        <v>1.542486</v>
      </c>
      <c r="U25" s="23">
        <f>+'[6]Mgmt Summary'!E19/1000</f>
        <v>0.38362199999999985</v>
      </c>
      <c r="V25" s="24"/>
      <c r="W25" s="21">
        <f>+'[7]Mgmt Summary'!J19/1000</f>
        <v>1.4759999999999999E-3</v>
      </c>
      <c r="X25" s="21">
        <f>+'[7]Mgmt Summary'!M19/1000</f>
        <v>1.542486</v>
      </c>
      <c r="Y25" s="21">
        <f>+'[7]Mgmt Summary'!O19/1000</f>
        <v>-3.3649019999999998</v>
      </c>
      <c r="Z25" s="22">
        <f>+'[5]Mgmt Summary'!C19/1000</f>
        <v>3.75</v>
      </c>
      <c r="AA25" s="22">
        <f>+[5]Expenses!E19/1000</f>
        <v>1.542486</v>
      </c>
      <c r="AB25" s="23">
        <f>+'[5]Mgmt Summary'!E19/1000</f>
        <v>0.38362199999999985</v>
      </c>
      <c r="AC25" s="24"/>
      <c r="AD25" s="21">
        <f t="shared" ref="AD25:AI25" si="68">+B25+I25+P25+W25</f>
        <v>2.3249999999999998E-3</v>
      </c>
      <c r="AE25" s="21">
        <f t="shared" si="68"/>
        <v>2.473363</v>
      </c>
      <c r="AF25" s="21">
        <f t="shared" si="68"/>
        <v>-5.8958119999999994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D25" s="65">
        <v>18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SUM('[6]Mgmt Summary'!$J$20:$J$23)/1000+SUM('[6]Mgmt Summary'!$J$27:$J$27)/1000+45</f>
        <v>-3.7758059999999958</v>
      </c>
      <c r="Q26" s="21">
        <f>SUM('[6]Mgmt Summary'!M20:M23)/1000+'[6]Mgmt Summary'!$M$27/1000</f>
        <v>1.1761949999999999</v>
      </c>
      <c r="R26" s="21">
        <f>SUM('[6]Mgmt Summary'!O20:O23)/1000+'[6]Mgmt Summary'!$O$27/1000+'[6]Mgmt Summary'!$O$28/1000+'[6]Mgmt Summary'!$O$29/1000+'[6]Mgmt Summary'!$O$30/1000</f>
        <v>-59.272211999999989</v>
      </c>
      <c r="S26" s="22">
        <f>+SUM(('[6]Mgmt Summary'!C20:C23))/1000</f>
        <v>7.2037009999999997</v>
      </c>
      <c r="T26" s="22">
        <f>+SUM(([6]Expenses!E20:E22))/1000+[6]Expenses!$E$27/1000</f>
        <v>31.272687999999999</v>
      </c>
      <c r="U26" s="76">
        <f>+SUM(('[6]Mgmt Summary'!E20:E23))/1000+'[6]Mgmt Summary'!$E$27/1000+'[6]Mgmt Summary'!$E$28/1000+'[6]Mgmt Summary'!$E$29/1000+'[6]Mgmt Summary'!$E$30/1000</f>
        <v>-1.1209170000000022</v>
      </c>
      <c r="V26" s="24"/>
      <c r="W26" s="21">
        <f>SUM('[7]Mgmt Summary'!$J$20:$J$24)/1000+('[7]Mgmt Summary'!$J$27)/1000</f>
        <v>-28.853000000000002</v>
      </c>
      <c r="X26" s="21">
        <f>SUM('[7]Mgmt Summary'!$M$20:$M$24)/1000+'[7]Mgmt Summary'!$M$28/1000</f>
        <v>1.371521</v>
      </c>
      <c r="Y26" s="21">
        <f>SUM('[7]Mgmt Summary'!$O$20:$O$24)/1000+'[7]Mgmt Summary'!$O$28/1000+'[7]Mgmt Summary'!$O$29/1000+'[7]Mgmt Summary'!$O$27/1000+'[7]Mgmt Summary'!$O$30/1000</f>
        <v>-50.218253999999988</v>
      </c>
      <c r="Z26" s="22">
        <f>('[5]Mgmt Summary'!C20+'[5]Mgmt Summary'!C21+'[5]Mgmt Summary'!C22+'[5]Mgmt Summary'!C23)/1000</f>
        <v>3.3333919999999999</v>
      </c>
      <c r="AA26" s="22">
        <f>+([5]Expenses!$E$20+[5]Expenses!$E$21+[5]Expenses!$E$22+[5]Expenses!$E$26)/1000</f>
        <v>44.013506</v>
      </c>
      <c r="AB26" s="76">
        <f>+('[5]Mgmt Summary'!$E$20+'[5]Mgmt Summary'!$E$21+'[5]Mgmt Summary'!$E$22+'[5]Mgmt Summary'!$E$23+'[5]Mgmt Summary'!$E$27+'[5]Mgmt Summary'!$E$28)/1000</f>
        <v>-18.031861999999997</v>
      </c>
      <c r="AC26" s="24"/>
      <c r="AD26" s="21">
        <f t="shared" ref="AD26:AI26" si="69">+B26+I26+P26+W26</f>
        <v>-30.281074999999998</v>
      </c>
      <c r="AE26" s="21">
        <f t="shared" si="69"/>
        <v>69.06681900000001</v>
      </c>
      <c r="AF26" s="21">
        <f t="shared" si="69"/>
        <v>-138.94399949999996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D26" s="65">
        <v>38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31.038480000000007</v>
      </c>
      <c r="Q27" s="37">
        <f t="shared" si="72"/>
        <v>32.75573399999999</v>
      </c>
      <c r="R27" s="37">
        <f t="shared" si="72"/>
        <v>-31.105953999999983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-76.862033999999994</v>
      </c>
      <c r="X27" s="37">
        <f t="shared" si="73"/>
        <v>35.094576999999994</v>
      </c>
      <c r="Y27" s="37">
        <f t="shared" si="73"/>
        <v>-154.59859599999999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149.05371713000002</v>
      </c>
      <c r="AE27" s="37">
        <f t="shared" si="74"/>
        <v>181.90097600000001</v>
      </c>
      <c r="AF27" s="37">
        <f t="shared" si="74"/>
        <v>-105.25892286999998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>
        <f>2+20+7+5</f>
        <v>34</v>
      </c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D30" s="2">
        <f>11+27+6+121</f>
        <v>165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561</v>
      </c>
      <c r="BC31" s="106">
        <f>SUM(BC19:BC30)</f>
        <v>578</v>
      </c>
      <c r="BD31" s="106">
        <f>SUM(BD19:BD30)</f>
        <v>634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78.632197000000005</v>
      </c>
      <c r="E35" s="52">
        <f t="shared" ref="E35:E43" si="80">+D35+W3</f>
        <v>27.134721000000006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79.333107850000005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17.039000000000001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6.0778972799999993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39.495207000000001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2.8037999999999998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7.448734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2.3249999999999998E-3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-1.4280749999999958</v>
      </c>
      <c r="E43" s="55">
        <f t="shared" si="80"/>
        <v>-30.281074999999998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225.91575112999999</v>
      </c>
      <c r="E44" s="43">
        <f>SUM(E35:E43)</f>
        <v>149.05371713000002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31.038480000000007</v>
      </c>
      <c r="E47" s="28">
        <f>+W12</f>
        <v>-76.862033999999994</v>
      </c>
      <c r="F47" s="34">
        <f>SUM(B47:E47)</f>
        <v>149.05371713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9.534498499999998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42.761536849999992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4.5409030000000019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-3.3528377199999997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24.251759999999997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-18.684111000000001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-19.470860999999999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-5.8958119999999994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-88.725745499999988</v>
      </c>
      <c r="E61" s="58">
        <f>+D11+K11+R11+Y11</f>
        <v>-138.94399949999996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49.339673129999994</v>
      </c>
      <c r="E62" s="43">
        <f>SUM(E53:E61)</f>
        <v>-105.25892286999996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-31.105953999999983</v>
      </c>
      <c r="E66" s="28">
        <f>+Y12</f>
        <v>-154.59859599999999</v>
      </c>
      <c r="F66" s="34">
        <f>SUM(B66:E66)</f>
        <v>-105.25892286999998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/>
      <c r="C77" s="54"/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/>
      <c r="C113" s="54"/>
      <c r="D113" s="54"/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3" workbookViewId="0">
      <selection activeCell="D24" sqref="D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2" workbookViewId="0">
      <selection activeCell="L23" sqref="L2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2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4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N3" activePane="bottomRight" state="frozen"/>
      <selection pane="topRight" activeCell="B1" sqref="B1"/>
      <selection pane="bottomLeft" activeCell="A3" sqref="A3"/>
      <selection pane="bottomRight" activeCell="AV12" sqref="AV12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69486</v>
      </c>
      <c r="R3" s="134">
        <f t="shared" ref="R3:T6" si="3">+AV11+BA11+BF11</f>
        <v>352307</v>
      </c>
      <c r="S3" s="134">
        <f t="shared" si="3"/>
        <v>9779</v>
      </c>
      <c r="T3" s="136">
        <f t="shared" si="3"/>
        <v>4992</v>
      </c>
      <c r="U3" s="135"/>
      <c r="V3" s="134">
        <f>+B3+G3+L3+Q3</f>
        <v>503138.73600000003</v>
      </c>
      <c r="W3" s="134">
        <f t="shared" ref="W3:Y6" si="4">+C3+H3+M3+R3</f>
        <v>3869282.1230000001</v>
      </c>
      <c r="X3" s="134">
        <f t="shared" si="4"/>
        <v>104396</v>
      </c>
      <c r="Y3" s="136">
        <f t="shared" si="4"/>
        <v>60344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6593</v>
      </c>
      <c r="R4" s="134">
        <f t="shared" si="3"/>
        <v>533</v>
      </c>
      <c r="S4" s="134">
        <f t="shared" si="3"/>
        <v>466</v>
      </c>
      <c r="T4" s="136">
        <f t="shared" si="3"/>
        <v>104</v>
      </c>
      <c r="U4" s="135"/>
      <c r="V4" s="134">
        <f>+B4+G4+L4+Q4</f>
        <v>70457.053999999989</v>
      </c>
      <c r="W4" s="134">
        <f t="shared" si="4"/>
        <v>10292.511999999999</v>
      </c>
      <c r="X4" s="134">
        <f t="shared" si="4"/>
        <v>3340</v>
      </c>
      <c r="Y4" s="136">
        <f t="shared" si="4"/>
        <v>684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259335</v>
      </c>
      <c r="S5" s="134">
        <f t="shared" si="3"/>
        <v>180</v>
      </c>
      <c r="T5" s="136">
        <f t="shared" si="3"/>
        <v>118</v>
      </c>
      <c r="U5" s="135"/>
      <c r="V5" s="134">
        <f>+B5+G5+L5+Q5</f>
        <v>0</v>
      </c>
      <c r="W5" s="134">
        <f t="shared" si="4"/>
        <v>1038290.9</v>
      </c>
      <c r="X5" s="134">
        <f t="shared" si="4"/>
        <v>1240</v>
      </c>
      <c r="Y5" s="136">
        <f t="shared" si="4"/>
        <v>624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2645.66</v>
      </c>
      <c r="M6" s="134">
        <f t="shared" si="2"/>
        <v>0</v>
      </c>
      <c r="N6" s="134">
        <f t="shared" si="2"/>
        <v>5356</v>
      </c>
      <c r="O6" s="136">
        <f t="shared" si="2"/>
        <v>0</v>
      </c>
      <c r="P6" s="135"/>
      <c r="Q6" s="134">
        <f>+AU14+AZ14+BE14</f>
        <v>2291</v>
      </c>
      <c r="R6" s="134">
        <f t="shared" si="3"/>
        <v>0</v>
      </c>
      <c r="S6" s="134">
        <f t="shared" si="3"/>
        <v>3335</v>
      </c>
      <c r="T6" s="136">
        <f t="shared" si="3"/>
        <v>0</v>
      </c>
      <c r="U6" s="135"/>
      <c r="V6" s="134">
        <f>+B6+G6+L6+Q6</f>
        <v>7872.3379999999997</v>
      </c>
      <c r="W6" s="134">
        <f t="shared" si="4"/>
        <v>0</v>
      </c>
      <c r="X6" s="134">
        <f t="shared" si="4"/>
        <v>16592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182379.554</v>
      </c>
      <c r="M7" s="142">
        <f>SUM(M3:M6)</f>
        <v>1547212.5</v>
      </c>
      <c r="N7" s="142">
        <f>SUM(N3:N6)</f>
        <v>41119</v>
      </c>
      <c r="O7" s="143">
        <f>SUM(O3:O6)</f>
        <v>20636</v>
      </c>
      <c r="P7" s="144"/>
      <c r="Q7" s="142">
        <f>SUM(Q3:Q6)</f>
        <v>78370</v>
      </c>
      <c r="R7" s="142">
        <f>SUM(R3:R6)</f>
        <v>612175</v>
      </c>
      <c r="S7" s="142">
        <f>SUM(S3:S6)</f>
        <v>13760</v>
      </c>
      <c r="T7" s="143">
        <f>SUM(T3:T6)</f>
        <v>5214</v>
      </c>
      <c r="U7" s="135"/>
      <c r="V7" s="142">
        <f>SUM(V3:V6)</f>
        <v>581468.12800000003</v>
      </c>
      <c r="W7" s="142">
        <f>SUM(W3:W6)</f>
        <v>4917865.5350000001</v>
      </c>
      <c r="X7" s="142">
        <f>SUM(X3:X6)</f>
        <v>125568</v>
      </c>
      <c r="Y7" s="143">
        <f>SUM(Y3:Y6)</f>
        <v>61652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>
        <v>69486</v>
      </c>
      <c r="AV11" s="134">
        <v>352307</v>
      </c>
      <c r="AW11" s="134">
        <v>9779</v>
      </c>
      <c r="AX11" s="136">
        <v>4992</v>
      </c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>
        <v>6593</v>
      </c>
      <c r="AV12" s="134">
        <v>533</v>
      </c>
      <c r="AW12" s="134">
        <v>466</v>
      </c>
      <c r="AX12" s="136">
        <v>104</v>
      </c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>
        <v>0</v>
      </c>
      <c r="AV13" s="134">
        <v>259335</v>
      </c>
      <c r="AW13" s="134">
        <v>180</v>
      </c>
      <c r="AX13" s="136">
        <v>118</v>
      </c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1447</v>
      </c>
      <c r="AQ14" s="134">
        <v>0</v>
      </c>
      <c r="AR14" s="134">
        <v>2101</v>
      </c>
      <c r="AS14" s="136">
        <v>0</v>
      </c>
      <c r="AT14" s="135"/>
      <c r="AU14" s="134">
        <v>2291</v>
      </c>
      <c r="AV14" s="134">
        <v>0</v>
      </c>
      <c r="AW14" s="134">
        <v>3335</v>
      </c>
      <c r="AX14" s="136">
        <v>0</v>
      </c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6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opLeftCell="C7" zoomScaleNormal="100" zoomScaleSheetLayoutView="85" workbookViewId="0">
      <selection activeCell="L23" sqref="L23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Summaries\2001\4Q 2001\Radar Screens\[RADAR Screens-4Q 1123.xls]Funds Flow-Cap Employed</v>
      </c>
    </row>
    <row r="2" spans="2:15" x14ac:dyDescent="0.2">
      <c r="B2" s="79" t="s">
        <v>62</v>
      </c>
      <c r="C2" s="79"/>
      <c r="J2" s="81">
        <f ca="1">NOW()</f>
        <v>37221.333016550925</v>
      </c>
    </row>
    <row r="3" spans="2:15" x14ac:dyDescent="0.2">
      <c r="B3" s="79" t="s">
        <v>63</v>
      </c>
      <c r="C3" s="79"/>
      <c r="J3" s="82">
        <f ca="1">NOW()</f>
        <v>37221.333016550925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23.2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61">
        <v>7</v>
      </c>
      <c r="J17" s="117">
        <v>8</v>
      </c>
      <c r="K17" s="117">
        <v>9</v>
      </c>
      <c r="L17" s="161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>
        <f>34.4-(51.1*0.65)</f>
        <v>1.1849999999999952</v>
      </c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f>L21+(23*0.65)</f>
        <v>16.134999999999998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21.513333333333332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f>1164.947-51.5</f>
        <v>1113.4469999999999</v>
      </c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556.72349999999994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556.72349999999994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111">
        <f>SUM($C$28,$D25:L25)/L17</f>
        <v>1061.5149738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530.7574869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111">
        <f>SUM($C$31,$D30:L30)/L17</f>
        <v>789.14549999999997</v>
      </c>
      <c r="M31" s="90">
        <f t="shared" si="2"/>
        <v>789.14549999999997</v>
      </c>
      <c r="N31" s="90">
        <f t="shared" si="2"/>
        <v>789.14549999999997</v>
      </c>
      <c r="O31" s="91">
        <f t="shared" si="2"/>
        <v>789.14549999999997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N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>
        <f>IF(L24=0,"-",L24/L28)</f>
        <v>2.0266631997022267E-2</v>
      </c>
      <c r="M33" s="119" t="str">
        <f t="shared" si="3"/>
        <v>-</v>
      </c>
      <c r="N33" s="119" t="str">
        <f t="shared" si="3"/>
        <v>-</v>
      </c>
      <c r="O33" s="120" t="str">
        <f>IF(O24=0,"-",O24/O31)</f>
        <v>-</v>
      </c>
    </row>
    <row r="34" spans="2:15" x14ac:dyDescent="0.2">
      <c r="B34" s="87" t="s">
        <v>84</v>
      </c>
      <c r="C34" s="126"/>
      <c r="D34" s="121">
        <f>$L$33</f>
        <v>2.0266631997022267E-2</v>
      </c>
      <c r="E34" s="121">
        <f t="shared" ref="E34:O34" si="4">$L$33</f>
        <v>2.0266631997022267E-2</v>
      </c>
      <c r="F34" s="121">
        <f t="shared" si="4"/>
        <v>2.0266631997022267E-2</v>
      </c>
      <c r="G34" s="121">
        <f t="shared" si="4"/>
        <v>2.0266631997022267E-2</v>
      </c>
      <c r="H34" s="121">
        <f t="shared" si="4"/>
        <v>2.0266631997022267E-2</v>
      </c>
      <c r="I34" s="121">
        <f t="shared" si="4"/>
        <v>2.0266631997022267E-2</v>
      </c>
      <c r="J34" s="121">
        <f t="shared" si="4"/>
        <v>2.0266631997022267E-2</v>
      </c>
      <c r="K34" s="121">
        <f t="shared" si="4"/>
        <v>2.0266631997022267E-2</v>
      </c>
      <c r="L34" s="121">
        <f t="shared" si="4"/>
        <v>2.0266631997022267E-2</v>
      </c>
      <c r="M34" s="121">
        <f t="shared" si="4"/>
        <v>2.0266631997022267E-2</v>
      </c>
      <c r="N34" s="121">
        <f t="shared" si="4"/>
        <v>2.0266631997022267E-2</v>
      </c>
      <c r="O34" s="162">
        <f t="shared" si="4"/>
        <v>2.0266631997022267E-2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ht="13.5" thickBo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">
      <c r="B39" s="83" t="s">
        <v>105</v>
      </c>
      <c r="C39" s="85"/>
      <c r="D39" s="177" t="s">
        <v>60</v>
      </c>
      <c r="E39" s="177" t="s">
        <v>6</v>
      </c>
      <c r="F39" s="177" t="s">
        <v>7</v>
      </c>
      <c r="G39" s="177" t="s">
        <v>8</v>
      </c>
      <c r="H39" s="177" t="s">
        <v>9</v>
      </c>
      <c r="I39" s="177" t="s">
        <v>10</v>
      </c>
      <c r="J39" s="177" t="s">
        <v>11</v>
      </c>
      <c r="K39" s="177" t="s">
        <v>12</v>
      </c>
      <c r="L39" s="177" t="s">
        <v>66</v>
      </c>
      <c r="M39" s="177" t="s">
        <v>14</v>
      </c>
      <c r="N39" s="177" t="s">
        <v>15</v>
      </c>
      <c r="O39" s="178" t="s">
        <v>16</v>
      </c>
    </row>
    <row r="40" spans="2:15" x14ac:dyDescent="0.2">
      <c r="B40" s="87" t="s">
        <v>67</v>
      </c>
      <c r="C40" s="88"/>
      <c r="D40" s="88">
        <f>304.6-300</f>
        <v>4.6000000000000227</v>
      </c>
      <c r="E40" s="88">
        <f>-111.7</f>
        <v>-111.7</v>
      </c>
      <c r="F40" s="88">
        <f>-351.2+300</f>
        <v>-51.199999999999989</v>
      </c>
      <c r="G40" s="88">
        <v>-48.2</v>
      </c>
      <c r="H40" s="88">
        <v>-113.3</v>
      </c>
      <c r="I40" s="88">
        <v>11.5</v>
      </c>
      <c r="J40" s="88">
        <v>104.3</v>
      </c>
      <c r="K40" s="88">
        <v>-49.5</v>
      </c>
      <c r="L40" s="88">
        <v>12.5</v>
      </c>
      <c r="M40" s="88"/>
      <c r="N40" s="88"/>
      <c r="O40" s="89"/>
    </row>
    <row r="41" spans="2:15" x14ac:dyDescent="0.2">
      <c r="B41" s="87" t="s">
        <v>68</v>
      </c>
      <c r="C41" s="88"/>
      <c r="D41" s="88">
        <f>+D40</f>
        <v>4.6000000000000227</v>
      </c>
      <c r="E41" s="88">
        <f>+D41+E40</f>
        <v>-107.09999999999998</v>
      </c>
      <c r="F41" s="88">
        <f t="shared" ref="F41:O41" si="7">+E41+F40</f>
        <v>-158.29999999999995</v>
      </c>
      <c r="G41" s="88">
        <f t="shared" si="7"/>
        <v>-206.49999999999994</v>
      </c>
      <c r="H41" s="88">
        <f t="shared" si="7"/>
        <v>-319.79999999999995</v>
      </c>
      <c r="I41" s="88">
        <f t="shared" si="7"/>
        <v>-308.29999999999995</v>
      </c>
      <c r="J41" s="88">
        <f t="shared" si="7"/>
        <v>-203.99999999999994</v>
      </c>
      <c r="K41" s="88">
        <f t="shared" si="7"/>
        <v>-253.49999999999994</v>
      </c>
      <c r="L41" s="88">
        <f t="shared" si="7"/>
        <v>-240.99999999999994</v>
      </c>
      <c r="M41" s="88">
        <f t="shared" si="7"/>
        <v>-240.99999999999994</v>
      </c>
      <c r="N41" s="88">
        <f t="shared" si="7"/>
        <v>-240.99999999999994</v>
      </c>
      <c r="O41" s="89">
        <f t="shared" si="7"/>
        <v>-240.99999999999994</v>
      </c>
    </row>
    <row r="42" spans="2:15" x14ac:dyDescent="0.2">
      <c r="B42" s="87" t="s">
        <v>69</v>
      </c>
      <c r="C42" s="88"/>
      <c r="D42" s="88">
        <v>0.5</v>
      </c>
      <c r="E42" s="88">
        <v>-12.7</v>
      </c>
      <c r="F42" s="88">
        <v>-20.100000000000001</v>
      </c>
      <c r="G42" s="88">
        <v>10.7</v>
      </c>
      <c r="H42" s="88">
        <v>-0.6</v>
      </c>
      <c r="I42" s="88">
        <v>10.8</v>
      </c>
      <c r="J42" s="88">
        <v>0.7</v>
      </c>
      <c r="K42" s="88">
        <v>0.7</v>
      </c>
      <c r="L42" s="88">
        <v>11.1</v>
      </c>
      <c r="M42" s="88">
        <v>15.9</v>
      </c>
      <c r="N42" s="88">
        <v>4</v>
      </c>
      <c r="O42" s="89">
        <v>37.6</v>
      </c>
    </row>
    <row r="43" spans="2:15" ht="13.5" thickBot="1" x14ac:dyDescent="0.25">
      <c r="B43" s="92" t="s">
        <v>70</v>
      </c>
      <c r="C43" s="93"/>
      <c r="D43" s="93">
        <f>+D42</f>
        <v>0.5</v>
      </c>
      <c r="E43" s="93">
        <f t="shared" ref="E43:O43" si="8">+D43+E42</f>
        <v>-12.2</v>
      </c>
      <c r="F43" s="93">
        <f t="shared" si="8"/>
        <v>-32.299999999999997</v>
      </c>
      <c r="G43" s="93">
        <f t="shared" si="8"/>
        <v>-21.599999999999998</v>
      </c>
      <c r="H43" s="93">
        <f t="shared" si="8"/>
        <v>-22.2</v>
      </c>
      <c r="I43" s="93">
        <f t="shared" si="8"/>
        <v>-11.399999999999999</v>
      </c>
      <c r="J43" s="93">
        <f t="shared" si="8"/>
        <v>-10.7</v>
      </c>
      <c r="K43" s="93">
        <f t="shared" si="8"/>
        <v>-10</v>
      </c>
      <c r="L43" s="93">
        <f t="shared" si="8"/>
        <v>1.0999999999999996</v>
      </c>
      <c r="M43" s="93">
        <f t="shared" si="8"/>
        <v>17</v>
      </c>
      <c r="N43" s="93">
        <f t="shared" si="8"/>
        <v>21</v>
      </c>
      <c r="O43" s="179">
        <f t="shared" si="8"/>
        <v>58.6</v>
      </c>
    </row>
  </sheetData>
  <phoneticPr fontId="20" type="noConversion"/>
  <pageMargins left="0.28000000000000003" right="0.28999999999999998" top="0.34" bottom="0.2" header="0.21" footer="0.16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4"/>
  <sheetViews>
    <sheetView topLeftCell="B1" zoomScaleNormal="100" zoomScaleSheetLayoutView="85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H33" sqref="H33"/>
    </sheetView>
  </sheetViews>
  <sheetFormatPr defaultRowHeight="12.75" x14ac:dyDescent="0.2"/>
  <cols>
    <col min="1" max="1" width="2.7109375" style="78" customWidth="1"/>
    <col min="2" max="2" width="40.7109375" style="78" customWidth="1"/>
    <col min="3" max="3" width="1.4257812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Summaries\2001\4Q 2001\Radar Screens\[RADAR Screens-4Q 1123.xls]Cash Flow by Team</v>
      </c>
    </row>
    <row r="2" spans="2:15" x14ac:dyDescent="0.2">
      <c r="B2" s="79" t="s">
        <v>62</v>
      </c>
      <c r="C2" s="79"/>
      <c r="J2" s="81">
        <f ca="1">NOW()</f>
        <v>37221.333016550925</v>
      </c>
    </row>
    <row r="3" spans="2:15" x14ac:dyDescent="0.2">
      <c r="B3" s="79" t="s">
        <v>63</v>
      </c>
      <c r="C3" s="79"/>
      <c r="J3" s="82">
        <f ca="1">NOW()</f>
        <v>37221.333016550925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163" t="s">
        <v>34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x14ac:dyDescent="0.2">
      <c r="B8" s="164" t="s">
        <v>65</v>
      </c>
      <c r="C8" s="88"/>
      <c r="D8" s="109" t="s">
        <v>60</v>
      </c>
      <c r="E8" s="109" t="s">
        <v>6</v>
      </c>
      <c r="F8" s="109" t="s">
        <v>7</v>
      </c>
      <c r="G8" s="109" t="s">
        <v>8</v>
      </c>
      <c r="H8" s="109" t="s">
        <v>9</v>
      </c>
      <c r="I8" s="109" t="s">
        <v>10</v>
      </c>
      <c r="J8" s="109" t="s">
        <v>11</v>
      </c>
      <c r="K8" s="109" t="s">
        <v>12</v>
      </c>
      <c r="L8" s="109" t="s">
        <v>66</v>
      </c>
      <c r="M8" s="109" t="s">
        <v>14</v>
      </c>
      <c r="N8" s="109" t="s">
        <v>15</v>
      </c>
      <c r="O8" s="110" t="s">
        <v>16</v>
      </c>
    </row>
    <row r="9" spans="2:15" x14ac:dyDescent="0.2">
      <c r="B9" s="87" t="s">
        <v>67</v>
      </c>
      <c r="C9" s="88"/>
      <c r="D9" s="90">
        <v>-52.095999999999997</v>
      </c>
      <c r="E9" s="90">
        <v>-22.103000000000002</v>
      </c>
      <c r="F9" s="90">
        <v>-77.444000000000003</v>
      </c>
      <c r="G9" s="90">
        <v>-0.44500000000000001</v>
      </c>
      <c r="H9" s="90">
        <v>35.423999999999999</v>
      </c>
      <c r="I9" s="90">
        <v>-66.617000000000004</v>
      </c>
      <c r="J9" s="90">
        <v>-21.798999999999999</v>
      </c>
      <c r="K9" s="90">
        <v>15.708</v>
      </c>
      <c r="L9" s="90">
        <v>-3.9060000000000001</v>
      </c>
      <c r="M9" s="90"/>
      <c r="N9" s="90"/>
      <c r="O9" s="91"/>
    </row>
    <row r="10" spans="2:15" x14ac:dyDescent="0.2">
      <c r="B10" s="87" t="s">
        <v>68</v>
      </c>
      <c r="C10" s="88"/>
      <c r="D10" s="165">
        <f>SUM($C9:D9)</f>
        <v>-52.095999999999997</v>
      </c>
      <c r="E10" s="165">
        <f>SUM($C9:E9)</f>
        <v>-74.198999999999998</v>
      </c>
      <c r="F10" s="165">
        <f>SUM($C9:F9)</f>
        <v>-151.643</v>
      </c>
      <c r="G10" s="165">
        <f>SUM($C9:G9)</f>
        <v>-152.08799999999999</v>
      </c>
      <c r="H10" s="165">
        <f>SUM($C9:H9)</f>
        <v>-116.66399999999999</v>
      </c>
      <c r="I10" s="165">
        <f>SUM($C9:I9)</f>
        <v>-183.28100000000001</v>
      </c>
      <c r="J10" s="165">
        <f>SUM($C9:J9)</f>
        <v>-205.08</v>
      </c>
      <c r="K10" s="165">
        <f>SUM($C9:K9)</f>
        <v>-189.37200000000001</v>
      </c>
      <c r="L10" s="165">
        <f>SUM($C9:L9)</f>
        <v>-193.27800000000002</v>
      </c>
      <c r="M10" s="165"/>
      <c r="N10" s="165"/>
      <c r="O10" s="166"/>
    </row>
    <row r="11" spans="2:15" x14ac:dyDescent="0.2">
      <c r="B11" s="87"/>
      <c r="C11" s="88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</row>
    <row r="12" spans="2:15" x14ac:dyDescent="0.2">
      <c r="B12" s="164" t="s">
        <v>105</v>
      </c>
      <c r="C12" s="88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</row>
    <row r="13" spans="2:15" x14ac:dyDescent="0.2">
      <c r="B13" s="87" t="s">
        <v>67</v>
      </c>
      <c r="C13" s="88"/>
      <c r="D13" s="90">
        <v>-95.409000000000006</v>
      </c>
      <c r="E13" s="90">
        <v>40.747999999999998</v>
      </c>
      <c r="F13" s="90">
        <v>-136.43799999999999</v>
      </c>
      <c r="G13" s="90">
        <v>23.298999999999999</v>
      </c>
      <c r="H13" s="90">
        <v>-37.631</v>
      </c>
      <c r="I13" s="90">
        <v>10.903</v>
      </c>
      <c r="J13" s="90">
        <v>-25.443000000000001</v>
      </c>
      <c r="K13" s="90">
        <v>-39.478000000000002</v>
      </c>
      <c r="L13" s="90">
        <v>19.797000000000001</v>
      </c>
      <c r="M13" s="90"/>
      <c r="N13" s="90"/>
      <c r="O13" s="91"/>
    </row>
    <row r="14" spans="2:15" ht="16.5" customHeight="1" x14ac:dyDescent="0.2">
      <c r="B14" s="87" t="s">
        <v>68</v>
      </c>
      <c r="C14" s="88"/>
      <c r="D14" s="165">
        <f>SUM($C13:D13)</f>
        <v>-95.409000000000006</v>
      </c>
      <c r="E14" s="165">
        <f>SUM($D13:E13)</f>
        <v>-54.661000000000008</v>
      </c>
      <c r="F14" s="165">
        <f>SUM($D13:F13)</f>
        <v>-191.09899999999999</v>
      </c>
      <c r="G14" s="165">
        <f>SUM($D13:G13)</f>
        <v>-167.79999999999998</v>
      </c>
      <c r="H14" s="165">
        <f>SUM($D13:H13)</f>
        <v>-205.43099999999998</v>
      </c>
      <c r="I14" s="165">
        <f>SUM($D13:I13)</f>
        <v>-194.52799999999999</v>
      </c>
      <c r="J14" s="165">
        <f>SUM($D13:J13)</f>
        <v>-219.971</v>
      </c>
      <c r="K14" s="165">
        <f>SUM($D13:K13)</f>
        <v>-259.44900000000001</v>
      </c>
      <c r="L14" s="165">
        <f>SUM($D13:L13)</f>
        <v>-239.65200000000002</v>
      </c>
      <c r="M14" s="165"/>
      <c r="N14" s="165"/>
      <c r="O14" s="166"/>
    </row>
    <row r="15" spans="2:15" s="167" customFormat="1" ht="13.5" thickBot="1" x14ac:dyDescent="0.25">
      <c r="B15" s="181"/>
      <c r="C15" s="182"/>
      <c r="D15" s="183"/>
      <c r="E15" s="183"/>
      <c r="F15" s="183"/>
      <c r="G15" s="183"/>
      <c r="H15" s="183"/>
      <c r="I15" s="184"/>
      <c r="J15" s="183"/>
      <c r="K15" s="183"/>
      <c r="L15" s="184"/>
      <c r="M15" s="183"/>
      <c r="N15" s="183"/>
      <c r="O15" s="185"/>
    </row>
    <row r="16" spans="2:15" s="167" customFormat="1" x14ac:dyDescent="0.2">
      <c r="B16" s="180" t="s">
        <v>108</v>
      </c>
      <c r="C16" s="169"/>
      <c r="D16" s="170"/>
      <c r="E16" s="170"/>
      <c r="F16" s="170"/>
      <c r="G16" s="170"/>
      <c r="H16" s="170"/>
      <c r="I16" s="133"/>
      <c r="J16" s="170"/>
      <c r="K16" s="170"/>
      <c r="L16" s="133"/>
      <c r="M16" s="170"/>
      <c r="N16" s="170"/>
      <c r="O16" s="171"/>
    </row>
    <row r="17" spans="2:15" s="167" customFormat="1" x14ac:dyDescent="0.2">
      <c r="B17" s="164" t="s">
        <v>65</v>
      </c>
      <c r="C17" s="169"/>
      <c r="D17" s="109" t="s">
        <v>60</v>
      </c>
      <c r="E17" s="109" t="s">
        <v>6</v>
      </c>
      <c r="F17" s="109" t="s">
        <v>7</v>
      </c>
      <c r="G17" s="109" t="s">
        <v>8</v>
      </c>
      <c r="H17" s="109" t="s">
        <v>9</v>
      </c>
      <c r="I17" s="109" t="s">
        <v>10</v>
      </c>
      <c r="J17" s="109" t="s">
        <v>11</v>
      </c>
      <c r="K17" s="109" t="s">
        <v>12</v>
      </c>
      <c r="L17" s="109" t="s">
        <v>66</v>
      </c>
      <c r="M17" s="109" t="s">
        <v>14</v>
      </c>
      <c r="N17" s="109" t="s">
        <v>15</v>
      </c>
      <c r="O17" s="110" t="s">
        <v>16</v>
      </c>
    </row>
    <row r="18" spans="2:15" s="167" customFormat="1" x14ac:dyDescent="0.2">
      <c r="B18" s="87" t="s">
        <v>67</v>
      </c>
      <c r="C18" s="169"/>
      <c r="D18" s="186">
        <f>+D27+D36+D45</f>
        <v>8.5660000000000007</v>
      </c>
      <c r="E18" s="186">
        <f t="shared" ref="E18:O18" si="0">+E27+E36+E45</f>
        <v>6.2629999999999999</v>
      </c>
      <c r="F18" s="186">
        <f t="shared" si="0"/>
        <v>38.098999999999997</v>
      </c>
      <c r="G18" s="186">
        <f t="shared" si="0"/>
        <v>-0.31099999999999994</v>
      </c>
      <c r="H18" s="186">
        <f t="shared" si="0"/>
        <v>-20.79</v>
      </c>
      <c r="I18" s="186">
        <f t="shared" si="0"/>
        <v>8.3219999999999992</v>
      </c>
      <c r="J18" s="186">
        <f t="shared" si="0"/>
        <v>-2.5449999999999999</v>
      </c>
      <c r="K18" s="186">
        <f t="shared" si="0"/>
        <v>12.832000000000001</v>
      </c>
      <c r="L18" s="186">
        <f t="shared" si="0"/>
        <v>-30.945</v>
      </c>
      <c r="M18" s="186">
        <f t="shared" si="0"/>
        <v>0</v>
      </c>
      <c r="N18" s="186">
        <f t="shared" si="0"/>
        <v>0</v>
      </c>
      <c r="O18" s="187">
        <f t="shared" si="0"/>
        <v>0</v>
      </c>
    </row>
    <row r="19" spans="2:15" s="167" customFormat="1" x14ac:dyDescent="0.2">
      <c r="B19" s="87" t="s">
        <v>68</v>
      </c>
      <c r="C19" s="169"/>
      <c r="D19" s="186">
        <f>+D28+D37+D46</f>
        <v>8.5660000000000007</v>
      </c>
      <c r="E19" s="186">
        <f t="shared" ref="E19:O19" si="1">+E28+E37+E46</f>
        <v>14.829000000000001</v>
      </c>
      <c r="F19" s="186">
        <f t="shared" si="1"/>
        <v>52.928000000000004</v>
      </c>
      <c r="G19" s="186">
        <f t="shared" si="1"/>
        <v>52.617000000000004</v>
      </c>
      <c r="H19" s="186">
        <f t="shared" si="1"/>
        <v>31.827000000000002</v>
      </c>
      <c r="I19" s="186">
        <f t="shared" si="1"/>
        <v>40.149000000000001</v>
      </c>
      <c r="J19" s="186">
        <f t="shared" si="1"/>
        <v>37.603999999999999</v>
      </c>
      <c r="K19" s="186">
        <f t="shared" si="1"/>
        <v>50.436</v>
      </c>
      <c r="L19" s="186">
        <f t="shared" si="1"/>
        <v>19.490999999999996</v>
      </c>
      <c r="M19" s="186">
        <f t="shared" si="1"/>
        <v>0</v>
      </c>
      <c r="N19" s="186">
        <f t="shared" si="1"/>
        <v>0</v>
      </c>
      <c r="O19" s="187">
        <f t="shared" si="1"/>
        <v>0</v>
      </c>
    </row>
    <row r="20" spans="2:15" s="167" customFormat="1" x14ac:dyDescent="0.2">
      <c r="B20" s="87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1"/>
    </row>
    <row r="21" spans="2:15" s="167" customFormat="1" x14ac:dyDescent="0.2">
      <c r="B21" s="164" t="s">
        <v>105</v>
      </c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1"/>
    </row>
    <row r="22" spans="2:15" s="167" customFormat="1" x14ac:dyDescent="0.2">
      <c r="B22" s="87" t="s">
        <v>67</v>
      </c>
      <c r="C22" s="169"/>
      <c r="D22" s="186">
        <f>+D31+D40+D49</f>
        <v>12.599</v>
      </c>
      <c r="E22" s="186">
        <f t="shared" ref="E22:O22" si="2">+E31+E40+E49</f>
        <v>-6.7300000000000013</v>
      </c>
      <c r="F22" s="186">
        <f t="shared" si="2"/>
        <v>-16.241</v>
      </c>
      <c r="G22" s="186">
        <f t="shared" si="2"/>
        <v>-31.310000000000002</v>
      </c>
      <c r="H22" s="186">
        <f t="shared" si="2"/>
        <v>-73.048000000000002</v>
      </c>
      <c r="I22" s="186">
        <f t="shared" si="2"/>
        <v>7.5369999999999999</v>
      </c>
      <c r="J22" s="186">
        <f t="shared" si="2"/>
        <v>2.3749999999999991</v>
      </c>
      <c r="K22" s="186">
        <f t="shared" si="2"/>
        <v>7.3559999999999999</v>
      </c>
      <c r="L22" s="186">
        <f t="shared" si="2"/>
        <v>-14.707000000000001</v>
      </c>
      <c r="M22" s="186">
        <f t="shared" si="2"/>
        <v>0</v>
      </c>
      <c r="N22" s="186">
        <f t="shared" si="2"/>
        <v>0</v>
      </c>
      <c r="O22" s="187">
        <f t="shared" si="2"/>
        <v>0</v>
      </c>
    </row>
    <row r="23" spans="2:15" s="167" customFormat="1" x14ac:dyDescent="0.2">
      <c r="B23" s="87" t="s">
        <v>68</v>
      </c>
      <c r="C23" s="169"/>
      <c r="D23" s="186">
        <f>+D32+D41+D50</f>
        <v>12.599</v>
      </c>
      <c r="E23" s="186">
        <f t="shared" ref="E23:O23" si="3">+E32+E41+E50</f>
        <v>5.8689999999999998</v>
      </c>
      <c r="F23" s="186">
        <f t="shared" si="3"/>
        <v>-10.372</v>
      </c>
      <c r="G23" s="186">
        <f t="shared" si="3"/>
        <v>-41.682000000000009</v>
      </c>
      <c r="H23" s="186">
        <f t="shared" si="3"/>
        <v>-114.73</v>
      </c>
      <c r="I23" s="186">
        <f t="shared" si="3"/>
        <v>-107.19300000000001</v>
      </c>
      <c r="J23" s="186">
        <f t="shared" si="3"/>
        <v>-104.81800000000001</v>
      </c>
      <c r="K23" s="186">
        <f t="shared" si="3"/>
        <v>-97.462000000000018</v>
      </c>
      <c r="L23" s="186">
        <f t="shared" si="3"/>
        <v>-112.169</v>
      </c>
      <c r="M23" s="186">
        <f t="shared" si="3"/>
        <v>0</v>
      </c>
      <c r="N23" s="186">
        <f t="shared" si="3"/>
        <v>0</v>
      </c>
      <c r="O23" s="187">
        <f t="shared" si="3"/>
        <v>0</v>
      </c>
    </row>
    <row r="24" spans="2:15" s="167" customFormat="1" ht="13.5" thickBot="1" x14ac:dyDescent="0.25">
      <c r="B24" s="168"/>
      <c r="C24" s="169"/>
      <c r="D24" s="170"/>
      <c r="E24" s="170"/>
      <c r="F24" s="170"/>
      <c r="G24" s="170"/>
      <c r="H24" s="170"/>
      <c r="I24" s="133"/>
      <c r="J24" s="170"/>
      <c r="K24" s="170"/>
      <c r="L24" s="133"/>
      <c r="M24" s="170"/>
      <c r="N24" s="170"/>
      <c r="O24" s="185"/>
    </row>
    <row r="25" spans="2:15" s="167" customFormat="1" x14ac:dyDescent="0.2">
      <c r="B25" s="172" t="s">
        <v>106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</row>
    <row r="26" spans="2:15" s="167" customFormat="1" x14ac:dyDescent="0.2">
      <c r="B26" s="164" t="s">
        <v>65</v>
      </c>
      <c r="C26" s="88"/>
      <c r="D26" s="109" t="s">
        <v>60</v>
      </c>
      <c r="E26" s="109" t="s">
        <v>6</v>
      </c>
      <c r="F26" s="109" t="s">
        <v>7</v>
      </c>
      <c r="G26" s="109" t="s">
        <v>8</v>
      </c>
      <c r="H26" s="109" t="s">
        <v>9</v>
      </c>
      <c r="I26" s="109" t="s">
        <v>10</v>
      </c>
      <c r="J26" s="109" t="s">
        <v>11</v>
      </c>
      <c r="K26" s="109" t="s">
        <v>12</v>
      </c>
      <c r="L26" s="109" t="s">
        <v>66</v>
      </c>
      <c r="M26" s="109" t="s">
        <v>14</v>
      </c>
      <c r="N26" s="109" t="s">
        <v>15</v>
      </c>
      <c r="O26" s="110" t="s">
        <v>16</v>
      </c>
    </row>
    <row r="27" spans="2:15" s="167" customFormat="1" x14ac:dyDescent="0.2">
      <c r="B27" s="87" t="s">
        <v>67</v>
      </c>
      <c r="C27" s="88"/>
      <c r="D27" s="90">
        <v>-4.2000000000000003E-2</v>
      </c>
      <c r="E27" s="90">
        <v>1.3759999999999999</v>
      </c>
      <c r="F27" s="90">
        <v>17.145</v>
      </c>
      <c r="G27" s="90">
        <v>-3.6869999999999998</v>
      </c>
      <c r="H27" s="90">
        <v>-0.85399999999999998</v>
      </c>
      <c r="I27" s="90">
        <v>-1.464</v>
      </c>
      <c r="J27" s="90">
        <v>-2.7829999999999999</v>
      </c>
      <c r="K27" s="90">
        <v>-8.8379999999999992</v>
      </c>
      <c r="L27" s="90">
        <v>-27.064</v>
      </c>
      <c r="M27" s="90"/>
      <c r="N27" s="90"/>
      <c r="O27" s="91"/>
    </row>
    <row r="28" spans="2:15" s="167" customFormat="1" x14ac:dyDescent="0.2">
      <c r="B28" s="87" t="s">
        <v>68</v>
      </c>
      <c r="C28" s="88"/>
      <c r="D28" s="165">
        <f>SUM($C27:D27)</f>
        <v>-4.2000000000000003E-2</v>
      </c>
      <c r="E28" s="165">
        <f>SUM($D27:E27)</f>
        <v>1.3339999999999999</v>
      </c>
      <c r="F28" s="165">
        <f>SUM($D27:F27)</f>
        <v>18.478999999999999</v>
      </c>
      <c r="G28" s="165">
        <f>SUM($D27:G27)</f>
        <v>14.792</v>
      </c>
      <c r="H28" s="165">
        <f>SUM($D27:H27)</f>
        <v>13.938000000000001</v>
      </c>
      <c r="I28" s="165">
        <f>SUM($D27:I27)</f>
        <v>12.474</v>
      </c>
      <c r="J28" s="165">
        <f>SUM($D27:J27)</f>
        <v>9.6910000000000007</v>
      </c>
      <c r="K28" s="165">
        <f>SUM($D27:K27)</f>
        <v>0.85300000000000153</v>
      </c>
      <c r="L28" s="165">
        <f>SUM($D27:L27)</f>
        <v>-26.210999999999999</v>
      </c>
      <c r="M28" s="165"/>
      <c r="N28" s="165"/>
      <c r="O28" s="166"/>
    </row>
    <row r="29" spans="2:15" s="167" customFormat="1" x14ac:dyDescent="0.2">
      <c r="B29" s="87"/>
      <c r="C29" s="8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</row>
    <row r="30" spans="2:15" s="167" customFormat="1" x14ac:dyDescent="0.2">
      <c r="B30" s="164" t="s">
        <v>105</v>
      </c>
      <c r="C30" s="88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6"/>
    </row>
    <row r="31" spans="2:15" s="167" customFormat="1" x14ac:dyDescent="0.2">
      <c r="B31" s="87" t="s">
        <v>67</v>
      </c>
      <c r="C31" s="88"/>
      <c r="D31" s="90">
        <v>0.27100000000000002</v>
      </c>
      <c r="E31" s="90">
        <v>10.625999999999999</v>
      </c>
      <c r="F31" s="90">
        <v>11.707000000000001</v>
      </c>
      <c r="G31" s="90">
        <v>-3.2160000000000002</v>
      </c>
      <c r="H31" s="90">
        <v>-52.593000000000004</v>
      </c>
      <c r="I31" s="90">
        <v>-1.4590000000000001</v>
      </c>
      <c r="J31" s="90">
        <v>-6.1820000000000004</v>
      </c>
      <c r="K31" s="90">
        <v>0.91700000000000004</v>
      </c>
      <c r="L31" s="90">
        <v>-26.452999999999999</v>
      </c>
      <c r="M31" s="90"/>
      <c r="N31" s="90"/>
      <c r="O31" s="91"/>
    </row>
    <row r="32" spans="2:15" s="167" customFormat="1" x14ac:dyDescent="0.2">
      <c r="B32" s="87" t="s">
        <v>68</v>
      </c>
      <c r="C32" s="88"/>
      <c r="D32" s="165">
        <f>SUM($C31:D31)</f>
        <v>0.27100000000000002</v>
      </c>
      <c r="E32" s="165">
        <f>SUM($D31:E31)</f>
        <v>10.897</v>
      </c>
      <c r="F32" s="165">
        <f>SUM($D31:F31)</f>
        <v>22.603999999999999</v>
      </c>
      <c r="G32" s="165">
        <f>SUM($D31:G31)</f>
        <v>19.387999999999998</v>
      </c>
      <c r="H32" s="165">
        <f>SUM($D31:H31)</f>
        <v>-33.205000000000005</v>
      </c>
      <c r="I32" s="165">
        <f>SUM($D31:I31)</f>
        <v>-34.664000000000009</v>
      </c>
      <c r="J32" s="165">
        <f>SUM($D31:J31)</f>
        <v>-40.846000000000011</v>
      </c>
      <c r="K32" s="165">
        <f>SUM($D31:K31)</f>
        <v>-39.929000000000009</v>
      </c>
      <c r="L32" s="165">
        <f>SUM($D31:L31)</f>
        <v>-66.382000000000005</v>
      </c>
      <c r="M32" s="165"/>
      <c r="N32" s="165"/>
      <c r="O32" s="166"/>
    </row>
    <row r="33" spans="2:15" s="167" customFormat="1" ht="13.5" thickBot="1" x14ac:dyDescent="0.25">
      <c r="B33" s="168"/>
      <c r="C33" s="108"/>
      <c r="D33" s="173"/>
      <c r="E33" s="173"/>
      <c r="F33" s="173"/>
      <c r="G33" s="173"/>
      <c r="H33" s="173"/>
      <c r="I33" s="173"/>
      <c r="J33" s="96"/>
      <c r="K33" s="96"/>
      <c r="L33" s="96"/>
      <c r="M33" s="96"/>
      <c r="N33" s="96"/>
      <c r="O33" s="97"/>
    </row>
    <row r="34" spans="2:15" s="167" customFormat="1" x14ac:dyDescent="0.2">
      <c r="B34" s="163" t="s">
        <v>107</v>
      </c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/>
    </row>
    <row r="35" spans="2:15" s="167" customFormat="1" x14ac:dyDescent="0.2">
      <c r="B35" s="164" t="s">
        <v>65</v>
      </c>
      <c r="C35" s="88"/>
      <c r="D35" s="109" t="s">
        <v>60</v>
      </c>
      <c r="E35" s="109" t="s">
        <v>6</v>
      </c>
      <c r="F35" s="109" t="s">
        <v>7</v>
      </c>
      <c r="G35" s="109" t="s">
        <v>8</v>
      </c>
      <c r="H35" s="109" t="s">
        <v>9</v>
      </c>
      <c r="I35" s="109" t="s">
        <v>10</v>
      </c>
      <c r="J35" s="109" t="s">
        <v>11</v>
      </c>
      <c r="K35" s="109" t="s">
        <v>12</v>
      </c>
      <c r="L35" s="109" t="s">
        <v>66</v>
      </c>
      <c r="M35" s="109" t="s">
        <v>14</v>
      </c>
      <c r="N35" s="109" t="s">
        <v>15</v>
      </c>
      <c r="O35" s="110" t="s">
        <v>16</v>
      </c>
    </row>
    <row r="36" spans="2:15" s="167" customFormat="1" x14ac:dyDescent="0.2">
      <c r="B36" s="87" t="s">
        <v>67</v>
      </c>
      <c r="C36" s="88"/>
      <c r="D36" s="90">
        <v>-0.13500000000000001</v>
      </c>
      <c r="E36" s="90">
        <v>1.7569999999999999</v>
      </c>
      <c r="F36" s="90">
        <v>-1.278</v>
      </c>
      <c r="G36" s="90">
        <v>-2.2679999999999998</v>
      </c>
      <c r="H36" s="90">
        <v>-7.1360000000000001</v>
      </c>
      <c r="I36" s="90">
        <v>-0.89400000000000002</v>
      </c>
      <c r="J36" s="90">
        <v>-3.5409999999999999</v>
      </c>
      <c r="K36" s="90">
        <v>0.90900000000000003</v>
      </c>
      <c r="L36" s="90">
        <v>7.7460000000000004</v>
      </c>
      <c r="M36" s="90"/>
      <c r="N36" s="90"/>
      <c r="O36" s="91"/>
    </row>
    <row r="37" spans="2:15" s="167" customFormat="1" x14ac:dyDescent="0.2">
      <c r="B37" s="87" t="s">
        <v>68</v>
      </c>
      <c r="C37" s="88"/>
      <c r="D37" s="165">
        <f>SUM($C36:D36)</f>
        <v>-0.13500000000000001</v>
      </c>
      <c r="E37" s="165">
        <f>SUM($D36:E36)</f>
        <v>1.6219999999999999</v>
      </c>
      <c r="F37" s="165">
        <f>SUM($D36:F36)</f>
        <v>0.34399999999999986</v>
      </c>
      <c r="G37" s="165">
        <f>SUM($D36:G36)</f>
        <v>-1.9239999999999999</v>
      </c>
      <c r="H37" s="165">
        <f>SUM($D36:H36)</f>
        <v>-9.06</v>
      </c>
      <c r="I37" s="165">
        <f>SUM($D36:I36)</f>
        <v>-9.9540000000000006</v>
      </c>
      <c r="J37" s="165">
        <f>SUM($D36:J36)</f>
        <v>-13.495000000000001</v>
      </c>
      <c r="K37" s="165">
        <f>SUM($D36:K36)</f>
        <v>-12.586</v>
      </c>
      <c r="L37" s="165">
        <f>SUM($D36:L36)</f>
        <v>-4.84</v>
      </c>
      <c r="M37" s="165"/>
      <c r="N37" s="165"/>
      <c r="O37" s="166"/>
    </row>
    <row r="38" spans="2:15" s="167" customFormat="1" x14ac:dyDescent="0.2">
      <c r="B38" s="87"/>
      <c r="C38" s="88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6"/>
    </row>
    <row r="39" spans="2:15" s="167" customFormat="1" x14ac:dyDescent="0.2">
      <c r="B39" s="164" t="s">
        <v>105</v>
      </c>
      <c r="C39" s="88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6"/>
    </row>
    <row r="40" spans="2:15" s="167" customFormat="1" x14ac:dyDescent="0.2">
      <c r="B40" s="87" t="s">
        <v>67</v>
      </c>
      <c r="C40" s="88"/>
      <c r="D40" s="90">
        <v>9.0069999999999997</v>
      </c>
      <c r="E40" s="90">
        <v>-16.797000000000001</v>
      </c>
      <c r="F40" s="90">
        <v>2.61</v>
      </c>
      <c r="G40" s="90">
        <v>-0.26700000000000002</v>
      </c>
      <c r="H40" s="90">
        <v>-12.682</v>
      </c>
      <c r="I40" s="90">
        <v>1.177</v>
      </c>
      <c r="J40" s="90">
        <v>3.5209999999999999</v>
      </c>
      <c r="K40" s="90">
        <v>2.4870000000000001</v>
      </c>
      <c r="L40" s="90">
        <v>10.468999999999999</v>
      </c>
      <c r="M40" s="90"/>
      <c r="N40" s="90"/>
      <c r="O40" s="91"/>
    </row>
    <row r="41" spans="2:15" s="167" customFormat="1" x14ac:dyDescent="0.2">
      <c r="B41" s="87" t="s">
        <v>68</v>
      </c>
      <c r="C41" s="88"/>
      <c r="D41" s="165">
        <f>SUM($C40:D40)</f>
        <v>9.0069999999999997</v>
      </c>
      <c r="E41" s="165">
        <f>SUM($D40:E40)</f>
        <v>-7.7900000000000009</v>
      </c>
      <c r="F41" s="165">
        <f>SUM($D40:F40)</f>
        <v>-5.1800000000000015</v>
      </c>
      <c r="G41" s="165">
        <f>SUM($D40:G40)</f>
        <v>-5.4470000000000018</v>
      </c>
      <c r="H41" s="165">
        <f>SUM($D40:H40)</f>
        <v>-18.129000000000001</v>
      </c>
      <c r="I41" s="165">
        <f>SUM($D40:I40)</f>
        <v>-16.952000000000002</v>
      </c>
      <c r="J41" s="165">
        <f>SUM($D40:J40)</f>
        <v>-13.431000000000001</v>
      </c>
      <c r="K41" s="165">
        <f>SUM($D40:K40)</f>
        <v>-10.944000000000001</v>
      </c>
      <c r="L41" s="165">
        <f>SUM($D40:L40)</f>
        <v>-0.47500000000000142</v>
      </c>
      <c r="M41" s="165"/>
      <c r="N41" s="165"/>
      <c r="O41" s="166"/>
    </row>
    <row r="42" spans="2:15" s="167" customFormat="1" ht="13.5" thickBot="1" x14ac:dyDescent="0.25">
      <c r="B42" s="168"/>
      <c r="C42" s="108"/>
      <c r="D42" s="173"/>
      <c r="E42" s="173"/>
      <c r="F42" s="173"/>
      <c r="G42" s="173"/>
      <c r="H42" s="173"/>
      <c r="I42" s="173"/>
      <c r="J42" s="96"/>
      <c r="K42" s="96"/>
      <c r="L42" s="96"/>
      <c r="M42" s="96"/>
      <c r="N42" s="96"/>
      <c r="O42" s="97"/>
    </row>
    <row r="43" spans="2:15" s="167" customFormat="1" x14ac:dyDescent="0.2">
      <c r="B43" s="172" t="s">
        <v>44</v>
      </c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</row>
    <row r="44" spans="2:15" s="167" customFormat="1" x14ac:dyDescent="0.2">
      <c r="B44" s="164" t="s">
        <v>65</v>
      </c>
      <c r="C44" s="88"/>
      <c r="D44" s="109" t="s">
        <v>60</v>
      </c>
      <c r="E44" s="109" t="s">
        <v>6</v>
      </c>
      <c r="F44" s="109" t="s">
        <v>7</v>
      </c>
      <c r="G44" s="109" t="s">
        <v>8</v>
      </c>
      <c r="H44" s="109" t="s">
        <v>9</v>
      </c>
      <c r="I44" s="109" t="s">
        <v>10</v>
      </c>
      <c r="J44" s="109" t="s">
        <v>11</v>
      </c>
      <c r="K44" s="109" t="s">
        <v>12</v>
      </c>
      <c r="L44" s="109" t="s">
        <v>66</v>
      </c>
      <c r="M44" s="109" t="s">
        <v>14</v>
      </c>
      <c r="N44" s="109" t="s">
        <v>15</v>
      </c>
      <c r="O44" s="110" t="s">
        <v>16</v>
      </c>
    </row>
    <row r="45" spans="2:15" s="167" customFormat="1" x14ac:dyDescent="0.2">
      <c r="B45" s="87" t="s">
        <v>67</v>
      </c>
      <c r="C45" s="88"/>
      <c r="D45" s="90">
        <v>8.7430000000000003</v>
      </c>
      <c r="E45" s="90">
        <v>3.13</v>
      </c>
      <c r="F45" s="90">
        <v>22.231999999999999</v>
      </c>
      <c r="G45" s="90">
        <v>5.6440000000000001</v>
      </c>
      <c r="H45" s="90">
        <v>-12.8</v>
      </c>
      <c r="I45" s="90">
        <v>10.68</v>
      </c>
      <c r="J45" s="90">
        <v>3.7789999999999999</v>
      </c>
      <c r="K45" s="90">
        <v>20.760999999999999</v>
      </c>
      <c r="L45" s="90">
        <v>-11.627000000000001</v>
      </c>
      <c r="M45" s="90"/>
      <c r="N45" s="90"/>
      <c r="O45" s="91"/>
    </row>
    <row r="46" spans="2:15" s="167" customFormat="1" x14ac:dyDescent="0.2">
      <c r="B46" s="87" t="s">
        <v>68</v>
      </c>
      <c r="C46" s="88"/>
      <c r="D46" s="165">
        <f>SUM($C45:D45)</f>
        <v>8.7430000000000003</v>
      </c>
      <c r="E46" s="165">
        <f>SUM($D45:E45)</f>
        <v>11.873000000000001</v>
      </c>
      <c r="F46" s="165">
        <f>SUM($D45:F45)</f>
        <v>34.105000000000004</v>
      </c>
      <c r="G46" s="165">
        <f>SUM($D45:G45)</f>
        <v>39.749000000000002</v>
      </c>
      <c r="H46" s="165">
        <f>SUM($D45:H45)</f>
        <v>26.949000000000002</v>
      </c>
      <c r="I46" s="165">
        <f>SUM($D45:I45)</f>
        <v>37.629000000000005</v>
      </c>
      <c r="J46" s="165">
        <f>SUM($D45:J45)</f>
        <v>41.408000000000001</v>
      </c>
      <c r="K46" s="165">
        <f>SUM($D45:K45)</f>
        <v>62.168999999999997</v>
      </c>
      <c r="L46" s="165">
        <f>SUM($D45:L45)</f>
        <v>50.541999999999994</v>
      </c>
      <c r="M46" s="165"/>
      <c r="N46" s="165"/>
      <c r="O46" s="166"/>
    </row>
    <row r="47" spans="2:15" s="167" customFormat="1" x14ac:dyDescent="0.2">
      <c r="B47" s="87"/>
      <c r="C47" s="88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</row>
    <row r="48" spans="2:15" s="167" customFormat="1" x14ac:dyDescent="0.2">
      <c r="B48" s="164" t="s">
        <v>105</v>
      </c>
      <c r="C48" s="88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</row>
    <row r="49" spans="2:15" s="167" customFormat="1" x14ac:dyDescent="0.2">
      <c r="B49" s="87" t="s">
        <v>67</v>
      </c>
      <c r="C49" s="88"/>
      <c r="D49" s="90">
        <v>3.3210000000000002</v>
      </c>
      <c r="E49" s="90">
        <v>-0.55900000000000005</v>
      </c>
      <c r="F49" s="90">
        <v>-30.558</v>
      </c>
      <c r="G49" s="90">
        <v>-27.827000000000002</v>
      </c>
      <c r="H49" s="90">
        <v>-7.7729999999999997</v>
      </c>
      <c r="I49" s="90">
        <v>7.819</v>
      </c>
      <c r="J49" s="90">
        <v>5.0359999999999996</v>
      </c>
      <c r="K49" s="90">
        <v>3.952</v>
      </c>
      <c r="L49" s="90">
        <v>1.2769999999999999</v>
      </c>
      <c r="M49" s="90"/>
      <c r="N49" s="90"/>
      <c r="O49" s="91"/>
    </row>
    <row r="50" spans="2:15" s="167" customFormat="1" x14ac:dyDescent="0.2">
      <c r="B50" s="87" t="s">
        <v>68</v>
      </c>
      <c r="C50" s="88"/>
      <c r="D50" s="165">
        <f>SUM($C49:D49)</f>
        <v>3.3210000000000002</v>
      </c>
      <c r="E50" s="165">
        <f>SUM($D49:E49)</f>
        <v>2.762</v>
      </c>
      <c r="F50" s="165">
        <f>SUM($D49:F49)</f>
        <v>-27.795999999999999</v>
      </c>
      <c r="G50" s="165">
        <f>SUM($D49:G49)</f>
        <v>-55.623000000000005</v>
      </c>
      <c r="H50" s="165">
        <f>SUM($D49:H49)</f>
        <v>-63.396000000000001</v>
      </c>
      <c r="I50" s="165">
        <f>SUM($D49:I49)</f>
        <v>-55.576999999999998</v>
      </c>
      <c r="J50" s="165">
        <f>SUM($D49:J49)</f>
        <v>-50.540999999999997</v>
      </c>
      <c r="K50" s="165">
        <f>SUM($D49:K49)</f>
        <v>-46.588999999999999</v>
      </c>
      <c r="L50" s="165">
        <f>SUM($D49:L49)</f>
        <v>-45.311999999999998</v>
      </c>
      <c r="M50" s="165"/>
      <c r="N50" s="165"/>
      <c r="O50" s="166"/>
    </row>
    <row r="51" spans="2:15" s="167" customFormat="1" ht="13.5" thickBot="1" x14ac:dyDescent="0.25">
      <c r="B51" s="168"/>
      <c r="C51" s="108"/>
      <c r="D51" s="173"/>
      <c r="E51" s="173"/>
      <c r="F51" s="173"/>
      <c r="G51" s="173"/>
      <c r="H51" s="173"/>
      <c r="I51" s="173"/>
      <c r="J51" s="96"/>
      <c r="K51" s="96"/>
      <c r="L51" s="96"/>
      <c r="M51" s="96"/>
      <c r="N51" s="96"/>
      <c r="O51" s="97"/>
    </row>
    <row r="52" spans="2:15" s="167" customFormat="1" x14ac:dyDescent="0.2">
      <c r="B52" s="172" t="s">
        <v>0</v>
      </c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/>
    </row>
    <row r="53" spans="2:15" s="167" customFormat="1" x14ac:dyDescent="0.2">
      <c r="B53" s="164" t="s">
        <v>65</v>
      </c>
      <c r="C53" s="88"/>
      <c r="D53" s="109" t="s">
        <v>60</v>
      </c>
      <c r="E53" s="109" t="s">
        <v>6</v>
      </c>
      <c r="F53" s="109" t="s">
        <v>7</v>
      </c>
      <c r="G53" s="109" t="s">
        <v>8</v>
      </c>
      <c r="H53" s="109" t="s">
        <v>9</v>
      </c>
      <c r="I53" s="109" t="s">
        <v>10</v>
      </c>
      <c r="J53" s="109" t="s">
        <v>11</v>
      </c>
      <c r="K53" s="109" t="s">
        <v>12</v>
      </c>
      <c r="L53" s="109" t="s">
        <v>66</v>
      </c>
      <c r="M53" s="109" t="s">
        <v>14</v>
      </c>
      <c r="N53" s="109" t="s">
        <v>15</v>
      </c>
      <c r="O53" s="110" t="s">
        <v>16</v>
      </c>
    </row>
    <row r="54" spans="2:15" s="167" customFormat="1" x14ac:dyDescent="0.2">
      <c r="B54" s="87" t="s">
        <v>67</v>
      </c>
      <c r="C54" s="88"/>
      <c r="D54" s="90">
        <v>-18.495999999999999</v>
      </c>
      <c r="E54" s="90">
        <v>-30.257999999999999</v>
      </c>
      <c r="F54" s="90">
        <v>19.824999999999999</v>
      </c>
      <c r="G54" s="90">
        <v>-1.018</v>
      </c>
      <c r="H54" s="90">
        <v>0.28399999999999997</v>
      </c>
      <c r="I54" s="90">
        <v>-12.212</v>
      </c>
      <c r="J54" s="90">
        <v>-7.532</v>
      </c>
      <c r="K54" s="90">
        <v>-3.2250000000000001</v>
      </c>
      <c r="L54" s="90">
        <v>15.262</v>
      </c>
      <c r="M54" s="90"/>
      <c r="N54" s="90"/>
      <c r="O54" s="91"/>
    </row>
    <row r="55" spans="2:15" s="167" customFormat="1" x14ac:dyDescent="0.2">
      <c r="B55" s="87" t="s">
        <v>68</v>
      </c>
      <c r="C55" s="88"/>
      <c r="D55" s="165">
        <f>SUM($C54:D54)</f>
        <v>-18.495999999999999</v>
      </c>
      <c r="E55" s="165">
        <f>SUM($D54:E54)</f>
        <v>-48.753999999999998</v>
      </c>
      <c r="F55" s="165">
        <f>SUM($D54:F54)</f>
        <v>-28.928999999999998</v>
      </c>
      <c r="G55" s="165">
        <f>SUM($D54:G54)</f>
        <v>-29.946999999999999</v>
      </c>
      <c r="H55" s="165">
        <f>SUM($D54:H54)</f>
        <v>-29.663</v>
      </c>
      <c r="I55" s="165">
        <f>SUM($D54:I54)</f>
        <v>-41.875</v>
      </c>
      <c r="J55" s="165">
        <f>SUM($D54:J54)</f>
        <v>-49.406999999999996</v>
      </c>
      <c r="K55" s="165">
        <f>SUM($D54:K54)</f>
        <v>-52.631999999999998</v>
      </c>
      <c r="L55" s="165">
        <f>SUM($D54:L54)</f>
        <v>-37.369999999999997</v>
      </c>
      <c r="M55" s="165">
        <v>0</v>
      </c>
      <c r="N55" s="165">
        <v>0</v>
      </c>
      <c r="O55" s="166">
        <v>0</v>
      </c>
    </row>
    <row r="56" spans="2:15" s="167" customFormat="1" x14ac:dyDescent="0.2">
      <c r="B56" s="87"/>
      <c r="C56" s="88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6"/>
    </row>
    <row r="57" spans="2:15" s="167" customFormat="1" x14ac:dyDescent="0.2">
      <c r="B57" s="164" t="s">
        <v>105</v>
      </c>
      <c r="C57" s="88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6"/>
    </row>
    <row r="58" spans="2:15" s="167" customFormat="1" x14ac:dyDescent="0.2">
      <c r="B58" s="87" t="s">
        <v>67</v>
      </c>
      <c r="C58" s="88"/>
      <c r="D58" s="90">
        <v>-18.495999999999999</v>
      </c>
      <c r="E58" s="90">
        <v>-30.257999999999999</v>
      </c>
      <c r="F58" s="90">
        <v>19.824999999999999</v>
      </c>
      <c r="G58" s="90">
        <v>-1.018</v>
      </c>
      <c r="H58" s="90">
        <v>0.28399999999999997</v>
      </c>
      <c r="I58" s="90">
        <v>-12.212</v>
      </c>
      <c r="J58" s="90">
        <v>-7.532</v>
      </c>
      <c r="K58" s="90">
        <v>-3.2250000000000001</v>
      </c>
      <c r="L58" s="90">
        <v>15.262</v>
      </c>
      <c r="M58" s="90"/>
      <c r="N58" s="90"/>
      <c r="O58" s="91"/>
    </row>
    <row r="59" spans="2:15" s="167" customFormat="1" x14ac:dyDescent="0.2">
      <c r="B59" s="87" t="s">
        <v>68</v>
      </c>
      <c r="C59" s="88"/>
      <c r="D59" s="165">
        <f>SUM($C58:D58)</f>
        <v>-18.495999999999999</v>
      </c>
      <c r="E59" s="165">
        <f>SUM($D58:E58)</f>
        <v>-48.753999999999998</v>
      </c>
      <c r="F59" s="165">
        <f>SUM($D58:F58)</f>
        <v>-28.928999999999998</v>
      </c>
      <c r="G59" s="165">
        <f>SUM($D58:G58)</f>
        <v>-29.946999999999999</v>
      </c>
      <c r="H59" s="165">
        <f>SUM($D58:H58)</f>
        <v>-29.663</v>
      </c>
      <c r="I59" s="165">
        <f>SUM($D58:I58)</f>
        <v>-41.875</v>
      </c>
      <c r="J59" s="165">
        <f>SUM($D58:J58)</f>
        <v>-49.406999999999996</v>
      </c>
      <c r="K59" s="165">
        <f>SUM($D58:K58)</f>
        <v>-52.631999999999998</v>
      </c>
      <c r="L59" s="165">
        <f>SUM($D58:L58)</f>
        <v>-37.369999999999997</v>
      </c>
      <c r="M59" s="165"/>
      <c r="N59" s="165"/>
      <c r="O59" s="166"/>
    </row>
    <row r="60" spans="2:15" s="167" customFormat="1" ht="13.5" thickBot="1" x14ac:dyDescent="0.25">
      <c r="B60" s="168"/>
      <c r="C60" s="17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</row>
    <row r="61" spans="2:15" s="167" customFormat="1" x14ac:dyDescent="0.2">
      <c r="B61" s="163" t="s">
        <v>104</v>
      </c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2:15" s="167" customFormat="1" x14ac:dyDescent="0.2">
      <c r="B62" s="164" t="s">
        <v>65</v>
      </c>
      <c r="C62" s="88"/>
      <c r="D62" s="109" t="s">
        <v>60</v>
      </c>
      <c r="E62" s="109" t="s">
        <v>6</v>
      </c>
      <c r="F62" s="109" t="s">
        <v>7</v>
      </c>
      <c r="G62" s="109" t="s">
        <v>8</v>
      </c>
      <c r="H62" s="109" t="s">
        <v>9</v>
      </c>
      <c r="I62" s="109" t="s">
        <v>10</v>
      </c>
      <c r="J62" s="109" t="s">
        <v>11</v>
      </c>
      <c r="K62" s="109" t="s">
        <v>12</v>
      </c>
      <c r="L62" s="109" t="s">
        <v>66</v>
      </c>
      <c r="M62" s="109" t="s">
        <v>14</v>
      </c>
      <c r="N62" s="109" t="s">
        <v>15</v>
      </c>
      <c r="O62" s="110" t="s">
        <v>16</v>
      </c>
    </row>
    <row r="63" spans="2:15" s="167" customFormat="1" x14ac:dyDescent="0.2">
      <c r="B63" s="87" t="s">
        <v>67</v>
      </c>
      <c r="C63" s="88"/>
      <c r="D63" s="90">
        <v>0.311</v>
      </c>
      <c r="E63" s="90">
        <v>-0.70499999999999996</v>
      </c>
      <c r="F63" s="90">
        <v>0.122</v>
      </c>
      <c r="G63" s="90">
        <v>-0.72399999999999998</v>
      </c>
      <c r="H63" s="90">
        <v>-0.876</v>
      </c>
      <c r="I63" s="90">
        <v>3.5150000000000001</v>
      </c>
      <c r="J63" s="90">
        <v>-1.008</v>
      </c>
      <c r="K63" s="90">
        <v>0.33700000000000002</v>
      </c>
      <c r="L63" s="90">
        <v>-1.292</v>
      </c>
      <c r="M63" s="90">
        <v>0</v>
      </c>
      <c r="N63" s="90">
        <v>0</v>
      </c>
      <c r="O63" s="91">
        <v>0</v>
      </c>
    </row>
    <row r="64" spans="2:15" x14ac:dyDescent="0.2">
      <c r="B64" s="87" t="s">
        <v>68</v>
      </c>
      <c r="C64" s="88"/>
      <c r="D64" s="165">
        <f>SUM($C63:D63)</f>
        <v>0.311</v>
      </c>
      <c r="E64" s="165">
        <f>SUM($D63:E63)</f>
        <v>-0.39399999999999996</v>
      </c>
      <c r="F64" s="165">
        <f>SUM($D63:F63)</f>
        <v>-0.27199999999999996</v>
      </c>
      <c r="G64" s="165">
        <f>SUM($D63:G63)</f>
        <v>-0.996</v>
      </c>
      <c r="H64" s="165">
        <f>SUM($D63:H63)</f>
        <v>-1.8719999999999999</v>
      </c>
      <c r="I64" s="165">
        <f>SUM($D63:I63)</f>
        <v>1.6430000000000002</v>
      </c>
      <c r="J64" s="165">
        <f>SUM($D63:J63)</f>
        <v>0.63500000000000023</v>
      </c>
      <c r="K64" s="165">
        <f>SUM($D63:K63)</f>
        <v>0.9720000000000002</v>
      </c>
      <c r="L64" s="165">
        <f>SUM($D63:L63)</f>
        <v>-0.31999999999999984</v>
      </c>
      <c r="M64" s="165">
        <v>0</v>
      </c>
      <c r="N64" s="165">
        <v>0</v>
      </c>
      <c r="O64" s="166">
        <v>0</v>
      </c>
    </row>
    <row r="65" spans="2:15" x14ac:dyDescent="0.2">
      <c r="B65" s="87"/>
      <c r="C65" s="88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6"/>
    </row>
    <row r="66" spans="2:15" x14ac:dyDescent="0.2">
      <c r="B66" s="164" t="s">
        <v>105</v>
      </c>
      <c r="C66" s="88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6"/>
    </row>
    <row r="67" spans="2:15" x14ac:dyDescent="0.2">
      <c r="B67" s="87" t="s">
        <v>67</v>
      </c>
      <c r="C67" s="88"/>
      <c r="D67" s="90">
        <v>0.311</v>
      </c>
      <c r="E67" s="90">
        <v>-0.70499999999999996</v>
      </c>
      <c r="F67" s="90">
        <v>0.122</v>
      </c>
      <c r="G67" s="90">
        <v>-0.72399999999999998</v>
      </c>
      <c r="H67" s="90">
        <v>-0.876</v>
      </c>
      <c r="I67" s="90">
        <v>3.5150000000000001</v>
      </c>
      <c r="J67" s="90">
        <v>-1.008</v>
      </c>
      <c r="K67" s="90">
        <v>0.33700000000000002</v>
      </c>
      <c r="L67" s="90">
        <v>-1.292</v>
      </c>
      <c r="M67" s="90"/>
      <c r="N67" s="90"/>
      <c r="O67" s="91"/>
    </row>
    <row r="68" spans="2:15" x14ac:dyDescent="0.2">
      <c r="B68" s="87" t="s">
        <v>68</v>
      </c>
      <c r="C68" s="88"/>
      <c r="D68" s="165">
        <f>SUM($C67:D67)</f>
        <v>0.311</v>
      </c>
      <c r="E68" s="165">
        <f>SUM($D67:E67)</f>
        <v>-0.39399999999999996</v>
      </c>
      <c r="F68" s="165">
        <f>SUM($D67:F67)</f>
        <v>-0.27199999999999996</v>
      </c>
      <c r="G68" s="165">
        <f>SUM($D67:G67)</f>
        <v>-0.996</v>
      </c>
      <c r="H68" s="165">
        <f>SUM($D67:H67)</f>
        <v>-1.8719999999999999</v>
      </c>
      <c r="I68" s="165">
        <f>SUM($D67:I67)</f>
        <v>1.6430000000000002</v>
      </c>
      <c r="J68" s="165">
        <f>SUM($D67:J67)</f>
        <v>0.63500000000000023</v>
      </c>
      <c r="K68" s="165">
        <f>SUM($D67:K67)</f>
        <v>0.9720000000000002</v>
      </c>
      <c r="L68" s="165">
        <f>SUM($D67:L67)</f>
        <v>-0.31999999999999984</v>
      </c>
      <c r="M68" s="165"/>
      <c r="N68" s="165"/>
      <c r="O68" s="166"/>
    </row>
    <row r="69" spans="2:15" ht="13.5" thickBot="1" x14ac:dyDescent="0.25"/>
    <row r="70" spans="2:15" x14ac:dyDescent="0.2">
      <c r="B70" s="172" t="s">
        <v>2</v>
      </c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6"/>
    </row>
    <row r="71" spans="2:15" x14ac:dyDescent="0.2">
      <c r="B71" s="164" t="s">
        <v>65</v>
      </c>
      <c r="C71" s="88"/>
      <c r="D71" s="109" t="s">
        <v>60</v>
      </c>
      <c r="E71" s="109" t="s">
        <v>6</v>
      </c>
      <c r="F71" s="109" t="s">
        <v>7</v>
      </c>
      <c r="G71" s="109" t="s">
        <v>8</v>
      </c>
      <c r="H71" s="109" t="s">
        <v>9</v>
      </c>
      <c r="I71" s="109" t="s">
        <v>10</v>
      </c>
      <c r="J71" s="109" t="s">
        <v>11</v>
      </c>
      <c r="K71" s="109" t="s">
        <v>12</v>
      </c>
      <c r="L71" s="109" t="s">
        <v>66</v>
      </c>
      <c r="M71" s="109" t="s">
        <v>14</v>
      </c>
      <c r="N71" s="109" t="s">
        <v>15</v>
      </c>
      <c r="O71" s="110" t="s">
        <v>16</v>
      </c>
    </row>
    <row r="72" spans="2:15" x14ac:dyDescent="0.2">
      <c r="B72" s="87" t="s">
        <v>67</v>
      </c>
      <c r="C72" s="88"/>
      <c r="D72" s="90">
        <v>3.0609999999999999</v>
      </c>
      <c r="E72" s="90">
        <v>-11.233000000000001</v>
      </c>
      <c r="F72" s="90">
        <v>-25.213999999999999</v>
      </c>
      <c r="G72" s="90">
        <v>14.17</v>
      </c>
      <c r="H72" s="90">
        <v>-84.685000000000002</v>
      </c>
      <c r="I72" s="90">
        <v>22.888000000000002</v>
      </c>
      <c r="J72" s="90">
        <v>-51.070999999999998</v>
      </c>
      <c r="K72" s="90">
        <v>-11.631</v>
      </c>
      <c r="L72" s="90">
        <v>48.500999999999998</v>
      </c>
      <c r="M72" s="90">
        <v>0</v>
      </c>
      <c r="N72" s="90">
        <v>0</v>
      </c>
      <c r="O72" s="91">
        <v>0</v>
      </c>
    </row>
    <row r="73" spans="2:15" x14ac:dyDescent="0.2">
      <c r="B73" s="87" t="s">
        <v>68</v>
      </c>
      <c r="C73" s="88"/>
      <c r="D73" s="165">
        <f>SUM($C72:D72)</f>
        <v>3.0609999999999999</v>
      </c>
      <c r="E73" s="165">
        <f>SUM($D72:E72)</f>
        <v>-8.1720000000000006</v>
      </c>
      <c r="F73" s="165">
        <f>SUM($D72:F72)</f>
        <v>-33.385999999999996</v>
      </c>
      <c r="G73" s="165">
        <f>SUM($D72:G72)</f>
        <v>-19.215999999999994</v>
      </c>
      <c r="H73" s="165">
        <f>SUM($D72:H72)</f>
        <v>-103.901</v>
      </c>
      <c r="I73" s="165">
        <f>SUM($D72:I72)</f>
        <v>-81.012999999999991</v>
      </c>
      <c r="J73" s="165">
        <f>SUM($D72:J72)</f>
        <v>-132.084</v>
      </c>
      <c r="K73" s="165">
        <f>SUM($D72:K72)</f>
        <v>-143.715</v>
      </c>
      <c r="L73" s="165">
        <f>SUM($D72:L72)</f>
        <v>-95.213999999999999</v>
      </c>
      <c r="M73" s="165">
        <v>0</v>
      </c>
      <c r="N73" s="165">
        <v>0</v>
      </c>
      <c r="O73" s="166">
        <v>0</v>
      </c>
    </row>
    <row r="74" spans="2:15" x14ac:dyDescent="0.2">
      <c r="B74" s="87"/>
      <c r="C74" s="88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6"/>
    </row>
    <row r="75" spans="2:15" x14ac:dyDescent="0.2">
      <c r="B75" s="164" t="s">
        <v>105</v>
      </c>
      <c r="C75" s="8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6"/>
    </row>
    <row r="76" spans="2:15" x14ac:dyDescent="0.2">
      <c r="B76" s="87" t="s">
        <v>67</v>
      </c>
      <c r="C76" s="88"/>
      <c r="D76" s="90">
        <v>2.5299999999999998</v>
      </c>
      <c r="E76" s="90">
        <v>-20.100999999999999</v>
      </c>
      <c r="F76" s="90">
        <v>-2.1040000000000001</v>
      </c>
      <c r="G76" s="90">
        <v>12.176</v>
      </c>
      <c r="H76" s="90">
        <v>-82.956000000000003</v>
      </c>
      <c r="I76" s="90">
        <v>39.329000000000001</v>
      </c>
      <c r="J76" s="90">
        <v>-47.298999999999999</v>
      </c>
      <c r="K76" s="90">
        <v>-3.9849999999999999</v>
      </c>
      <c r="L76" s="90">
        <v>0.44900000000000001</v>
      </c>
      <c r="M76" s="90"/>
      <c r="N76" s="90"/>
      <c r="O76" s="91"/>
    </row>
    <row r="77" spans="2:15" x14ac:dyDescent="0.2">
      <c r="B77" s="87" t="s">
        <v>68</v>
      </c>
      <c r="C77" s="88"/>
      <c r="D77" s="165">
        <f>SUM($C76:D76)</f>
        <v>2.5299999999999998</v>
      </c>
      <c r="E77" s="165">
        <f>SUM($D76:E76)</f>
        <v>-17.570999999999998</v>
      </c>
      <c r="F77" s="165">
        <f>SUM($D76:F76)</f>
        <v>-19.674999999999997</v>
      </c>
      <c r="G77" s="165">
        <f>SUM($D76:G76)</f>
        <v>-7.498999999999997</v>
      </c>
      <c r="H77" s="165">
        <f>SUM($D76:H76)</f>
        <v>-90.454999999999998</v>
      </c>
      <c r="I77" s="165">
        <f>SUM($D76:I76)</f>
        <v>-51.125999999999998</v>
      </c>
      <c r="J77" s="165">
        <f>SUM($D76:J76)</f>
        <v>-98.424999999999997</v>
      </c>
      <c r="K77" s="165">
        <f>SUM($D76:K76)</f>
        <v>-102.41</v>
      </c>
      <c r="L77" s="165">
        <f>SUM($D76:L76)</f>
        <v>-101.961</v>
      </c>
      <c r="M77" s="165"/>
      <c r="N77" s="165"/>
      <c r="O77" s="166"/>
    </row>
    <row r="78" spans="2:15" ht="13.5" thickBot="1" x14ac:dyDescent="0.25"/>
    <row r="79" spans="2:15" x14ac:dyDescent="0.2">
      <c r="B79" s="172" t="s">
        <v>40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6"/>
    </row>
    <row r="80" spans="2:15" x14ac:dyDescent="0.2">
      <c r="B80" s="164" t="s">
        <v>65</v>
      </c>
      <c r="C80" s="88"/>
      <c r="D80" s="109" t="s">
        <v>60</v>
      </c>
      <c r="E80" s="109" t="s">
        <v>6</v>
      </c>
      <c r="F80" s="109" t="s">
        <v>7</v>
      </c>
      <c r="G80" s="109" t="s">
        <v>8</v>
      </c>
      <c r="H80" s="109" t="s">
        <v>9</v>
      </c>
      <c r="I80" s="109" t="s">
        <v>10</v>
      </c>
      <c r="J80" s="109" t="s">
        <v>11</v>
      </c>
      <c r="K80" s="109" t="s">
        <v>12</v>
      </c>
      <c r="L80" s="109" t="s">
        <v>66</v>
      </c>
      <c r="M80" s="109" t="s">
        <v>14</v>
      </c>
      <c r="N80" s="109" t="s">
        <v>15</v>
      </c>
      <c r="O80" s="110" t="s">
        <v>16</v>
      </c>
    </row>
    <row r="81" spans="2:15" x14ac:dyDescent="0.2">
      <c r="B81" s="87" t="s">
        <v>67</v>
      </c>
      <c r="C81" s="88"/>
      <c r="D81" s="90">
        <v>-0.10299999999999999</v>
      </c>
      <c r="E81" s="90">
        <v>-0.186</v>
      </c>
      <c r="F81" s="90">
        <v>-1.7709999999999999</v>
      </c>
      <c r="G81" s="90">
        <v>-1.53</v>
      </c>
      <c r="H81" s="90">
        <v>-1.7829999999999999</v>
      </c>
      <c r="I81" s="90">
        <v>-1.7929999999999999</v>
      </c>
      <c r="J81" s="90">
        <v>-1.7509999999999999</v>
      </c>
      <c r="K81" s="90">
        <v>-1.972</v>
      </c>
      <c r="L81" s="90">
        <v>-2.0529999999999999</v>
      </c>
      <c r="M81" s="90"/>
      <c r="N81" s="90">
        <v>0</v>
      </c>
      <c r="O81" s="91">
        <v>0</v>
      </c>
    </row>
    <row r="82" spans="2:15" x14ac:dyDescent="0.2">
      <c r="B82" s="87" t="s">
        <v>68</v>
      </c>
      <c r="C82" s="88"/>
      <c r="D82" s="165">
        <f>SUM($C81:D81)</f>
        <v>-0.10299999999999999</v>
      </c>
      <c r="E82" s="165">
        <f>SUM($D81:E81)</f>
        <v>-0.28899999999999998</v>
      </c>
      <c r="F82" s="165">
        <f>SUM($D81:F81)</f>
        <v>-2.06</v>
      </c>
      <c r="G82" s="165">
        <f>SUM($D81:G81)</f>
        <v>-3.59</v>
      </c>
      <c r="H82" s="165">
        <f>SUM($D81:H81)</f>
        <v>-5.3729999999999993</v>
      </c>
      <c r="I82" s="165">
        <f>SUM($D81:I81)</f>
        <v>-7.1659999999999995</v>
      </c>
      <c r="J82" s="165">
        <f>SUM($D81:J81)</f>
        <v>-8.9169999999999998</v>
      </c>
      <c r="K82" s="165">
        <f>SUM($D81:K81)</f>
        <v>-10.888999999999999</v>
      </c>
      <c r="L82" s="165">
        <f>SUM($D81:L81)</f>
        <v>-12.942</v>
      </c>
      <c r="M82" s="165">
        <v>0</v>
      </c>
      <c r="N82" s="165">
        <v>0</v>
      </c>
      <c r="O82" s="166">
        <v>0</v>
      </c>
    </row>
    <row r="83" spans="2:15" x14ac:dyDescent="0.2">
      <c r="B83" s="87"/>
      <c r="C83" s="88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6"/>
    </row>
    <row r="84" spans="2:15" x14ac:dyDescent="0.2">
      <c r="B84" s="164" t="s">
        <v>105</v>
      </c>
      <c r="C84" s="88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6"/>
    </row>
    <row r="85" spans="2:15" x14ac:dyDescent="0.2">
      <c r="B85" s="87" t="s">
        <v>67</v>
      </c>
      <c r="C85" s="88"/>
      <c r="D85" s="90">
        <v>-0.10299999999999999</v>
      </c>
      <c r="E85" s="90">
        <v>-0.186</v>
      </c>
      <c r="F85" s="90">
        <v>-14.026999999999999</v>
      </c>
      <c r="G85" s="90">
        <v>-1.9930000000000001</v>
      </c>
      <c r="H85" s="90">
        <v>-1.925</v>
      </c>
      <c r="I85" s="90">
        <v>-1.925</v>
      </c>
      <c r="J85" s="90">
        <v>-1.143</v>
      </c>
      <c r="K85" s="90">
        <v>-1.9219999999999999</v>
      </c>
      <c r="L85" s="90">
        <v>-1.968</v>
      </c>
      <c r="M85" s="90"/>
      <c r="N85" s="90"/>
      <c r="O85" s="91"/>
    </row>
    <row r="86" spans="2:15" x14ac:dyDescent="0.2">
      <c r="B86" s="87" t="s">
        <v>68</v>
      </c>
      <c r="C86" s="88"/>
      <c r="D86" s="165">
        <f>SUM($C85:D85)</f>
        <v>-0.10299999999999999</v>
      </c>
      <c r="E86" s="165">
        <f>SUM($D85:E85)</f>
        <v>-0.28899999999999998</v>
      </c>
      <c r="F86" s="165">
        <f>SUM($D85:F85)</f>
        <v>-14.315999999999999</v>
      </c>
      <c r="G86" s="165">
        <f>SUM($D85:G85)</f>
        <v>-16.308999999999997</v>
      </c>
      <c r="H86" s="165">
        <f>SUM($D85:H85)</f>
        <v>-18.233999999999998</v>
      </c>
      <c r="I86" s="165">
        <f>SUM($D85:I85)</f>
        <v>-20.158999999999999</v>
      </c>
      <c r="J86" s="165">
        <f>SUM($D85:J85)</f>
        <v>-21.302</v>
      </c>
      <c r="K86" s="165">
        <f>SUM($D85:K85)</f>
        <v>-23.224</v>
      </c>
      <c r="L86" s="165">
        <f>SUM($D85:L85)</f>
        <v>-25.192</v>
      </c>
      <c r="M86" s="165"/>
      <c r="N86" s="165"/>
      <c r="O86" s="166"/>
    </row>
    <row r="87" spans="2:15" ht="13.5" thickBot="1" x14ac:dyDescent="0.25"/>
    <row r="88" spans="2:15" x14ac:dyDescent="0.2">
      <c r="B88" s="172" t="s">
        <v>46</v>
      </c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6"/>
    </row>
    <row r="89" spans="2:15" x14ac:dyDescent="0.2">
      <c r="B89" s="164" t="s">
        <v>65</v>
      </c>
      <c r="C89" s="88"/>
      <c r="D89" s="109" t="s">
        <v>60</v>
      </c>
      <c r="E89" s="109" t="s">
        <v>6</v>
      </c>
      <c r="F89" s="109" t="s">
        <v>7</v>
      </c>
      <c r="G89" s="109" t="s">
        <v>8</v>
      </c>
      <c r="H89" s="109" t="s">
        <v>9</v>
      </c>
      <c r="I89" s="109" t="s">
        <v>10</v>
      </c>
      <c r="J89" s="109" t="s">
        <v>11</v>
      </c>
      <c r="K89" s="109" t="s">
        <v>12</v>
      </c>
      <c r="L89" s="109" t="s">
        <v>66</v>
      </c>
      <c r="M89" s="109" t="s">
        <v>14</v>
      </c>
      <c r="N89" s="109" t="s">
        <v>15</v>
      </c>
      <c r="O89" s="110" t="s">
        <v>16</v>
      </c>
    </row>
    <row r="90" spans="2:15" x14ac:dyDescent="0.2">
      <c r="B90" s="87" t="s">
        <v>67</v>
      </c>
      <c r="C90" s="88"/>
      <c r="D90" s="90">
        <v>0.36</v>
      </c>
      <c r="E90" s="90">
        <v>-0.43099999999999999</v>
      </c>
      <c r="F90" s="90">
        <v>-1.264</v>
      </c>
      <c r="G90" s="90">
        <v>-1.671</v>
      </c>
      <c r="H90" s="90">
        <v>-4.1120000000000001</v>
      </c>
      <c r="I90" s="90">
        <v>1.014</v>
      </c>
      <c r="J90" s="90">
        <v>-1.41</v>
      </c>
      <c r="K90" s="90">
        <v>-1.9810000000000001</v>
      </c>
      <c r="L90" s="90">
        <v>-0.30599999999999999</v>
      </c>
      <c r="M90" s="90"/>
      <c r="N90" s="90"/>
      <c r="O90" s="91"/>
    </row>
    <row r="91" spans="2:15" x14ac:dyDescent="0.2">
      <c r="B91" s="87" t="s">
        <v>68</v>
      </c>
      <c r="C91" s="88"/>
      <c r="D91" s="165">
        <f>SUM($C90:D90)</f>
        <v>0.36</v>
      </c>
      <c r="E91" s="165">
        <f>SUM($D90:E90)</f>
        <v>-7.1000000000000008E-2</v>
      </c>
      <c r="F91" s="165">
        <f>SUM($D90:F90)</f>
        <v>-1.335</v>
      </c>
      <c r="G91" s="165">
        <f>SUM($D90:G90)</f>
        <v>-3.0060000000000002</v>
      </c>
      <c r="H91" s="165">
        <f>SUM($D90:H90)</f>
        <v>-7.1180000000000003</v>
      </c>
      <c r="I91" s="165">
        <f>SUM($D90:I90)</f>
        <v>-6.1040000000000001</v>
      </c>
      <c r="J91" s="165">
        <f>SUM($D90:J90)</f>
        <v>-7.5140000000000002</v>
      </c>
      <c r="K91" s="165">
        <f>SUM($D90:K90)</f>
        <v>-9.495000000000001</v>
      </c>
      <c r="L91" s="165">
        <f>SUM($D90:L90)</f>
        <v>-9.8010000000000002</v>
      </c>
      <c r="M91" s="165">
        <v>0</v>
      </c>
      <c r="N91" s="165">
        <v>0</v>
      </c>
      <c r="O91" s="166">
        <v>0</v>
      </c>
    </row>
    <row r="92" spans="2:15" x14ac:dyDescent="0.2">
      <c r="B92" s="87"/>
      <c r="C92" s="88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6"/>
    </row>
    <row r="93" spans="2:15" x14ac:dyDescent="0.2">
      <c r="B93" s="164" t="s">
        <v>105</v>
      </c>
      <c r="C93" s="88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6"/>
    </row>
    <row r="94" spans="2:15" x14ac:dyDescent="0.2">
      <c r="B94" s="87" t="s">
        <v>67</v>
      </c>
      <c r="C94" s="88"/>
      <c r="D94" s="90">
        <v>0.129</v>
      </c>
      <c r="E94" s="90">
        <v>-24.236000000000001</v>
      </c>
      <c r="F94" s="90">
        <v>11.356999999999999</v>
      </c>
      <c r="G94" s="90">
        <v>-1.88</v>
      </c>
      <c r="H94" s="90">
        <v>-11.257</v>
      </c>
      <c r="I94" s="90">
        <v>6.45</v>
      </c>
      <c r="J94" s="90">
        <v>-0.56699999999999995</v>
      </c>
      <c r="K94" s="90">
        <v>-15.481</v>
      </c>
      <c r="L94" s="90">
        <v>14.911</v>
      </c>
      <c r="M94" s="90"/>
      <c r="N94" s="90"/>
      <c r="O94" s="91"/>
    </row>
    <row r="95" spans="2:15" x14ac:dyDescent="0.2">
      <c r="B95" s="87" t="s">
        <v>68</v>
      </c>
      <c r="C95" s="88"/>
      <c r="D95" s="165">
        <f>SUM($C94:D94)</f>
        <v>0.129</v>
      </c>
      <c r="E95" s="165">
        <f>SUM($D94:E94)</f>
        <v>-24.106999999999999</v>
      </c>
      <c r="F95" s="165">
        <f>SUM($D94:F94)</f>
        <v>-12.75</v>
      </c>
      <c r="G95" s="165">
        <f>SUM($D94:G94)</f>
        <v>-14.629999999999999</v>
      </c>
      <c r="H95" s="165">
        <f>SUM($D94:H94)</f>
        <v>-25.887</v>
      </c>
      <c r="I95" s="165">
        <f>SUM($D94:I94)</f>
        <v>-19.437000000000001</v>
      </c>
      <c r="J95" s="165">
        <f>SUM($D94:J94)</f>
        <v>-20.004000000000001</v>
      </c>
      <c r="K95" s="165">
        <f>SUM($D94:K94)</f>
        <v>-35.484999999999999</v>
      </c>
      <c r="L95" s="165">
        <f>SUM($D94:L94)</f>
        <v>-20.573999999999998</v>
      </c>
      <c r="M95" s="165"/>
      <c r="N95" s="165"/>
      <c r="O95" s="166"/>
    </row>
    <row r="96" spans="2:15" ht="13.5" thickBot="1" x14ac:dyDescent="0.25"/>
    <row r="97" spans="2:15" x14ac:dyDescent="0.2">
      <c r="B97" s="172" t="s">
        <v>98</v>
      </c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6"/>
    </row>
    <row r="98" spans="2:15" x14ac:dyDescent="0.2">
      <c r="B98" s="164" t="s">
        <v>65</v>
      </c>
      <c r="C98" s="88"/>
      <c r="D98" s="109" t="s">
        <v>60</v>
      </c>
      <c r="E98" s="109" t="s">
        <v>6</v>
      </c>
      <c r="F98" s="109" t="s">
        <v>7</v>
      </c>
      <c r="G98" s="109" t="s">
        <v>8</v>
      </c>
      <c r="H98" s="109" t="s">
        <v>9</v>
      </c>
      <c r="I98" s="109" t="s">
        <v>10</v>
      </c>
      <c r="J98" s="109" t="s">
        <v>11</v>
      </c>
      <c r="K98" s="109" t="s">
        <v>12</v>
      </c>
      <c r="L98" s="109" t="s">
        <v>66</v>
      </c>
      <c r="M98" s="109" t="s">
        <v>14</v>
      </c>
      <c r="N98" s="109" t="s">
        <v>15</v>
      </c>
      <c r="O98" s="110" t="s">
        <v>16</v>
      </c>
    </row>
    <row r="99" spans="2:15" x14ac:dyDescent="0.2">
      <c r="B99" s="87" t="s">
        <v>67</v>
      </c>
      <c r="C99" s="88"/>
      <c r="D99" s="90"/>
      <c r="E99" s="90"/>
      <c r="F99" s="90"/>
      <c r="G99" s="90"/>
      <c r="H99" s="90"/>
      <c r="I99" s="90"/>
      <c r="J99" s="90">
        <v>-1.573</v>
      </c>
      <c r="K99" s="90">
        <v>-0.99</v>
      </c>
      <c r="L99" s="90">
        <v>0.29699999999999999</v>
      </c>
      <c r="M99" s="90"/>
      <c r="N99" s="90"/>
      <c r="O99" s="91"/>
    </row>
    <row r="100" spans="2:15" x14ac:dyDescent="0.2">
      <c r="B100" s="87" t="s">
        <v>68</v>
      </c>
      <c r="C100" s="88"/>
      <c r="D100" s="165"/>
      <c r="E100" s="165"/>
      <c r="F100" s="165"/>
      <c r="G100" s="165"/>
      <c r="H100" s="165"/>
      <c r="I100" s="165"/>
      <c r="J100" s="165">
        <f>SUM($D99:J99)</f>
        <v>-1.573</v>
      </c>
      <c r="K100" s="165">
        <f>SUM($D99:K99)</f>
        <v>-2.5629999999999997</v>
      </c>
      <c r="L100" s="165">
        <f>SUM($D99:L99)</f>
        <v>-2.2659999999999996</v>
      </c>
      <c r="M100" s="165">
        <v>0</v>
      </c>
      <c r="N100" s="165">
        <v>0</v>
      </c>
      <c r="O100" s="166">
        <v>0</v>
      </c>
    </row>
    <row r="101" spans="2:15" x14ac:dyDescent="0.2">
      <c r="B101" s="87"/>
      <c r="C101" s="88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</row>
    <row r="102" spans="2:15" x14ac:dyDescent="0.2">
      <c r="B102" s="164" t="s">
        <v>105</v>
      </c>
      <c r="C102" s="88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6"/>
    </row>
    <row r="103" spans="2:15" x14ac:dyDescent="0.2">
      <c r="B103" s="87" t="s">
        <v>67</v>
      </c>
      <c r="C103" s="88"/>
      <c r="D103" s="90"/>
      <c r="E103" s="90"/>
      <c r="F103" s="90"/>
      <c r="G103" s="90"/>
      <c r="H103" s="90"/>
      <c r="I103" s="90"/>
      <c r="J103" s="90">
        <v>-1.573</v>
      </c>
      <c r="K103" s="90">
        <v>-0.99</v>
      </c>
      <c r="L103" s="90">
        <v>0.125</v>
      </c>
      <c r="M103" s="90"/>
      <c r="N103" s="90"/>
      <c r="O103" s="91"/>
    </row>
    <row r="104" spans="2:15" x14ac:dyDescent="0.2">
      <c r="B104" s="87" t="s">
        <v>68</v>
      </c>
      <c r="C104" s="88"/>
      <c r="D104" s="165"/>
      <c r="E104" s="165"/>
      <c r="F104" s="165"/>
      <c r="G104" s="165"/>
      <c r="H104" s="165"/>
      <c r="I104" s="165"/>
      <c r="J104" s="165">
        <f>SUM($D103:J103)</f>
        <v>-1.573</v>
      </c>
      <c r="K104" s="165">
        <f>SUM($D103:K103)</f>
        <v>-2.5629999999999997</v>
      </c>
      <c r="L104" s="165">
        <f>SUM($D103:L103)</f>
        <v>-2.4379999999999997</v>
      </c>
      <c r="M104" s="165"/>
      <c r="N104" s="165"/>
      <c r="O104" s="166"/>
    </row>
  </sheetData>
  <phoneticPr fontId="20" type="noConversion"/>
  <pageMargins left="0.28000000000000003" right="0.28999999999999998" top="0.34" bottom="0.2" header="0.21" footer="0.16"/>
  <pageSetup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3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6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IS Input</vt:lpstr>
      <vt:lpstr>volumes Input</vt:lpstr>
      <vt:lpstr>Funds Flow-Cap Employed</vt:lpstr>
      <vt:lpstr>Cash Flow by Team</vt:lpstr>
      <vt:lpstr>EGM Summary</vt:lpstr>
      <vt:lpstr>EGM Summary (2)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Insurance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'Cash Flow by Team'!Print_Area</vt:lpstr>
      <vt:lpstr>Coal!Print_Area</vt:lpstr>
      <vt:lpstr>'Coal volumes'!Print_Area</vt:lpstr>
      <vt:lpstr>'Crude &amp; Products'!Print_Area</vt:lpstr>
      <vt:lpstr>'Crude &amp; Products volumes '!Print_Area</vt:lpstr>
      <vt:lpstr>'EGM Summary'!Print_Area</vt:lpstr>
      <vt:lpstr>'EGM Summary (2)'!Print_Area</vt:lpstr>
      <vt:lpstr>'Financial Trading'!Print_Area</vt:lpstr>
      <vt:lpstr>Freight!Print_Area</vt:lpstr>
      <vt:lpstr>'Freight volumes'!Print_Area</vt:lpstr>
      <vt:lpstr>'Funds Flow-Cap Employed'!Print_Area</vt:lpstr>
      <vt:lpstr>'Insurance Risk Mkts'!Print_Area</vt:lpstr>
      <vt:lpstr>'IS Input'!Print_Area</vt:lpstr>
      <vt:lpstr>Japan!Print_Area</vt:lpstr>
      <vt:lpstr>LNG!Print_Area</vt:lpstr>
      <vt:lpstr>'volumes Input'!Print_Area</vt:lpstr>
      <vt:lpstr>Weather!Print_Area</vt:lpstr>
      <vt:lpstr>'Weather volumes'!Print_Area</vt:lpstr>
      <vt:lpstr>'volumes Input'!Print_Titles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2001-11-16T22:04:07Z</cp:lastPrinted>
  <dcterms:created xsi:type="dcterms:W3CDTF">2000-08-25T15:53:29Z</dcterms:created>
  <dcterms:modified xsi:type="dcterms:W3CDTF">2023-09-17T16:40:58Z</dcterms:modified>
</cp:coreProperties>
</file>