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C0DCCE-7CF3-4EF0-9B0B-B31C46E3DF02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AU19" i="2"/>
  <c r="E20" i="2"/>
  <c r="Z20" i="2"/>
  <c r="AB20" i="2"/>
  <c r="AG20" i="2"/>
  <c r="AK20" i="2"/>
  <c r="AM20" i="2"/>
  <c r="AO20" i="2"/>
  <c r="AQ20" i="2"/>
  <c r="AS20" i="2"/>
  <c r="AU20" i="2"/>
  <c r="E21" i="2"/>
  <c r="T21" i="2"/>
  <c r="Z21" i="2"/>
  <c r="AG21" i="2"/>
  <c r="AK21" i="2"/>
  <c r="AM21" i="2"/>
  <c r="AS21" i="2"/>
  <c r="AU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<sst xmlns="http://schemas.openxmlformats.org/spreadsheetml/2006/main" count="278" uniqueCount="133">
  <si>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</si>
  <si>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</si>
  <si>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</si>
  <si>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</si>
  <si>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</si>
  <si>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</si>
  <si>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</si>
  <si>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</si>
  <si>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</si>
  <si>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</si>
  <si>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</si>
  <si>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</si>
  <si>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</si>
  <si>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</si>
  <si>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</si>
  <si>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</si>
  <si>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</si>
  <si>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</si>
  <si>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</si>
  <si>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</si>
  <si>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</si>
  <si>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</si>
  <si>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</si>
  <si>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</si>
  <si>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</si>
  <si>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</si>
  <si>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</si>
  <si>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</si>
  <si>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</si>
  <si>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</si>
  <si>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</si>
  <si>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</si>
  <si>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</si>
  <si>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</si>
  <si>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</si>
  <si>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</si>
  <si>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</si>
  <si>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</si>
  <si>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</si>
  <si>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</si>
  <si>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</si>
  <si>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</si>
  <si>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</si>
  <si>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</si>
  <si>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</si>
  <si>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</si>
  <si>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</si>
  <si>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</si>
  <si>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</si>
  <si>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</si>
  <si>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</si>
  <si>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</si>
  <si>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</si>
  <si>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</si>
  <si>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</si>
  <si>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</si>
  <si>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</si>
  <si>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</si>
  <si>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</si>
  <si>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</si>
  <si>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</si>
  <si>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</si>
  <si>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</si>
  <si>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</si>
  <si>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</si>
  <si>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</si>
  <si>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</si>
  <si>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</si>
  <si>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</si>
  <si>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</si>
  <si>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</si>
  <si>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</si>
  <si>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</si>
  <si>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</si>
  <si>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</si>
  <si>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</si>
  <si>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</si>
  <si>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</si>
  <si>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</si>
  <si>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</si>
  <si>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</si>
  <si>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</si>
  <si>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</si>
  <si>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</si>
  <si>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</si>
  <si>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</si>
  <si>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</si>
  <si>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</si>
  <si>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</si>
  <si>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</si>
  <si>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</si>
  <si>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</si>
  <si>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</si>
  <si>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</si>
  <si>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</si>
  <si>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</si>
  <si>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</si>
  <si>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</si>
  <si>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</si>
  <si>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</si>
  <si>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</si>
  <si>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</si>
  <si>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</si>
  <si>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</si>
  <si>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</si>
  <si>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</si>
  <si>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</si>
  <si>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</si>
  <si>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</si>
  <si>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</si>
  <si>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</si>
  <si>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</si>
  <si>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</si>
  <si>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</si>
  <si>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</si>
  <si>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</si>
  <si>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</si>
  <si>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</si>
  <si>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</si>
  <si>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</si>
  <si>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</si>
  <si>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</si>
  <si>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</si>
  <si>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</si>
  <si>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</si>
  <si>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</si>
  <si>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</si>
  <si>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</si>
  <si>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</si>
  <si>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Sanders Morris</t>
  </si>
  <si>
    <t>Reliant Resources</t>
  </si>
  <si>
    <t>split</t>
  </si>
  <si>
    <t>Aquila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</si>
</sst>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2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5" fillId="0" borderId="0" xfId="0" applyFont="1" applyFill="1" applyAlignment="1">
      <alignment horizontal="center"/>
    </xf>
    <xf numFmtId="164" fontId="5" fillId="0" borderId="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,LAST,1" advise="1">
        <values>
          <value>
            <val>2066.33</val>
          </value>
        </values>
      </ddeItem>
      <ddeItem name=".SPX,LAST,1" advise="1">
        <values>
          <value>
            <val>1214.3499999999999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38.97</val>
          </value>
        </values>
      </ddeItem>
      <ddeItem name="AKAM.O,LAST,1" advise="1">
        <values>
          <value>
            <val>7.75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39.9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46.99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45.36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51.25</val>
          </value>
        </values>
      </ddeItem>
      <ddeItem name="GX,LAST,1" advise="1">
        <values>
          <value>
            <val>5.97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27.99</val>
          </value>
        </values>
      </ddeItem>
      <ddeItem name="INAP.O,LAST,1" advise="1">
        <values>
          <value>
            <val>1.62</val>
          </value>
        </values>
      </ddeItem>
      <ddeItem name="ISLD.O,LAST,1" advise="1">
        <values>
          <value>
            <val>3.39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53.61</val>
          </value>
        </values>
      </ddeItem>
      <ddeItem name="LVLT.O,LAST,1" advise="1">
        <values>
          <value>
            <val>4.62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33.85</val>
          </value>
        </values>
      </ddeItem>
      <ddeItem name="NPW,LAST,1" advise="1">
        <values>
          <value>
            <val>7.36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21.26</val>
          </value>
        </values>
      </ddeItem>
      <ddeItem name="Q,LAST,1" advise="1">
        <values>
          <value>
            <val>24.4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23.06</val>
          </value>
        </values>
      </ddeItem>
      <ddeItem name="WCG,LAST,1" advise="1">
        <values>
          <value>
            <val>2.2599999999999998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33.51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37106</v>
      </c>
    </row>
    <row r="3" spans="1:8" ht="16.5" thickBot="1" x14ac:dyDescent="0.3"/>
    <row r="4" spans="1:8" ht="16.5" thickBot="1" x14ac:dyDescent="0.3">
      <c r="B4" s="357">
        <v>2001</v>
      </c>
      <c r="D4" s="390" t="s">
        <v>72</v>
      </c>
      <c r="E4" s="391"/>
      <c r="F4" s="391"/>
      <c r="G4" s="391"/>
      <c r="H4" s="392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24.923076923076923</v>
      </c>
      <c r="D6" s="365">
        <f>ENRON!AM7</f>
        <v>-1.6052060737527157E-2</v>
      </c>
      <c r="E6" s="366"/>
      <c r="F6" s="367">
        <f>ENRON!AO7</f>
        <v>-7.6171079429735278E-2</v>
      </c>
      <c r="G6" s="366"/>
      <c r="H6" s="368">
        <f>ENRON!AQ7</f>
        <v>-0.45130827067669171</v>
      </c>
    </row>
    <row r="7" spans="1:8" x14ac:dyDescent="0.25">
      <c r="A7" s="352" t="s">
        <v>74</v>
      </c>
      <c r="B7" s="369">
        <f>ENRON!Z9</f>
        <v>24.02750296794618</v>
      </c>
      <c r="D7" s="370">
        <f>ENRON!AM9</f>
        <v>7.3942932010978377E-3</v>
      </c>
      <c r="E7" s="371"/>
      <c r="F7" s="372">
        <f>ENRON!AO9</f>
        <v>-8.9001010726745926E-3</v>
      </c>
      <c r="G7" s="371"/>
      <c r="H7" s="373">
        <f>ENRON!AQ9</f>
        <v>-7.3274608416396644E-2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1.8151182669616205E-2</v>
      </c>
      <c r="E8" s="371"/>
      <c r="F8" s="372">
        <f>ENRON!AO10</f>
        <v>-4.7267564340735077E-2</v>
      </c>
      <c r="G8" s="371"/>
      <c r="H8" s="373">
        <f>ENRON!AQ10</f>
        <v>-0.16211445363729096</v>
      </c>
    </row>
    <row r="9" spans="1:8" x14ac:dyDescent="0.25">
      <c r="A9" s="352" t="s">
        <v>92</v>
      </c>
      <c r="B9" s="369">
        <f>ENRON!Z24</f>
        <v>17.800112300694046</v>
      </c>
      <c r="C9" s="374"/>
      <c r="D9" s="370">
        <f>ENRON!AM24</f>
        <v>2.2904354190258703E-2</v>
      </c>
      <c r="E9" s="371"/>
      <c r="F9" s="372">
        <f>ENRON!AO24</f>
        <v>-6.7804815838891719E-3</v>
      </c>
      <c r="G9" s="375"/>
      <c r="H9" s="373">
        <f>ENRON!AQ24</f>
        <v>-0.11852008224209164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-5.0209569738156809E-2</v>
      </c>
      <c r="E10" s="379"/>
      <c r="F10" s="380">
        <f>ENRON!AO44</f>
        <v>-0.21927442683182052</v>
      </c>
      <c r="G10" s="381"/>
      <c r="H10" s="382">
        <f>ENRON!AQ44</f>
        <v>-0.60384820541924122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37106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3">
        <v>2001</v>
      </c>
      <c r="Y4" s="394"/>
      <c r="Z4" s="395"/>
      <c r="AA4" s="28"/>
      <c r="AB4" s="29" t="s">
        <v>125</v>
      </c>
      <c r="AC4" s="27" t="s">
        <v>113</v>
      </c>
      <c r="AD4" s="28"/>
      <c r="AE4" s="393">
        <v>2002</v>
      </c>
      <c r="AF4" s="394"/>
      <c r="AG4" s="395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37099</v>
      </c>
      <c r="AZ5" s="55"/>
      <c r="BA5" s="57">
        <v>37071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[1]!'ENE,LAST,1'</f>
        <v>45.36</v>
      </c>
      <c r="F7" s="79"/>
      <c r="G7" s="82">
        <v>2.16</v>
      </c>
      <c r="H7" s="83" t="s">
        <v>50</v>
      </c>
      <c r="I7" s="84">
        <f>E7/G7</f>
        <v>21</v>
      </c>
      <c r="J7" s="79"/>
      <c r="K7" s="82">
        <v>2.14</v>
      </c>
      <c r="L7" s="85" t="s">
        <v>51</v>
      </c>
      <c r="M7" s="84">
        <f>E7/K7</f>
        <v>21.196261682242991</v>
      </c>
      <c r="N7" s="79"/>
      <c r="O7" s="82">
        <v>2.16</v>
      </c>
      <c r="P7" s="83" t="s">
        <v>50</v>
      </c>
      <c r="Q7" s="84">
        <f>M7/O7</f>
        <v>9.8130841121495322</v>
      </c>
      <c r="R7" s="79"/>
      <c r="S7" s="86">
        <f>+S88</f>
        <v>1.9988888888888892</v>
      </c>
      <c r="T7" s="84">
        <f>E7/S7</f>
        <v>22.692607003891048</v>
      </c>
      <c r="U7" s="87"/>
      <c r="V7" s="88">
        <f>(S7-K7)/K7</f>
        <v>-6.5939771547248116E-2</v>
      </c>
      <c r="W7" s="89"/>
      <c r="X7" s="90">
        <v>1.82</v>
      </c>
      <c r="Y7" s="91"/>
      <c r="Z7" s="84">
        <f>E7/X7</f>
        <v>24.923076923076923</v>
      </c>
      <c r="AA7" s="87"/>
      <c r="AB7" s="92">
        <f>(X7-AS69)/AS69</f>
        <v>0.23809523809523817</v>
      </c>
      <c r="AC7" s="93">
        <v>0.12</v>
      </c>
      <c r="AD7" s="87"/>
      <c r="AE7" s="90">
        <v>2.16</v>
      </c>
      <c r="AF7" s="94"/>
      <c r="AG7" s="84">
        <f>E7/AE7</f>
        <v>21</v>
      </c>
      <c r="AH7" s="95"/>
      <c r="AJ7" s="96"/>
      <c r="AK7" s="97">
        <f>(X7-S7)/S7</f>
        <v>-8.9494163424124612E-2</v>
      </c>
      <c r="AL7" s="89"/>
      <c r="AM7" s="98">
        <f>((+AX7+E7-AY7)/AY7)</f>
        <v>-1.6052060737527157E-2</v>
      </c>
      <c r="AN7" s="89"/>
      <c r="AO7" s="89">
        <f>((+AZ7+E7-BA7)/BA7)</f>
        <v>-7.6171079429735278E-2</v>
      </c>
      <c r="AP7" s="89"/>
      <c r="AQ7" s="97">
        <f>((+BB7+E7-BC7)/BC7)</f>
        <v>-0.45130827067669171</v>
      </c>
      <c r="AR7" s="99"/>
      <c r="AS7" s="1">
        <f>AU7/E7</f>
        <v>1.1022927689594356E-2</v>
      </c>
      <c r="AT7" s="100"/>
      <c r="AU7" s="3">
        <f>[1]!'ENE,DIVIDEND,1'</f>
        <v>0.5</v>
      </c>
      <c r="AV7" s="101">
        <v>37133</v>
      </c>
      <c r="AW7" s="102">
        <v>0.125</v>
      </c>
      <c r="AX7" s="103"/>
      <c r="AY7" s="104">
        <v>46.1</v>
      </c>
      <c r="AZ7" s="105"/>
      <c r="BA7" s="104">
        <v>49.1</v>
      </c>
      <c r="BB7" s="106">
        <f>0.125+0.125</f>
        <v>0.25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[1]!'.SPX,LAST,1'</f>
        <v>1214.3499999999999</v>
      </c>
      <c r="F9" s="127"/>
      <c r="G9" s="128">
        <v>40.53</v>
      </c>
      <c r="H9" s="109"/>
      <c r="I9" s="96">
        <f>E9/G9</f>
        <v>29.961756723414751</v>
      </c>
      <c r="J9" s="26"/>
      <c r="K9" s="128">
        <v>42.08</v>
      </c>
      <c r="L9" s="26"/>
      <c r="M9" s="96">
        <f>E9/K9</f>
        <v>28.858127376425855</v>
      </c>
      <c r="N9" s="127"/>
      <c r="O9" s="128">
        <v>40.53</v>
      </c>
      <c r="P9" s="109"/>
      <c r="Q9" s="96">
        <f>M9/O9</f>
        <v>0.71201893354122514</v>
      </c>
      <c r="R9" s="26"/>
      <c r="S9" s="129">
        <v>40.18</v>
      </c>
      <c r="T9" s="96">
        <f>E9/S9</f>
        <v>30.222747635639621</v>
      </c>
      <c r="U9" s="95"/>
      <c r="V9" s="130">
        <f>(S9-K9)/K9</f>
        <v>-4.5152091254752821E-2</v>
      </c>
      <c r="W9" s="131"/>
      <c r="X9" s="129">
        <v>50.54</v>
      </c>
      <c r="Y9" s="132"/>
      <c r="Z9" s="96">
        <f>E9/X9</f>
        <v>24.02750296794618</v>
      </c>
      <c r="AA9" s="95"/>
      <c r="AB9" s="133">
        <f>+(+X9-AS71)/AS71</f>
        <v>-0.11052446321717707</v>
      </c>
      <c r="AC9" s="134"/>
      <c r="AD9" s="95"/>
      <c r="AE9" s="129">
        <v>57.98</v>
      </c>
      <c r="AF9" s="132"/>
      <c r="AG9" s="96">
        <f>E9/AE9</f>
        <v>20.944291134874096</v>
      </c>
      <c r="AH9" s="95"/>
      <c r="AJ9" s="95"/>
      <c r="AK9" s="130">
        <f>(X9-S9)/S9</f>
        <v>0.25783972125435539</v>
      </c>
      <c r="AL9" s="131"/>
      <c r="AM9" s="100">
        <f>((+AX9+E9-AY9)/AY9)</f>
        <v>7.3942932010978377E-3</v>
      </c>
      <c r="AN9" s="131"/>
      <c r="AO9" s="131">
        <f>((+AZ9+E9-BA9)/BA9)</f>
        <v>-8.9001010726745926E-3</v>
      </c>
      <c r="AP9" s="131"/>
      <c r="AQ9" s="135">
        <f>((+BB9+E9-BC9)/BC9)</f>
        <v>-7.3274608416396644E-2</v>
      </c>
      <c r="AS9" s="2">
        <v>1.29E-2</v>
      </c>
      <c r="AT9" s="100"/>
      <c r="AU9" s="136">
        <f>AS9*E9</f>
        <v>15.665114999999998</v>
      </c>
      <c r="AV9" s="137"/>
      <c r="AW9" s="102"/>
      <c r="AX9" s="138">
        <v>0.497</v>
      </c>
      <c r="AY9" s="139">
        <v>1205.93</v>
      </c>
      <c r="AZ9" s="138">
        <v>1.571</v>
      </c>
      <c r="BA9" s="139">
        <v>1226.8399999999999</v>
      </c>
      <c r="BB9" s="138">
        <f>8.69+0.497</f>
        <v>9.1869999999999994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[1]!'.IXIC,LAST,1'</f>
        <v>2066.33</v>
      </c>
      <c r="F10" s="127"/>
      <c r="G10" s="128">
        <v>40.53</v>
      </c>
      <c r="H10" s="109"/>
      <c r="I10" s="96">
        <f>E10/G10</f>
        <v>50.982728842832465</v>
      </c>
      <c r="J10" s="26"/>
      <c r="K10" s="128">
        <v>42.08</v>
      </c>
      <c r="L10" s="26"/>
      <c r="M10" s="96">
        <f>E10/K10</f>
        <v>49.104800380228134</v>
      </c>
      <c r="N10" s="127"/>
      <c r="O10" s="128">
        <v>40.53</v>
      </c>
      <c r="P10" s="109"/>
      <c r="Q10" s="96">
        <f>M10/O10</f>
        <v>1.2115667500673115</v>
      </c>
      <c r="R10" s="26"/>
      <c r="S10" s="129">
        <v>40.18</v>
      </c>
      <c r="T10" s="96">
        <f>E10/S10</f>
        <v>51.426829268292678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1.8151182669616205E-2</v>
      </c>
      <c r="AN10" s="131"/>
      <c r="AO10" s="131">
        <f>((+AZ10+E10-BA10)/BA10)</f>
        <v>-4.7267564340735077E-2</v>
      </c>
      <c r="AP10" s="131"/>
      <c r="AQ10" s="135">
        <f>((+BB10+E10-BC10)/BC10)</f>
        <v>-0.16211445363729096</v>
      </c>
      <c r="AS10" s="2">
        <v>2.7000000000000001E-3</v>
      </c>
      <c r="AT10" s="100"/>
      <c r="AU10" s="136">
        <f>AS10*E10</f>
        <v>5.579091</v>
      </c>
      <c r="AV10" s="137"/>
      <c r="AW10" s="102"/>
      <c r="AX10" s="138">
        <v>0.24199999999999999</v>
      </c>
      <c r="AY10" s="139">
        <v>2029.73</v>
      </c>
      <c r="AZ10" s="138">
        <v>0.442</v>
      </c>
      <c r="BA10" s="139">
        <v>2169.31</v>
      </c>
      <c r="BB10" s="138">
        <v>3.6829999999999998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132</v>
      </c>
      <c r="B13" s="18"/>
      <c r="C13" s="41" t="s">
        <v>127</v>
      </c>
      <c r="D13" s="18"/>
      <c r="E13" s="145">
        <f>[1]!'ILA,LAST,1'</f>
        <v>27.99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24.339130434782611</v>
      </c>
      <c r="U13" s="95"/>
      <c r="V13" s="130"/>
      <c r="W13" s="131"/>
      <c r="X13" s="141">
        <v>2.2999999999999998</v>
      </c>
      <c r="Y13" s="154"/>
      <c r="Z13" s="96">
        <f t="shared" ref="Z13:Z22" si="1">E13/X13</f>
        <v>12.169565217391305</v>
      </c>
      <c r="AA13" s="143"/>
      <c r="AB13" s="155" t="s">
        <v>76</v>
      </c>
      <c r="AC13" s="156" t="s">
        <v>76</v>
      </c>
      <c r="AD13" s="144"/>
      <c r="AE13" s="141">
        <v>1.99</v>
      </c>
      <c r="AF13" s="154"/>
      <c r="AG13" s="96">
        <f t="shared" ref="AG13:AG22" si="2">E13/AE13</f>
        <v>14.065326633165828</v>
      </c>
      <c r="AH13" s="95"/>
      <c r="AJ13" s="95"/>
      <c r="AK13" s="130">
        <f>(X13-S13)/S13</f>
        <v>1</v>
      </c>
      <c r="AL13" s="131"/>
      <c r="AM13" s="100">
        <f>((+AX13+E13-AY13)/AY13)</f>
        <v>6.8320610687022873E-2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f>[1]!'ILA,DIVIDEND,1'</f>
        <v>0</v>
      </c>
      <c r="AV13" s="160" t="s">
        <v>68</v>
      </c>
      <c r="AW13" s="102">
        <v>0</v>
      </c>
      <c r="AX13" s="151"/>
      <c r="AY13" s="140">
        <v>26.2</v>
      </c>
      <c r="AZ13" s="151"/>
      <c r="BA13" s="161">
        <v>24.65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[1]!'AES,LAST,1'</f>
        <v>38.97</v>
      </c>
      <c r="F14" s="18"/>
      <c r="G14" s="128">
        <v>4.72</v>
      </c>
      <c r="H14" s="153" t="s">
        <v>50</v>
      </c>
      <c r="I14" s="96">
        <f>E14/G14</f>
        <v>8.2563559322033893</v>
      </c>
      <c r="J14" s="18"/>
      <c r="K14" s="128">
        <v>4.9400000000000004</v>
      </c>
      <c r="L14" s="26"/>
      <c r="M14" s="96">
        <f>E14/K14</f>
        <v>7.8886639676113353</v>
      </c>
      <c r="N14" s="18"/>
      <c r="O14" s="128">
        <v>4.72</v>
      </c>
      <c r="P14" s="153" t="s">
        <v>50</v>
      </c>
      <c r="Q14" s="96">
        <f>M14/O14</f>
        <v>1.6713271117820627</v>
      </c>
      <c r="R14" s="18"/>
      <c r="S14" s="129">
        <v>3.43</v>
      </c>
      <c r="T14" s="96">
        <f t="shared" si="0"/>
        <v>11.361516034985423</v>
      </c>
      <c r="U14" s="95"/>
      <c r="V14" s="130">
        <f>(S14-K14)/K14</f>
        <v>-0.30566801619433198</v>
      </c>
      <c r="W14" s="131"/>
      <c r="X14" s="129">
        <v>1.78</v>
      </c>
      <c r="Y14" s="132"/>
      <c r="Z14" s="96">
        <f t="shared" si="1"/>
        <v>21.893258426966291</v>
      </c>
      <c r="AA14" s="95"/>
      <c r="AB14" s="133">
        <f>+(+X14-AS75)/AS75</f>
        <v>0.21917808219178087</v>
      </c>
      <c r="AC14" s="134">
        <v>0.17399999999999999</v>
      </c>
      <c r="AD14" s="95"/>
      <c r="AE14" s="129">
        <v>2.37</v>
      </c>
      <c r="AF14" s="132"/>
      <c r="AG14" s="96">
        <f t="shared" si="2"/>
        <v>16.443037974683541</v>
      </c>
      <c r="AH14" s="95"/>
      <c r="AJ14" s="95"/>
      <c r="AK14" s="130">
        <f t="shared" ref="AK14:AK22" si="3">(X14-S14)/S14</f>
        <v>-0.48104956268221577</v>
      </c>
      <c r="AL14" s="131"/>
      <c r="AM14" s="100">
        <f t="shared" ref="AM14:AM22" si="4">((+AX14+E14-AY14)/AY14)</f>
        <v>4.4772117962466537E-2</v>
      </c>
      <c r="AN14" s="131"/>
      <c r="AO14" s="131">
        <f t="shared" ref="AO14:AO22" si="5">((+AZ14+E14-BA14)/BA14)</f>
        <v>-9.4773519163763031E-2</v>
      </c>
      <c r="AP14" s="131"/>
      <c r="AQ14" s="135">
        <f t="shared" ref="AQ14:AQ22" si="6">((+BB14+E14-BC14)/BC14)</f>
        <v>-0.29625282167042893</v>
      </c>
      <c r="AS14" s="158">
        <f t="shared" ref="AS14:AS22" si="7">AU14/E14</f>
        <v>0</v>
      </c>
      <c r="AT14" s="159"/>
      <c r="AU14" s="3">
        <f>[1]!'AES,DIVIDEND,1'</f>
        <v>0</v>
      </c>
      <c r="AV14" s="160">
        <v>36679</v>
      </c>
      <c r="AW14" s="386" t="s">
        <v>131</v>
      </c>
      <c r="AX14" s="151"/>
      <c r="AY14" s="140">
        <v>37.299999999999997</v>
      </c>
      <c r="AZ14" s="151"/>
      <c r="BA14" s="140">
        <v>43.05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[1]!'DUK,LAST,1'</f>
        <v>39.9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13.525423728813559</v>
      </c>
      <c r="N15" s="18"/>
      <c r="O15" s="128"/>
      <c r="P15" s="153"/>
      <c r="Q15" s="96"/>
      <c r="R15" s="18"/>
      <c r="S15" s="129">
        <v>3.38</v>
      </c>
      <c r="T15" s="96">
        <f t="shared" si="0"/>
        <v>11.804733727810651</v>
      </c>
      <c r="U15" s="95"/>
      <c r="V15" s="130">
        <f>(S15-K15)/K15</f>
        <v>0.14576271186440667</v>
      </c>
      <c r="W15" s="131"/>
      <c r="X15" s="129">
        <v>2.5</v>
      </c>
      <c r="Y15" s="132"/>
      <c r="Z15" s="96">
        <f t="shared" si="1"/>
        <v>15.959999999999999</v>
      </c>
      <c r="AA15" s="95"/>
      <c r="AB15" s="133">
        <f>+(+X15-AS77)/AS77</f>
        <v>0.19047619047619044</v>
      </c>
      <c r="AC15" s="134">
        <v>0.18140000000000001</v>
      </c>
      <c r="AD15" s="95"/>
      <c r="AE15" s="129">
        <v>2.8</v>
      </c>
      <c r="AF15" s="132"/>
      <c r="AG15" s="96">
        <f t="shared" si="2"/>
        <v>14.25</v>
      </c>
      <c r="AH15" s="95"/>
      <c r="AJ15" s="95"/>
      <c r="AK15" s="130">
        <f t="shared" si="3"/>
        <v>-0.26035502958579881</v>
      </c>
      <c r="AL15" s="131"/>
      <c r="AM15" s="100">
        <f t="shared" si="4"/>
        <v>4.0417209908735256E-2</v>
      </c>
      <c r="AN15" s="131"/>
      <c r="AO15" s="131">
        <f t="shared" si="5"/>
        <v>2.2814662906946951E-2</v>
      </c>
      <c r="AP15" s="131"/>
      <c r="AQ15" s="135">
        <f t="shared" si="6"/>
        <v>-5.0915063350539698E-2</v>
      </c>
      <c r="AS15" s="158">
        <f t="shared" si="7"/>
        <v>2.7568922305764413E-2</v>
      </c>
      <c r="AT15" s="159"/>
      <c r="AU15" s="3">
        <f>[1]!'DUK,DIVIDEND,1'</f>
        <v>1.1000000000000001</v>
      </c>
      <c r="AV15" s="163">
        <v>37118</v>
      </c>
      <c r="AW15" s="102">
        <v>0.27500000000000002</v>
      </c>
      <c r="AX15" s="151"/>
      <c r="AY15" s="140">
        <v>38.35</v>
      </c>
      <c r="AZ15" s="151"/>
      <c r="BA15" s="140">
        <v>39.01</v>
      </c>
      <c r="BB15" s="387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[1]!'DYN,LAST,1'</f>
        <v>46.99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67.128571428571433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81.017241379310349</v>
      </c>
      <c r="U16" s="95"/>
      <c r="V16" s="130">
        <f>(S16-K16)/K16</f>
        <v>-0.17142857142857143</v>
      </c>
      <c r="W16" s="131"/>
      <c r="X16" s="129">
        <v>2.0499999999999998</v>
      </c>
      <c r="Y16" s="132"/>
      <c r="Z16" s="96">
        <f t="shared" si="1"/>
        <v>22.921951219512199</v>
      </c>
      <c r="AA16" s="95"/>
      <c r="AB16" s="133">
        <f>+(+X16-AS78)/AS78</f>
        <v>0.43356643356643348</v>
      </c>
      <c r="AC16" s="134">
        <v>0.20399999999999999</v>
      </c>
      <c r="AD16" s="95"/>
      <c r="AE16" s="129">
        <v>2.5499999999999998</v>
      </c>
      <c r="AF16" s="164"/>
      <c r="AG16" s="96">
        <f t="shared" si="2"/>
        <v>18.427450980392159</v>
      </c>
      <c r="AH16" s="95"/>
      <c r="AJ16" s="95"/>
      <c r="AK16" s="130">
        <f t="shared" si="3"/>
        <v>2.5344827586206895</v>
      </c>
      <c r="AL16" s="131"/>
      <c r="AM16" s="100">
        <f t="shared" si="4"/>
        <v>1.9189765458422902E-3</v>
      </c>
      <c r="AN16" s="131"/>
      <c r="AO16" s="131">
        <f t="shared" si="5"/>
        <v>1.0537634408602193E-2</v>
      </c>
      <c r="AP16" s="131"/>
      <c r="AQ16" s="135">
        <f t="shared" si="6"/>
        <v>-0.15915273132664437</v>
      </c>
      <c r="AS16" s="158">
        <f t="shared" si="7"/>
        <v>6.3843370929985094E-3</v>
      </c>
      <c r="AT16" s="159"/>
      <c r="AU16" s="3">
        <f>[1]!'DYN,DIVIDEND,1'</f>
        <v>0.3</v>
      </c>
      <c r="AV16" s="160">
        <v>37132</v>
      </c>
      <c r="AW16" s="102">
        <v>7.4999999999999997E-2</v>
      </c>
      <c r="AX16" s="151"/>
      <c r="AY16" s="140">
        <v>46.9</v>
      </c>
      <c r="AZ16" s="151"/>
      <c r="BA16" s="140">
        <v>46.5</v>
      </c>
      <c r="BB16" s="387">
        <f>0.075*2</f>
        <v>0.15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[1]!'EPG,LAST,1'</f>
        <v>51.25</v>
      </c>
      <c r="F17" s="18"/>
      <c r="G17" s="128">
        <v>2.85</v>
      </c>
      <c r="H17" s="153" t="s">
        <v>50</v>
      </c>
      <c r="I17" s="96">
        <f>E17/G17</f>
        <v>17.982456140350877</v>
      </c>
      <c r="J17" s="18"/>
      <c r="K17" s="128">
        <v>3.18</v>
      </c>
      <c r="L17" s="26"/>
      <c r="M17" s="96">
        <f>E17/K17</f>
        <v>16.116352201257861</v>
      </c>
      <c r="N17" s="18"/>
      <c r="O17" s="128">
        <v>2.85</v>
      </c>
      <c r="P17" s="153" t="s">
        <v>50</v>
      </c>
      <c r="Q17" s="96">
        <f>M17/O17</f>
        <v>5.6548604214939866</v>
      </c>
      <c r="R17" s="18"/>
      <c r="S17" s="129">
        <v>1.83</v>
      </c>
      <c r="T17" s="96">
        <f t="shared" si="0"/>
        <v>28.005464480874316</v>
      </c>
      <c r="U17" s="95"/>
      <c r="V17" s="130">
        <f>(S17-K17)/K17</f>
        <v>-0.42452830188679247</v>
      </c>
      <c r="W17" s="131"/>
      <c r="X17" s="129">
        <v>3.33</v>
      </c>
      <c r="Y17" s="132"/>
      <c r="Z17" s="96">
        <f t="shared" si="1"/>
        <v>15.39039039039039</v>
      </c>
      <c r="AA17" s="95"/>
      <c r="AB17" s="133">
        <f>+(+X17-AS79)/AS79</f>
        <v>0.23791821561338294</v>
      </c>
      <c r="AC17" s="134">
        <v>0.18629999999999999</v>
      </c>
      <c r="AD17" s="95"/>
      <c r="AE17" s="129">
        <v>3.83</v>
      </c>
      <c r="AF17" s="132"/>
      <c r="AG17" s="96">
        <f t="shared" si="2"/>
        <v>13.381201044386422</v>
      </c>
      <c r="AH17" s="95"/>
      <c r="AJ17" s="95"/>
      <c r="AK17" s="130">
        <f t="shared" si="3"/>
        <v>0.81967213114754101</v>
      </c>
      <c r="AL17" s="131"/>
      <c r="AM17" s="100">
        <f t="shared" si="4"/>
        <v>-2.1199388846447658E-2</v>
      </c>
      <c r="AN17" s="131"/>
      <c r="AO17" s="131">
        <f t="shared" si="5"/>
        <v>-2.4552721735820311E-2</v>
      </c>
      <c r="AP17" s="131"/>
      <c r="AQ17" s="135">
        <f t="shared" si="6"/>
        <v>-0.2785340314136126</v>
      </c>
      <c r="AS17" s="158">
        <f t="shared" si="7"/>
        <v>1.6585365853658537E-2</v>
      </c>
      <c r="AT17" s="159"/>
      <c r="AU17" s="3">
        <f>[1]!'EPG,DIVIDEND,1'</f>
        <v>0.85</v>
      </c>
      <c r="AV17" s="160">
        <v>37139</v>
      </c>
      <c r="AW17" s="102">
        <v>0.21249999999999999</v>
      </c>
      <c r="AX17" s="151"/>
      <c r="AY17" s="140">
        <v>52.36</v>
      </c>
      <c r="AZ17" s="151"/>
      <c r="BA17" s="140">
        <v>52.54</v>
      </c>
      <c r="BB17" s="387">
        <f>0.2125*2</f>
        <v>0.42499999999999999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[1]!'KMI,LAST,1'</f>
        <v>53.61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22.061728395061728</v>
      </c>
      <c r="N18" s="18"/>
      <c r="O18" s="128"/>
      <c r="P18" s="153"/>
      <c r="Q18" s="96"/>
      <c r="R18" s="18"/>
      <c r="S18" s="129">
        <v>1.17</v>
      </c>
      <c r="T18" s="96">
        <f t="shared" si="0"/>
        <v>45.820512820512825</v>
      </c>
      <c r="U18" s="95"/>
      <c r="V18" s="130"/>
      <c r="W18" s="131"/>
      <c r="X18" s="129">
        <v>1.87</v>
      </c>
      <c r="Y18" s="132"/>
      <c r="Z18" s="96">
        <f t="shared" si="1"/>
        <v>28.668449197860962</v>
      </c>
      <c r="AA18" s="95"/>
      <c r="AB18" s="133">
        <f>+(+X18-AS80)/AS80</f>
        <v>0.46093750000000006</v>
      </c>
      <c r="AC18" s="134">
        <v>0.1061</v>
      </c>
      <c r="AD18" s="95"/>
      <c r="AE18" s="129">
        <v>2.44</v>
      </c>
      <c r="AF18" s="132"/>
      <c r="AG18" s="96">
        <f t="shared" si="2"/>
        <v>21.971311475409838</v>
      </c>
      <c r="AH18" s="95"/>
      <c r="AJ18" s="95"/>
      <c r="AK18" s="130">
        <f t="shared" si="3"/>
        <v>0.5982905982905985</v>
      </c>
      <c r="AL18" s="131"/>
      <c r="AM18" s="100">
        <f t="shared" si="4"/>
        <v>-7.455731593662469E-4</v>
      </c>
      <c r="AN18" s="131"/>
      <c r="AO18" s="131">
        <f t="shared" si="5"/>
        <v>6.7860696517412861E-2</v>
      </c>
      <c r="AP18" s="131"/>
      <c r="AQ18" s="135">
        <f t="shared" si="6"/>
        <v>3.0131736526946069E-2</v>
      </c>
      <c r="AS18" s="158">
        <f t="shared" si="7"/>
        <v>3.7306472673008769E-3</v>
      </c>
      <c r="AT18" s="159"/>
      <c r="AU18" s="3">
        <f>[1]!'KMI,DIVIDEND,1'</f>
        <v>0.2</v>
      </c>
      <c r="AV18" s="160">
        <v>37099</v>
      </c>
      <c r="AW18" s="102">
        <v>0.05</v>
      </c>
      <c r="AX18" s="151"/>
      <c r="AY18" s="140">
        <v>53.65</v>
      </c>
      <c r="AZ18" s="151">
        <v>0.05</v>
      </c>
      <c r="BA18" s="140">
        <v>50.25</v>
      </c>
      <c r="BB18" s="387">
        <f>0.05*3</f>
        <v>0.15000000000000002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[1]!'MIR,LAST,1'</f>
        <v>33.85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1.94</v>
      </c>
      <c r="Y19" s="132"/>
      <c r="Z19" s="96">
        <f>E19/X19</f>
        <v>17.448453608247423</v>
      </c>
      <c r="AA19" s="95"/>
      <c r="AB19" s="133">
        <f>+(+X19-AS83)/AS83</f>
        <v>0.97959183673469385</v>
      </c>
      <c r="AC19" s="134">
        <v>8.8800000000000004E-2</v>
      </c>
      <c r="AD19" s="95"/>
      <c r="AE19" s="129">
        <v>2.5299999999999998</v>
      </c>
      <c r="AF19" s="132"/>
      <c r="AG19" s="96">
        <f>E19/AE19</f>
        <v>13.379446640316207</v>
      </c>
      <c r="AH19" s="95"/>
      <c r="AJ19" s="95"/>
      <c r="AK19" s="130" t="e">
        <f>(X19-S19)/S19</f>
        <v>#DIV/0!</v>
      </c>
      <c r="AL19" s="131"/>
      <c r="AM19" s="100">
        <f>((+AX19+E19-AY19)/AY19)</f>
        <v>6.1128526645768115E-2</v>
      </c>
      <c r="AN19" s="131"/>
      <c r="AO19" s="131">
        <f>((+AZ19+E19-BA19)/BA19)</f>
        <v>-1.5988372093023173E-2</v>
      </c>
      <c r="AP19" s="131"/>
      <c r="AQ19" s="135">
        <f>((+BB19+E19-BC19)/BC19)</f>
        <v>0.19558498896247245</v>
      </c>
      <c r="AS19" s="158">
        <f>AU19/E19</f>
        <v>0</v>
      </c>
      <c r="AT19" s="159"/>
      <c r="AU19" s="3">
        <f>[1]!'MIR,DIVIDEND,1'</f>
        <v>0</v>
      </c>
      <c r="AV19" s="160" t="s">
        <v>68</v>
      </c>
      <c r="AW19" s="102">
        <v>0</v>
      </c>
      <c r="AX19" s="151"/>
      <c r="AY19" s="140">
        <v>31.9</v>
      </c>
      <c r="AZ19" s="151"/>
      <c r="BA19" s="140">
        <v>34.4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[1]!'NRG,LAST,1'</f>
        <v>21.26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1.37</v>
      </c>
      <c r="Y20" s="132"/>
      <c r="Z20" s="96">
        <f>E20/X20</f>
        <v>15.518248175182482</v>
      </c>
      <c r="AA20" s="95"/>
      <c r="AB20" s="133">
        <f>+(+X20-AS81)/AS81</f>
        <v>0.24545454545454545</v>
      </c>
      <c r="AC20" s="134">
        <v>0.15529999999999999</v>
      </c>
      <c r="AD20" s="95"/>
      <c r="AE20" s="129">
        <v>1.69</v>
      </c>
      <c r="AF20" s="132"/>
      <c r="AG20" s="96">
        <f>E20/AE20</f>
        <v>12.579881656804735</v>
      </c>
      <c r="AH20" s="95"/>
      <c r="AJ20" s="95"/>
      <c r="AK20" s="130" t="e">
        <f>(X20-S20)/S20</f>
        <v>#DIV/0!</v>
      </c>
      <c r="AL20" s="131"/>
      <c r="AM20" s="100">
        <f t="shared" si="4"/>
        <v>3.2038834951456319E-2</v>
      </c>
      <c r="AN20" s="131"/>
      <c r="AO20" s="131">
        <f t="shared" si="5"/>
        <v>-3.7137681159420143E-2</v>
      </c>
      <c r="AP20" s="131"/>
      <c r="AQ20" s="135">
        <f t="shared" si="6"/>
        <v>-0.23559550561797749</v>
      </c>
      <c r="AS20" s="158">
        <f t="shared" si="7"/>
        <v>1.317027281279398E-2</v>
      </c>
      <c r="AT20" s="159"/>
      <c r="AU20" s="3">
        <f>[1]!'NRG,DIVIDEND,1'</f>
        <v>0.28000000000000003</v>
      </c>
      <c r="AV20" s="160">
        <v>37008</v>
      </c>
      <c r="AW20" s="102">
        <v>0</v>
      </c>
      <c r="AX20" s="151"/>
      <c r="AY20" s="140">
        <v>20.6</v>
      </c>
      <c r="AZ20" s="151"/>
      <c r="BA20" s="140">
        <v>22.08</v>
      </c>
      <c r="BB20" s="151"/>
      <c r="BC20" s="140">
        <v>27.8125</v>
      </c>
    </row>
    <row r="21" spans="1:55" x14ac:dyDescent="0.2">
      <c r="A21" s="17" t="s">
        <v>130</v>
      </c>
      <c r="B21" s="18"/>
      <c r="C21" s="41" t="s">
        <v>128</v>
      </c>
      <c r="D21" s="18"/>
      <c r="E21" s="145">
        <f>[1]!'RRI,LAST,1'</f>
        <v>23.06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20.052173913043479</v>
      </c>
      <c r="U21" s="95"/>
      <c r="V21" s="130"/>
      <c r="W21" s="131"/>
      <c r="X21" s="141">
        <v>1.66</v>
      </c>
      <c r="Y21" s="154"/>
      <c r="Z21" s="96">
        <f t="shared" si="1"/>
        <v>13.891566265060241</v>
      </c>
      <c r="AA21" s="143"/>
      <c r="AB21" s="155" t="s">
        <v>76</v>
      </c>
      <c r="AC21" s="156" t="s">
        <v>76</v>
      </c>
      <c r="AD21" s="144"/>
      <c r="AE21" s="141">
        <v>2.13</v>
      </c>
      <c r="AF21" s="154"/>
      <c r="AG21" s="96">
        <f t="shared" si="2"/>
        <v>10.826291079812206</v>
      </c>
      <c r="AH21" s="95"/>
      <c r="AJ21" s="95"/>
      <c r="AK21" s="130">
        <f>(X21-S21)/S21</f>
        <v>0.44347826086956527</v>
      </c>
      <c r="AL21" s="131"/>
      <c r="AM21" s="100">
        <f t="shared" si="4"/>
        <v>-1.0300429184549442E-2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f>[1]!'RRI,DIVIDEND,1'</f>
        <v>0</v>
      </c>
      <c r="AV21" s="160" t="s">
        <v>68</v>
      </c>
      <c r="AW21" s="102">
        <v>0</v>
      </c>
      <c r="AX21" s="151"/>
      <c r="AY21" s="140">
        <v>23.3</v>
      </c>
      <c r="AZ21" s="151"/>
      <c r="BA21" s="161">
        <v>24.7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[1]!'WMB,LAST,1'</f>
        <v>33.51</v>
      </c>
      <c r="F22" s="18"/>
      <c r="G22" s="128">
        <v>2.08</v>
      </c>
      <c r="H22" s="153" t="s">
        <v>50</v>
      </c>
      <c r="I22" s="96">
        <f>E22/G22</f>
        <v>16.11057692307692</v>
      </c>
      <c r="J22" s="18"/>
      <c r="K22" s="128">
        <v>1.04</v>
      </c>
      <c r="L22" s="26"/>
      <c r="M22" s="96">
        <f>E22/K22</f>
        <v>32.22115384615384</v>
      </c>
      <c r="N22" s="18"/>
      <c r="O22" s="128">
        <v>2.08</v>
      </c>
      <c r="P22" s="153" t="s">
        <v>50</v>
      </c>
      <c r="Q22" s="96">
        <f>M22/O22</f>
        <v>15.490939349112422</v>
      </c>
      <c r="R22" s="18"/>
      <c r="S22" s="129">
        <v>0.82</v>
      </c>
      <c r="T22" s="96">
        <f>E22/S22</f>
        <v>40.865853658536587</v>
      </c>
      <c r="U22" s="95"/>
      <c r="V22" s="130">
        <f>(S22-K22)/K22</f>
        <v>-0.21153846153846162</v>
      </c>
      <c r="W22" s="131"/>
      <c r="X22" s="129">
        <v>2.37</v>
      </c>
      <c r="Y22" s="132"/>
      <c r="Z22" s="96">
        <f t="shared" si="1"/>
        <v>14.139240506329113</v>
      </c>
      <c r="AA22" s="95"/>
      <c r="AB22" s="133">
        <f>+(+X22-AS85)/AS85</f>
        <v>0.37790697674418611</v>
      </c>
      <c r="AC22" s="134">
        <v>0.14749999999999999</v>
      </c>
      <c r="AD22" s="95"/>
      <c r="AE22" s="129">
        <v>2.61</v>
      </c>
      <c r="AF22" s="132"/>
      <c r="AG22" s="96">
        <f t="shared" si="2"/>
        <v>12.839080459770114</v>
      </c>
      <c r="AH22" s="95"/>
      <c r="AJ22" s="95"/>
      <c r="AK22" s="130">
        <f t="shared" si="3"/>
        <v>1.8902439024390247</v>
      </c>
      <c r="AL22" s="131"/>
      <c r="AM22" s="100">
        <f t="shared" si="4"/>
        <v>1.2692656391658947E-2</v>
      </c>
      <c r="AN22" s="131"/>
      <c r="AO22" s="131">
        <f t="shared" si="5"/>
        <v>1.6995447647951294E-2</v>
      </c>
      <c r="AP22" s="131"/>
      <c r="AQ22" s="135">
        <f t="shared" si="6"/>
        <v>-0.15342723004694847</v>
      </c>
      <c r="AS22" s="158">
        <f t="shared" si="7"/>
        <v>2.1486123545210387E-2</v>
      </c>
      <c r="AT22" s="159"/>
      <c r="AU22" s="3">
        <f>[1]!'WMB,DIVIDEND,1'</f>
        <v>0.72</v>
      </c>
      <c r="AV22" s="160">
        <v>37125</v>
      </c>
      <c r="AW22" s="102">
        <v>0.18</v>
      </c>
      <c r="AX22" s="151"/>
      <c r="AY22" s="140">
        <v>33.090000000000003</v>
      </c>
      <c r="AZ22" s="151"/>
      <c r="BA22" s="140">
        <v>32.950000000000003</v>
      </c>
      <c r="BB22" s="387">
        <f>0.15*2</f>
        <v>0.3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14.11646299854373</v>
      </c>
      <c r="J24" s="26"/>
      <c r="K24" s="177"/>
      <c r="L24" s="178"/>
      <c r="M24" s="179">
        <f>AVERAGE(M14:M22)</f>
        <v>26.490315594578291</v>
      </c>
      <c r="N24" s="18"/>
      <c r="O24" s="177"/>
      <c r="P24" s="178"/>
      <c r="Q24" s="179">
        <f>AVERAGE(Q14:Q22)</f>
        <v>7.6057089607961572</v>
      </c>
      <c r="R24" s="26"/>
      <c r="S24" s="177"/>
      <c r="T24" s="179">
        <f>AVERAGE(T14:T22)</f>
        <v>34.132499430724799</v>
      </c>
      <c r="U24" s="95"/>
      <c r="V24" s="180">
        <f>AVERAGE(V14:V22)</f>
        <v>-0.19348012783675017</v>
      </c>
      <c r="W24" s="131"/>
      <c r="X24" s="181"/>
      <c r="Y24" s="182"/>
      <c r="Z24" s="179">
        <f>AVERAGE(Z13:Z22)</f>
        <v>17.800112300694046</v>
      </c>
      <c r="AA24" s="95"/>
      <c r="AB24" s="183"/>
      <c r="AC24" s="179"/>
      <c r="AD24" s="95"/>
      <c r="AE24" s="184"/>
      <c r="AF24" s="185"/>
      <c r="AG24" s="179">
        <f>AVERAGE(AG13:AG22)</f>
        <v>14.816302794474103</v>
      </c>
      <c r="AH24" s="95"/>
      <c r="AJ24" s="95"/>
      <c r="AK24" s="180" t="e">
        <f>AVERAGE(AK14:AK22)</f>
        <v>#DIV/0!</v>
      </c>
      <c r="AL24" s="131"/>
      <c r="AM24" s="186">
        <f>AVERAGE(AM13:AM22)</f>
        <v>2.2904354190258703E-2</v>
      </c>
      <c r="AN24" s="187"/>
      <c r="AO24" s="188">
        <f>AVERAGE(AO13:AO22)</f>
        <v>-6.7804815838891719E-3</v>
      </c>
      <c r="AP24" s="187"/>
      <c r="AQ24" s="189">
        <f>AVERAGE(AQ13:AQ22)</f>
        <v>-0.11852008224209164</v>
      </c>
      <c r="AS24" s="180">
        <f>AVERAGE(AS13:AS22)</f>
        <v>8.8925668877726707E-3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9.7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1.8218750000000001</v>
      </c>
      <c r="Y29" s="18"/>
      <c r="Z29" s="18"/>
      <c r="AA29" s="18"/>
      <c r="AB29" s="18"/>
      <c r="AC29" s="18"/>
      <c r="AD29" s="18"/>
      <c r="AE29" s="213">
        <f>AVERAGE(AE68:AE85)</f>
        <v>2.163125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1.88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1.8</v>
      </c>
      <c r="Y31" s="18"/>
      <c r="Z31" s="18"/>
      <c r="AA31" s="18"/>
      <c r="AB31" s="18"/>
      <c r="AC31" s="18"/>
      <c r="AD31" s="18"/>
      <c r="AE31" s="214">
        <f>MIN(AE68:AE85)</f>
        <v>2.1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9">
        <v>2000</v>
      </c>
      <c r="Y33" s="400"/>
      <c r="Z33" s="401"/>
      <c r="AA33" s="202"/>
      <c r="AB33" s="202"/>
      <c r="AC33" s="202"/>
      <c r="AD33" s="202"/>
      <c r="AE33" s="399">
        <v>2001</v>
      </c>
      <c r="AF33" s="400"/>
      <c r="AG33" s="401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37099</v>
      </c>
      <c r="BA34" s="226">
        <f>+BA5</f>
        <v>37071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[1]!'AKAM.O,LAST,1'</f>
        <v>7.75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9.4156458797327396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4.4642291446673701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-3.2459425717852659E-2</v>
      </c>
      <c r="AN36" s="241"/>
      <c r="AO36" s="131">
        <f t="shared" ref="AO36:AO42" si="9">((+AZ36+E36-BA36)/BA36)</f>
        <v>-0.1311659192825112</v>
      </c>
      <c r="AP36" s="112"/>
      <c r="AQ36" s="135">
        <f t="shared" ref="AQ36:AQ42" si="10">((+BB36+E36-BC36)/BC36)</f>
        <v>-0.63204747774480707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8.01</v>
      </c>
      <c r="BA36" s="140">
        <v>8.92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[1]!'ISLD.O,LAST,1'</f>
        <v>3.39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4.7150253807106601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1.5707891770011275</v>
      </c>
      <c r="AH37" s="239"/>
      <c r="AI37" s="240">
        <v>82.2</v>
      </c>
      <c r="AJ37" s="18"/>
      <c r="AK37" s="167"/>
      <c r="AL37" s="112"/>
      <c r="AM37" s="100">
        <f t="shared" si="8"/>
        <v>2.9585798816568732E-3</v>
      </c>
      <c r="AN37" s="241"/>
      <c r="AO37" s="131">
        <f t="shared" si="9"/>
        <v>-8.7719298245613458E-3</v>
      </c>
      <c r="AP37" s="112"/>
      <c r="AQ37" s="135">
        <f t="shared" si="10"/>
        <v>-0.1655384615384615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3.38</v>
      </c>
      <c r="BA37" s="140">
        <v>3.42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[1]!'INAP.O,LAST,1'</f>
        <v>1.62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3.4937068965517244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1.1908031341821745</v>
      </c>
      <c r="AH38" s="239"/>
      <c r="AI38" s="240">
        <v>150.1</v>
      </c>
      <c r="AJ38" s="18"/>
      <c r="AK38" s="167"/>
      <c r="AL38" s="112"/>
      <c r="AM38" s="100">
        <f t="shared" si="8"/>
        <v>-0.19402985074626852</v>
      </c>
      <c r="AN38" s="241"/>
      <c r="AO38" s="131">
        <f t="shared" si="9"/>
        <v>-0.46885245901639339</v>
      </c>
      <c r="AP38" s="112"/>
      <c r="AQ38" s="135">
        <f t="shared" si="10"/>
        <v>-0.77655172413793105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2.0099999999999998</v>
      </c>
      <c r="BA38" s="140">
        <v>3.05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388" t="str">
        <f>'[2]7-07-00'!$B$33</f>
        <v>WCG</v>
      </c>
      <c r="D39" s="18"/>
      <c r="E39" s="145">
        <f>[1]!'WCG,LAST,1'</f>
        <v>2.2599999999999998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1.3167846502204741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0.12999999999999989</v>
      </c>
      <c r="AN39" s="241"/>
      <c r="AO39" s="131">
        <f t="shared" si="9"/>
        <v>-0.23905723905723919</v>
      </c>
      <c r="AP39" s="112"/>
      <c r="AQ39" s="135">
        <f t="shared" si="10"/>
        <v>-0.80765957446808512</v>
      </c>
      <c r="AS39" s="158">
        <f t="shared" si="11"/>
        <v>0</v>
      </c>
      <c r="AU39" s="198">
        <v>0</v>
      </c>
      <c r="AV39" s="199"/>
      <c r="AW39" s="200"/>
      <c r="AX39" s="36"/>
      <c r="AY39" s="140">
        <v>2</v>
      </c>
      <c r="BA39" s="140">
        <v>2.97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[1]!'LVLT.O,LAST,1'</f>
        <v>4.62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1.4355139240506329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0.84137105549510338</v>
      </c>
      <c r="AH40" s="245"/>
      <c r="AI40" s="240">
        <v>368.2</v>
      </c>
      <c r="AJ40" s="18"/>
      <c r="AK40" s="167"/>
      <c r="AL40" s="112"/>
      <c r="AM40" s="100">
        <f t="shared" si="8"/>
        <v>2.6666666666666689E-2</v>
      </c>
      <c r="AN40" s="241"/>
      <c r="AO40" s="131">
        <f t="shared" si="9"/>
        <v>-0.14285714285714279</v>
      </c>
      <c r="AP40" s="112"/>
      <c r="AQ40" s="135">
        <f t="shared" si="10"/>
        <v>-0.85919999999999996</v>
      </c>
      <c r="AS40" s="158">
        <f t="shared" si="11"/>
        <v>0</v>
      </c>
      <c r="AU40" s="198">
        <v>0</v>
      </c>
      <c r="AV40" s="199"/>
      <c r="AW40" s="200"/>
      <c r="AX40" s="36"/>
      <c r="AY40" s="140">
        <v>4.5</v>
      </c>
      <c r="BA40" s="140">
        <v>5.39</v>
      </c>
      <c r="BC40" s="140">
        <v>32.8125</v>
      </c>
    </row>
    <row r="41" spans="1:55" x14ac:dyDescent="0.2">
      <c r="A41" s="165" t="s">
        <v>105</v>
      </c>
      <c r="B41" s="18"/>
      <c r="C41" s="389" t="s">
        <v>106</v>
      </c>
      <c r="D41" s="18"/>
      <c r="E41" s="145">
        <f>[1]!'GX,LAST,1'</f>
        <v>5.97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1.3967814726840855</v>
      </c>
      <c r="AA41" s="18"/>
      <c r="AB41" s="18"/>
      <c r="AC41" s="18"/>
      <c r="AD41" s="18"/>
      <c r="AE41" s="237">
        <v>6400</v>
      </c>
      <c r="AF41" s="26"/>
      <c r="AG41" s="238">
        <f t="shared" si="13"/>
        <v>0.82693828124999991</v>
      </c>
      <c r="AH41" s="245"/>
      <c r="AI41" s="240">
        <v>886.5</v>
      </c>
      <c r="AJ41" s="18"/>
      <c r="AK41" s="167"/>
      <c r="AL41" s="112"/>
      <c r="AM41" s="100">
        <f t="shared" si="8"/>
        <v>-0.15915492957746477</v>
      </c>
      <c r="AN41" s="241"/>
      <c r="AO41" s="131">
        <f t="shared" si="9"/>
        <v>-0.30982658959537579</v>
      </c>
      <c r="AP41" s="112"/>
      <c r="AQ41" s="135">
        <f t="shared" si="10"/>
        <v>-0.58288209606986907</v>
      </c>
      <c r="AS41" s="158">
        <f t="shared" si="11"/>
        <v>0</v>
      </c>
      <c r="AU41" s="198">
        <v>0</v>
      </c>
      <c r="AV41" s="199"/>
      <c r="AW41" s="200"/>
      <c r="AX41" s="36"/>
      <c r="AY41" s="140">
        <v>7.1</v>
      </c>
      <c r="BA41" s="140">
        <v>8.65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389" t="str">
        <f>'[2]7-07-00'!$B$36</f>
        <v>Q</v>
      </c>
      <c r="D42" s="18"/>
      <c r="E42" s="145">
        <f>[1]!'Q,LAST,1'</f>
        <v>24.4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2.4404406983744726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1.8897507260970707</v>
      </c>
      <c r="AH42" s="245"/>
      <c r="AI42" s="240">
        <v>1661.3</v>
      </c>
      <c r="AJ42" s="18"/>
      <c r="AK42" s="167"/>
      <c r="AL42" s="112"/>
      <c r="AM42" s="100">
        <f t="shared" si="8"/>
        <v>-0.12544802867383514</v>
      </c>
      <c r="AN42" s="241"/>
      <c r="AO42" s="131">
        <f t="shared" si="9"/>
        <v>-0.23438970818951999</v>
      </c>
      <c r="AP42" s="112"/>
      <c r="AQ42" s="135">
        <f t="shared" si="10"/>
        <v>-0.40305810397553521</v>
      </c>
      <c r="AS42" s="158">
        <f t="shared" si="11"/>
        <v>0</v>
      </c>
      <c r="AU42" s="198">
        <v>0</v>
      </c>
      <c r="AV42" s="199"/>
      <c r="AW42" s="200"/>
      <c r="AX42" s="36"/>
      <c r="AY42" s="140">
        <v>27.9</v>
      </c>
      <c r="BA42" s="140">
        <v>31.87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-5.0209569738156809E-2</v>
      </c>
      <c r="AN44" s="188" t="e">
        <f>AVERAGE(AN36:AN42)</f>
        <v>#DIV/0!</v>
      </c>
      <c r="AO44" s="188">
        <f>AVERAGE(AO36:AO42)</f>
        <v>-0.21927442683182052</v>
      </c>
      <c r="AP44" s="258"/>
      <c r="AQ44" s="189">
        <f>AVERAGE(AQ36:AQ42)</f>
        <v>-0.60384820541924122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6">
        <v>2001</v>
      </c>
      <c r="Y46" s="397"/>
      <c r="Z46" s="398"/>
      <c r="AA46" s="264"/>
      <c r="AB46" s="264"/>
      <c r="AC46" s="264"/>
      <c r="AD46" s="264"/>
      <c r="AE46" s="396">
        <v>2002</v>
      </c>
      <c r="AF46" s="397"/>
      <c r="AG46" s="398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/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[1]!'NPW,LAST,1'</f>
        <v>7.36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-3.72</v>
      </c>
      <c r="Y49" s="283"/>
      <c r="Z49" s="284" t="s">
        <v>76</v>
      </c>
      <c r="AA49" s="95"/>
      <c r="AB49" s="95"/>
      <c r="AC49" s="95"/>
      <c r="AD49" s="95"/>
      <c r="AE49" s="282">
        <v>-1.45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5.1428571428571476E-2</v>
      </c>
      <c r="AN49" s="187"/>
      <c r="AO49" s="187">
        <f>((+AZ49+E49-BA49)/BA49)</f>
        <v>-0.18222222222222217</v>
      </c>
      <c r="AP49" s="187"/>
      <c r="AQ49" s="286">
        <f>((+BB49+E49-BC49)/BC49)</f>
        <v>-0.24993630573248404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7</v>
      </c>
      <c r="AZ49" s="291"/>
      <c r="BA49" s="292">
        <v>9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3">
        <v>2000</v>
      </c>
      <c r="AT66" s="394"/>
      <c r="AU66" s="395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1.8</v>
      </c>
      <c r="Y68" s="316"/>
      <c r="Z68" s="306"/>
      <c r="AA68" s="306"/>
      <c r="AB68" s="306"/>
      <c r="AC68" s="306"/>
      <c r="AD68" s="306"/>
      <c r="AE68" s="317">
        <v>2.1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1.8</v>
      </c>
      <c r="Y69" s="318"/>
      <c r="Z69" s="306"/>
      <c r="AA69" s="306"/>
      <c r="AB69" s="306"/>
      <c r="AC69" s="306"/>
      <c r="AD69" s="306"/>
      <c r="AE69" s="319">
        <v>2.15</v>
      </c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/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1.85</v>
      </c>
      <c r="Y71" s="318"/>
      <c r="Z71" s="306"/>
      <c r="AA71" s="306"/>
      <c r="AB71" s="306"/>
      <c r="AC71" s="306"/>
      <c r="AD71" s="306"/>
      <c r="AE71" s="319">
        <v>2.15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1.8</v>
      </c>
      <c r="Y72" s="318"/>
      <c r="Z72" s="306"/>
      <c r="AA72" s="306"/>
      <c r="AB72" s="306"/>
      <c r="AC72" s="306"/>
      <c r="AD72" s="306"/>
      <c r="AE72" s="319">
        <v>2.15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1.85</v>
      </c>
      <c r="Y75" s="318"/>
      <c r="Z75" s="322"/>
      <c r="AA75" s="322"/>
      <c r="AB75" s="322"/>
      <c r="AC75" s="322"/>
      <c r="AD75" s="322"/>
      <c r="AE75" s="319">
        <v>2.2000000000000002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1.85</v>
      </c>
      <c r="Y76" s="318"/>
      <c r="Z76" s="324"/>
      <c r="AA76" s="324"/>
      <c r="AB76" s="324"/>
      <c r="AC76" s="324"/>
      <c r="AD76" s="324"/>
      <c r="AE76" s="319">
        <v>2.25</v>
      </c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1.84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1.82</v>
      </c>
      <c r="Y78" s="318"/>
      <c r="Z78" s="324"/>
      <c r="AA78" s="324">
        <v>0</v>
      </c>
      <c r="AB78" s="324"/>
      <c r="AC78" s="324"/>
      <c r="AD78" s="324"/>
      <c r="AE78" s="319">
        <v>2.17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1.82</v>
      </c>
      <c r="Y79" s="318"/>
      <c r="Z79" s="324"/>
      <c r="AA79" s="324"/>
      <c r="AB79" s="324"/>
      <c r="AC79" s="324"/>
      <c r="AD79" s="324"/>
      <c r="AE79" s="319">
        <v>2.1800000000000002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1.82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1.82</v>
      </c>
      <c r="Y82" s="318"/>
      <c r="Z82" s="322"/>
      <c r="AA82" s="322"/>
      <c r="AB82" s="322"/>
      <c r="AC82" s="322"/>
      <c r="AD82" s="322"/>
      <c r="AE82" s="319">
        <v>2.12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2.15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 t="s">
        <v>129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1.88</v>
      </c>
      <c r="Y84" s="318"/>
      <c r="Z84" s="322"/>
      <c r="AA84" s="322"/>
      <c r="AB84" s="322"/>
      <c r="AC84" s="322"/>
      <c r="AD84" s="322"/>
      <c r="AE84" s="319">
        <v>2.15</v>
      </c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/>
      <c r="Y85" s="318"/>
      <c r="Z85" s="322"/>
      <c r="AA85" s="322"/>
      <c r="AB85" s="322"/>
      <c r="AC85" s="322"/>
      <c r="AD85" s="322"/>
      <c r="AE85" s="319"/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2.15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1.8205882352941178</v>
      </c>
      <c r="Y88" s="341"/>
      <c r="Z88" s="339"/>
      <c r="AA88" s="339"/>
      <c r="AB88" s="339"/>
      <c r="AC88" s="339"/>
      <c r="AD88" s="339"/>
      <c r="AE88" s="342">
        <f>AVERAGE(AE68:AE86)</f>
        <v>2.1623529411764704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1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2001-08-03T20:26:45Z</cp:lastPrinted>
  <dcterms:created xsi:type="dcterms:W3CDTF">1997-07-25T21:14:12Z</dcterms:created>
  <dcterms:modified xsi:type="dcterms:W3CDTF">2023-09-17T16:42:00Z</dcterms:modified>
</cp:coreProperties>
</file>