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27902A-2121-40B1-83ED-5E614BA14856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'MLP''s'!$A:$C,'MLP''s'!$1:$9</definedName>
    <definedName name="report">'MLP''s'!$C$10:$U$34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I26" i="1"/>
  <c r="K26" i="1"/>
  <c r="M26" i="1"/>
  <c r="O26" i="1"/>
  <c r="Q26" i="1"/>
  <c r="S26" i="1"/>
  <c r="U26" i="1"/>
  <c r="AK27" i="1"/>
  <c r="AL27" i="1"/>
  <c r="AM27" i="1"/>
  <c r="AN27" i="1"/>
  <c r="M28" i="1"/>
  <c r="Q28" i="1"/>
  <c r="S28" i="1"/>
  <c r="U28" i="1"/>
  <c r="E38" i="1"/>
  <c r="I38" i="1"/>
  <c r="K38" i="1"/>
  <c r="M38" i="1"/>
  <c r="Q38" i="1"/>
  <c r="S38" i="1"/>
  <c r="U38" i="1"/>
  <c r="E39" i="1"/>
  <c r="I39" i="1"/>
  <c r="K39" i="1"/>
  <c r="M39" i="1"/>
  <c r="Q39" i="1"/>
  <c r="S39" i="1"/>
  <c r="U39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<sst xmlns="http://schemas.openxmlformats.org/spreadsheetml/2006/main" count="187" uniqueCount="129">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</sst>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73" fontId="17" fillId="0" borderId="22" xfId="2" applyNumberFormat="1" applyFont="1" applyFill="1" applyBorder="1" applyAlignment="1">
      <alignment horizontal="center"/>
    </xf>
    <xf numFmtId="186" fontId="25" fillId="0" borderId="6" xfId="2" applyNumberFormat="1" applyFont="1" applyFill="1" applyBorder="1" applyAlignment="1" applyProtection="1">
      <alignment horizontal="center"/>
    </xf>
    <xf numFmtId="186" fontId="25" fillId="0" borderId="6" xfId="2" applyNumberFormat="1" applyFont="1" applyFill="1" applyBorder="1" applyAlignment="1">
      <alignment horizontal="center"/>
    </xf>
    <xf numFmtId="186" fontId="25" fillId="0" borderId="5" xfId="2" applyNumberFormat="1" applyFont="1" applyFill="1" applyBorder="1" applyAlignment="1">
      <alignment horizontal="center"/>
    </xf>
    <xf numFmtId="186" fontId="25" fillId="0" borderId="1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24.75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37.049999999999997</val>
          </value>
        </values>
      </ddeItem>
      <ddeItem name="BPL,DIVIDEND">
        <values>
          <value>
            <val>2.5</val>
          </value>
        </values>
      </ddeItem>
      <ddeItem name="EOT">
        <values>
          <value>
            <val>19.649999999999999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34.4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19.09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5.14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71.05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37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45.43</val>
          </value>
        </values>
      </ddeItem>
      <ddeItem name="LHP,DIVIDEND">
        <values>
          <value>
            <val>3.5</val>
          </value>
        </values>
      </ddeItem>
      <ddeItem name="NBP" advise="1">
        <values>
          <value>
            <val>38.9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26</val>
          </value>
        </values>
      </ddeItem>
      <ddeItem name="PAA,DIVIDEND" advise="1">
        <values>
          <value>
            <val>2</val>
          </value>
        </values>
      </ddeItem>
      <ddeItem name="TCLPZ.O" advise="1">
        <values>
          <value>
            <val>24.1</val>
          </value>
        </values>
      </ddeItem>
      <ddeItem name="TCLPZ.O,DIVIDEND" advise="1">
        <values>
          <value>
            <val>2</val>
          </value>
        </values>
      </ddeItem>
      <ddeItem name="TPP">
        <values>
          <value>
            <val>31.14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32.450000000000003</val>
          </value>
        </values>
      </ddeItem>
      <ddeItem name="WEG">
        <values>
          <value>
            <val>31.85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7.44140625" style="22" customWidth="1"/>
    <col min="37" max="37" width="15" style="22" customWidth="1"/>
    <col min="38" max="38" width="10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4" customFormat="1" ht="23.25" x14ac:dyDescent="0.35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3.25" x14ac:dyDescent="0.35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37099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3.25" x14ac:dyDescent="0.35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3.25" x14ac:dyDescent="0.35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3.25" x14ac:dyDescent="0.35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3.25" x14ac:dyDescent="0.35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37092</v>
      </c>
      <c r="AH6" s="299" t="s">
        <v>81</v>
      </c>
      <c r="AI6" s="171">
        <v>37071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25" x14ac:dyDescent="0.35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3.25" x14ac:dyDescent="0.35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4" thickBot="1" x14ac:dyDescent="0.4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367"/>
      <c r="AH9" s="199"/>
      <c r="AI9" s="367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3.25" x14ac:dyDescent="0.35">
      <c r="A10" s="204" t="s">
        <v>35</v>
      </c>
      <c r="B10" s="205"/>
      <c r="C10" s="206" t="s">
        <v>36</v>
      </c>
      <c r="D10" s="205"/>
      <c r="E10" s="207">
        <f>[1]!NBP</f>
        <v>38.9</v>
      </c>
      <c r="F10" s="208"/>
      <c r="G10" s="207">
        <f>[1]!'NBP,DIVIDEND'</f>
        <v>3.05</v>
      </c>
      <c r="H10" s="209"/>
      <c r="I10" s="210">
        <f>+G10/E10</f>
        <v>7.8406169665809766E-2</v>
      </c>
      <c r="J10" s="210"/>
      <c r="K10" s="211">
        <f>(+I10-E$28)*10000</f>
        <v>229.21169665809768</v>
      </c>
      <c r="L10" s="206"/>
      <c r="M10" s="210">
        <f>(I10*AA10)+((I10*(1-AA10))*(1-0.3))</f>
        <v>7.7230077120822624E-2</v>
      </c>
      <c r="N10" s="206"/>
      <c r="O10" s="212">
        <f>+G10/Z10</f>
        <v>1.0854092526690393</v>
      </c>
      <c r="P10" s="213"/>
      <c r="Q10" s="212">
        <f>(AF10+$E10-AG10)/AG10</f>
        <v>2.5910010111223243E-3</v>
      </c>
      <c r="R10" s="213"/>
      <c r="S10" s="212">
        <f>(AH10+$E10-AI10)/AI10</f>
        <v>4.5676245715792291E-2</v>
      </c>
      <c r="T10" s="209"/>
      <c r="U10" s="214">
        <f>(AJ10+$E10-AK10)/AK10</f>
        <v>0.28647011952191231</v>
      </c>
      <c r="V10" s="215"/>
      <c r="W10" s="130"/>
      <c r="X10" s="149"/>
      <c r="Y10" s="323">
        <f>G58</f>
        <v>2.5336363636363637</v>
      </c>
      <c r="Z10" s="324">
        <f>I58</f>
        <v>2.8099999999999996</v>
      </c>
      <c r="AA10" s="216">
        <v>0.95</v>
      </c>
      <c r="AB10" s="217"/>
      <c r="AC10" s="77"/>
      <c r="AD10" s="218">
        <v>37099</v>
      </c>
      <c r="AE10" s="368">
        <v>0.76249999999999996</v>
      </c>
      <c r="AF10" s="368">
        <v>0.76249999999999996</v>
      </c>
      <c r="AG10" s="236">
        <v>39.56</v>
      </c>
      <c r="AH10" s="368">
        <v>0.76249999999999996</v>
      </c>
      <c r="AI10" s="236">
        <v>37.93</v>
      </c>
      <c r="AJ10" s="220">
        <f>0.7+0.763</f>
        <v>1.4630000000000001</v>
      </c>
      <c r="AK10" s="219">
        <v>31.375</v>
      </c>
      <c r="AL10" s="321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4" thickBot="1" x14ac:dyDescent="0.4">
      <c r="A11" s="225" t="s">
        <v>37</v>
      </c>
      <c r="B11" s="226"/>
      <c r="C11" s="227" t="s">
        <v>38</v>
      </c>
      <c r="D11" s="226"/>
      <c r="E11" s="228">
        <f>[1]!EOT</f>
        <v>19.649999999999999</v>
      </c>
      <c r="F11" s="229"/>
      <c r="G11" s="228">
        <f>[1]!'EOT,DIVIDEND'</f>
        <v>1.9</v>
      </c>
      <c r="H11" s="230"/>
      <c r="I11" s="231">
        <f>+G11/E11</f>
        <v>9.6692111959287536E-2</v>
      </c>
      <c r="J11" s="231"/>
      <c r="K11" s="232">
        <f>(+I11-E$28)*10000</f>
        <v>412.07111959287533</v>
      </c>
      <c r="L11" s="227"/>
      <c r="M11" s="231">
        <f>(I11*AA11)+((I11*(1-AA11))*(1-0.3))</f>
        <v>9.5241730279898226E-2</v>
      </c>
      <c r="N11" s="227"/>
      <c r="O11" s="233">
        <f>+G11/Z11</f>
        <v>2.8787878787878789</v>
      </c>
      <c r="P11" s="234"/>
      <c r="Q11" s="233">
        <f>(AF11+$E11-AG11)/AG11</f>
        <v>6.2005277044854923E-2</v>
      </c>
      <c r="R11" s="234"/>
      <c r="S11" s="233">
        <f>(AH11+$E11-AI11)/AI11</f>
        <v>9.3750000000000083E-2</v>
      </c>
      <c r="T11" s="230"/>
      <c r="U11" s="235">
        <f>(AJ11+E11-AK11)/AK11</f>
        <v>0.25801526717557238</v>
      </c>
      <c r="V11" s="215"/>
      <c r="W11" s="130"/>
      <c r="X11" s="149"/>
      <c r="Y11" s="323">
        <f>S58</f>
        <v>0.624</v>
      </c>
      <c r="Z11" s="324">
        <f>U58</f>
        <v>0.65999999999999992</v>
      </c>
      <c r="AA11" s="216">
        <v>0.95</v>
      </c>
      <c r="AB11" s="217"/>
      <c r="AD11" s="218">
        <v>37099</v>
      </c>
      <c r="AE11" s="368">
        <v>0.47499999999999998</v>
      </c>
      <c r="AF11" s="368">
        <v>0.47499999999999998</v>
      </c>
      <c r="AG11" s="228">
        <v>18.95</v>
      </c>
      <c r="AH11" s="368">
        <v>0.47499999999999998</v>
      </c>
      <c r="AI11" s="228">
        <v>18.399999999999999</v>
      </c>
      <c r="AJ11" s="220">
        <f>0.475*2</f>
        <v>0.95</v>
      </c>
      <c r="AK11" s="219">
        <v>16.375</v>
      </c>
      <c r="AL11" s="321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3.25" x14ac:dyDescent="0.35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3"/>
      <c r="Z12" s="324"/>
      <c r="AA12" s="216"/>
      <c r="AB12" s="217"/>
      <c r="AC12" s="77"/>
      <c r="AD12" s="241"/>
      <c r="AE12" s="368"/>
      <c r="AF12" s="220"/>
      <c r="AG12" s="236"/>
      <c r="AH12" s="220"/>
      <c r="AI12" s="236"/>
      <c r="AJ12" s="220"/>
      <c r="AK12" s="219"/>
      <c r="AL12" s="321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25" x14ac:dyDescent="0.35">
      <c r="A13" s="126" t="s">
        <v>72</v>
      </c>
      <c r="B13" s="77"/>
      <c r="C13" s="143" t="s">
        <v>39</v>
      </c>
      <c r="D13" s="77"/>
      <c r="E13" s="236">
        <f>[1]!APU</f>
        <v>24.75</v>
      </c>
      <c r="F13" s="237"/>
      <c r="G13" s="236">
        <f>[1]!'APU,DIVIDEND'</f>
        <v>2.2000000000000002</v>
      </c>
      <c r="H13" s="108"/>
      <c r="I13" s="178">
        <f t="shared" ref="I13:I24" si="0">+G13/E13</f>
        <v>8.8888888888888892E-2</v>
      </c>
      <c r="J13" s="178"/>
      <c r="K13" s="243">
        <f t="shared" ref="K13:K24" si="1">(+I13-E$28)*10000</f>
        <v>334.03888888888895</v>
      </c>
      <c r="L13" s="106"/>
      <c r="M13" s="178">
        <f t="shared" ref="M13:M24" si="2">(I13*AA13)+((I13*(1-AA13))*(1-0.3))</f>
        <v>8.0888888888888885E-2</v>
      </c>
      <c r="N13" s="106"/>
      <c r="O13" s="165">
        <f>+G13/Y13</f>
        <v>2</v>
      </c>
      <c r="P13" s="239"/>
      <c r="Q13" s="165">
        <f t="shared" ref="Q13:Q24" si="3">(AF13+$E13-AG13)/AG13</f>
        <v>2.9106029106029076E-2</v>
      </c>
      <c r="R13" s="239"/>
      <c r="S13" s="165">
        <f t="shared" ref="S13:S24" si="4">(AH13+$E13-AI13)/AI13</f>
        <v>6.4516129032258063E-2</v>
      </c>
      <c r="T13" s="108"/>
      <c r="U13" s="244">
        <f>(AJ13+E13-AK13)/AK13</f>
        <v>0.55488721804511287</v>
      </c>
      <c r="V13" s="215"/>
      <c r="W13" s="130"/>
      <c r="X13" s="149"/>
      <c r="Y13" s="323">
        <v>1.1000000000000001</v>
      </c>
      <c r="Z13" s="324">
        <v>1.1499999999999999</v>
      </c>
      <c r="AA13" s="216">
        <v>0.7</v>
      </c>
      <c r="AB13" s="245"/>
      <c r="AC13" s="77"/>
      <c r="AD13" s="218">
        <v>37107</v>
      </c>
      <c r="AE13" s="368">
        <v>0.55000000000000004</v>
      </c>
      <c r="AF13" s="328"/>
      <c r="AG13" s="236">
        <v>24.05</v>
      </c>
      <c r="AH13" s="328"/>
      <c r="AI13" s="236">
        <v>23.25</v>
      </c>
      <c r="AJ13" s="328">
        <f>0.55*2</f>
        <v>1.1000000000000001</v>
      </c>
      <c r="AK13" s="219">
        <v>16.625</v>
      </c>
      <c r="AL13" s="321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3.25" x14ac:dyDescent="0.35">
      <c r="A14" s="126" t="s">
        <v>40</v>
      </c>
      <c r="B14" s="77"/>
      <c r="C14" s="143" t="s">
        <v>41</v>
      </c>
      <c r="D14" s="77"/>
      <c r="E14" s="236">
        <f>[1]!BPL</f>
        <v>37.049999999999997</v>
      </c>
      <c r="F14" s="237"/>
      <c r="G14" s="236">
        <f>[1]!'BPL,DIVIDEND'</f>
        <v>2.5</v>
      </c>
      <c r="H14" s="108"/>
      <c r="I14" s="178">
        <f t="shared" si="0"/>
        <v>6.7476383265856948E-2</v>
      </c>
      <c r="J14" s="178"/>
      <c r="K14" s="243">
        <f t="shared" si="1"/>
        <v>119.91383265856949</v>
      </c>
      <c r="L14" s="106"/>
      <c r="M14" s="178">
        <f t="shared" si="2"/>
        <v>6.2415654520917678E-2</v>
      </c>
      <c r="N14" s="106"/>
      <c r="O14" s="165">
        <f t="shared" ref="O14:O24" si="5">+G14/Z14</f>
        <v>0.9765625</v>
      </c>
      <c r="P14" s="239"/>
      <c r="Q14" s="165">
        <f t="shared" si="3"/>
        <v>2.4350649350648348E-3</v>
      </c>
      <c r="R14" s="239"/>
      <c r="S14" s="165">
        <f t="shared" si="4"/>
        <v>7.3290845886442468E-2</v>
      </c>
      <c r="T14" s="108"/>
      <c r="U14" s="244">
        <f t="shared" ref="U14:U24" si="6">(AJ14+E14-AK14)/AK14</f>
        <v>0.32467532467532467</v>
      </c>
      <c r="V14" s="215"/>
      <c r="W14" s="130"/>
      <c r="X14" s="149"/>
      <c r="Y14" s="323">
        <v>2.4300000000000002</v>
      </c>
      <c r="Z14" s="324">
        <v>2.56</v>
      </c>
      <c r="AA14" s="216">
        <v>0.75</v>
      </c>
      <c r="AB14" s="217"/>
      <c r="AC14" s="77"/>
      <c r="AD14" s="218">
        <v>37105</v>
      </c>
      <c r="AE14" s="368">
        <v>0.625</v>
      </c>
      <c r="AF14" s="220"/>
      <c r="AG14" s="236">
        <v>36.96</v>
      </c>
      <c r="AH14" s="220"/>
      <c r="AI14" s="236">
        <v>34.520000000000003</v>
      </c>
      <c r="AJ14" s="220">
        <f>0.6*2</f>
        <v>1.2</v>
      </c>
      <c r="AK14" s="219">
        <v>28.875</v>
      </c>
      <c r="AL14" s="321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3.25" x14ac:dyDescent="0.35">
      <c r="A15" s="126" t="s">
        <v>99</v>
      </c>
      <c r="B15" s="77"/>
      <c r="C15" s="143" t="s">
        <v>100</v>
      </c>
      <c r="D15" s="77"/>
      <c r="E15" s="236">
        <f>[1]!EPN</f>
        <v>34.4</v>
      </c>
      <c r="F15" s="237"/>
      <c r="G15" s="236">
        <f>[1]!'EPN,DIVIDEND'</f>
        <v>2.2999999999999998</v>
      </c>
      <c r="H15" s="108"/>
      <c r="I15" s="178">
        <f t="shared" si="0"/>
        <v>6.6860465116279064E-2</v>
      </c>
      <c r="J15" s="178"/>
      <c r="K15" s="243">
        <f t="shared" si="1"/>
        <v>113.75465116279064</v>
      </c>
      <c r="L15" s="106"/>
      <c r="M15" s="178">
        <f>(I15*AA15)+((I15*(1-AA15))*(1-0.3))</f>
        <v>6.6058139534883722E-2</v>
      </c>
      <c r="N15" s="106"/>
      <c r="O15" s="165">
        <f>+G15/Z15</f>
        <v>4.6938775510204076</v>
      </c>
      <c r="P15" s="239"/>
      <c r="Q15" s="165">
        <f>(AF15+$E15-AG15)/AG15</f>
        <v>1.5829218704618116E-2</v>
      </c>
      <c r="R15" s="239"/>
      <c r="S15" s="165">
        <f>(AH15+$E15-AI15)/AI15</f>
        <v>0.11102287166454895</v>
      </c>
      <c r="T15" s="108"/>
      <c r="U15" s="244">
        <f t="shared" si="6"/>
        <v>0.29476082004555804</v>
      </c>
      <c r="V15" s="251"/>
      <c r="W15" s="130"/>
      <c r="X15" s="149"/>
      <c r="Y15" s="325">
        <v>0.24</v>
      </c>
      <c r="Z15" s="326">
        <v>0.49</v>
      </c>
      <c r="AA15" s="252">
        <v>0.96</v>
      </c>
      <c r="AB15" s="254"/>
      <c r="AC15" s="77"/>
      <c r="AD15" s="218">
        <v>37099</v>
      </c>
      <c r="AE15" s="369">
        <v>0.57499999999999996</v>
      </c>
      <c r="AF15" s="372">
        <v>0.57499999999999996</v>
      </c>
      <c r="AG15" s="236">
        <v>34.43</v>
      </c>
      <c r="AH15" s="372">
        <v>0.57499999999999996</v>
      </c>
      <c r="AI15" s="236">
        <v>31.48</v>
      </c>
      <c r="AJ15" s="250">
        <f>0.55+0.575</f>
        <v>1.125</v>
      </c>
      <c r="AK15" s="249">
        <v>27.4375</v>
      </c>
      <c r="AL15" s="322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3.25" x14ac:dyDescent="0.35">
      <c r="A16" s="126" t="s">
        <v>126</v>
      </c>
      <c r="B16" s="77"/>
      <c r="C16" s="143" t="s">
        <v>127</v>
      </c>
      <c r="D16" s="77"/>
      <c r="E16" s="236">
        <v>38.5</v>
      </c>
      <c r="F16" s="237"/>
      <c r="G16" s="236">
        <v>2.2000000000000002</v>
      </c>
      <c r="H16" s="108"/>
      <c r="I16" s="178">
        <f t="shared" si="0"/>
        <v>5.7142857142857148E-2</v>
      </c>
      <c r="J16" s="178"/>
      <c r="K16" s="243">
        <f>(+I16-E$28)*10000</f>
        <v>16.578571428571482</v>
      </c>
      <c r="L16" s="106"/>
      <c r="M16" s="178">
        <f>(I16*AA16)+((I16*(1-AA16))*(1-0.3))</f>
        <v>0.04</v>
      </c>
      <c r="N16" s="106"/>
      <c r="O16" s="165">
        <f>+G16/Z16</f>
        <v>0.89795918367346939</v>
      </c>
      <c r="P16" s="239"/>
      <c r="Q16" s="165">
        <f>(AF16+$E16-AG16)/AG16</f>
        <v>1.5259740259740223E-2</v>
      </c>
      <c r="R16" s="239"/>
      <c r="S16" s="165">
        <f>(AH16+$E16-AI16)/AI16</f>
        <v>1.5259740259740223E-2</v>
      </c>
      <c r="T16" s="108"/>
      <c r="U16" s="244">
        <f>(AJ16+E16-AK16)/AK16</f>
        <v>0.25964214711729627</v>
      </c>
      <c r="V16" s="251"/>
      <c r="W16" s="130"/>
      <c r="X16" s="149"/>
      <c r="Y16" s="325">
        <v>2.23</v>
      </c>
      <c r="Z16" s="326">
        <v>2.4500000000000002</v>
      </c>
      <c r="AA16" s="252"/>
      <c r="AB16" s="254"/>
      <c r="AC16" s="77"/>
      <c r="AD16" s="218">
        <v>37099</v>
      </c>
      <c r="AE16" s="369">
        <v>0.58750000000000002</v>
      </c>
      <c r="AF16" s="372">
        <v>0.58750000000000002</v>
      </c>
      <c r="AG16" s="236">
        <v>38.5</v>
      </c>
      <c r="AH16" s="372">
        <v>0.58750000000000002</v>
      </c>
      <c r="AI16" s="236">
        <v>38.5</v>
      </c>
      <c r="AJ16" s="250">
        <f>0.55*2</f>
        <v>1.1000000000000001</v>
      </c>
      <c r="AK16" s="249">
        <v>31.4375</v>
      </c>
      <c r="AL16" s="322">
        <f>0.525+0.525+0.5+0.5</f>
        <v>2.0499999999999998</v>
      </c>
      <c r="AM16" s="249">
        <v>18.4375</v>
      </c>
      <c r="AN16" s="250">
        <f>0.45+0.45+0.45+0.45</f>
        <v>1.8</v>
      </c>
      <c r="AO16" s="249">
        <v>14.875</v>
      </c>
      <c r="AP16" s="222">
        <v>0.32</v>
      </c>
      <c r="AQ16" s="300" t="s">
        <v>117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6.25" x14ac:dyDescent="0.35">
      <c r="A17" s="126" t="s">
        <v>73</v>
      </c>
      <c r="B17" s="77"/>
      <c r="C17" s="143" t="s">
        <v>42</v>
      </c>
      <c r="D17" s="77"/>
      <c r="E17" s="236">
        <f>[1]!FGP</f>
        <v>19.09</v>
      </c>
      <c r="F17" s="237"/>
      <c r="G17" s="236">
        <f>[1]!'FGP,DIVIDEND'</f>
        <v>2</v>
      </c>
      <c r="H17" s="108"/>
      <c r="I17" s="178">
        <f t="shared" si="0"/>
        <v>0.10476689366160294</v>
      </c>
      <c r="J17" s="178"/>
      <c r="K17" s="243">
        <f t="shared" si="1"/>
        <v>492.81893661602942</v>
      </c>
      <c r="L17" s="106"/>
      <c r="M17" s="178">
        <f t="shared" si="2"/>
        <v>0.10413829229963333</v>
      </c>
      <c r="N17" s="106"/>
      <c r="O17" s="165">
        <f t="shared" si="5"/>
        <v>1.9607843137254901</v>
      </c>
      <c r="P17" s="248"/>
      <c r="Q17" s="165">
        <f t="shared" si="3"/>
        <v>4.7368421052631504E-3</v>
      </c>
      <c r="R17" s="248"/>
      <c r="S17" s="165">
        <f t="shared" si="4"/>
        <v>-1.3436692506460029E-2</v>
      </c>
      <c r="T17" s="108"/>
      <c r="U17" s="244">
        <f t="shared" si="6"/>
        <v>0.52341232227488155</v>
      </c>
      <c r="V17" s="215"/>
      <c r="W17" s="130"/>
      <c r="X17" s="149"/>
      <c r="Y17" s="323">
        <v>1.19</v>
      </c>
      <c r="Z17" s="324">
        <v>1.02</v>
      </c>
      <c r="AA17" s="216">
        <v>0.98</v>
      </c>
      <c r="AB17" s="217"/>
      <c r="AC17" s="77"/>
      <c r="AD17" s="218">
        <v>37133</v>
      </c>
      <c r="AE17" s="368">
        <v>0.5</v>
      </c>
      <c r="AF17" s="220"/>
      <c r="AG17" s="236">
        <v>19</v>
      </c>
      <c r="AH17" s="220"/>
      <c r="AI17" s="236">
        <v>19.350000000000001</v>
      </c>
      <c r="AJ17" s="220">
        <f>0.5*2</f>
        <v>1</v>
      </c>
      <c r="AK17" s="219">
        <v>13.1875</v>
      </c>
      <c r="AL17" s="321">
        <f>0.5+0.5+0.5+0.5</f>
        <v>2</v>
      </c>
      <c r="AM17" s="219">
        <v>12.625</v>
      </c>
      <c r="AN17" s="220">
        <f>0.5*4</f>
        <v>2</v>
      </c>
      <c r="AO17" s="219">
        <v>17.25</v>
      </c>
      <c r="AP17" s="222">
        <f>0.5+0.5+0.5+0.5</f>
        <v>2</v>
      </c>
      <c r="AQ17" s="246">
        <v>22.375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3.25" x14ac:dyDescent="0.35">
      <c r="A18" s="126" t="s">
        <v>108</v>
      </c>
      <c r="B18" s="77"/>
      <c r="C18" s="143" t="s">
        <v>43</v>
      </c>
      <c r="D18" s="77"/>
      <c r="E18" s="236">
        <f>[1]!GEL.A</f>
        <v>5.14</v>
      </c>
      <c r="F18" s="237"/>
      <c r="G18" s="236">
        <f>[1]!'GEL.A,DIVIDEND'</f>
        <v>0.8</v>
      </c>
      <c r="H18" s="327" t="s">
        <v>111</v>
      </c>
      <c r="I18" s="178">
        <f t="shared" si="0"/>
        <v>0.15564202334630353</v>
      </c>
      <c r="J18" s="178"/>
      <c r="K18" s="243">
        <f t="shared" si="1"/>
        <v>1001.5702334630353</v>
      </c>
      <c r="L18" s="106"/>
      <c r="M18" s="178">
        <f t="shared" si="2"/>
        <v>0.15564202334630353</v>
      </c>
      <c r="N18" s="106"/>
      <c r="O18" s="165" t="s">
        <v>117</v>
      </c>
      <c r="P18" s="239"/>
      <c r="Q18" s="165">
        <f t="shared" si="3"/>
        <v>9.4517958412097969E-3</v>
      </c>
      <c r="R18" s="239"/>
      <c r="S18" s="165">
        <f t="shared" si="4"/>
        <v>0.24186046511627909</v>
      </c>
      <c r="T18" s="108"/>
      <c r="U18" s="244">
        <f t="shared" si="6"/>
        <v>0.52827586206896548</v>
      </c>
      <c r="V18" s="215"/>
      <c r="W18" s="130"/>
      <c r="X18" s="149"/>
      <c r="Y18" s="323">
        <v>0.1</v>
      </c>
      <c r="Z18" s="324">
        <v>0.15</v>
      </c>
      <c r="AA18" s="216">
        <v>1</v>
      </c>
      <c r="AB18" s="217"/>
      <c r="AC18" s="77"/>
      <c r="AD18" s="218">
        <v>37099</v>
      </c>
      <c r="AE18" s="369">
        <v>0.2</v>
      </c>
      <c r="AF18" s="372">
        <v>0.2</v>
      </c>
      <c r="AG18" s="236">
        <v>5.29</v>
      </c>
      <c r="AH18" s="372">
        <v>0.2</v>
      </c>
      <c r="AI18" s="236">
        <v>4.3</v>
      </c>
      <c r="AJ18" s="250">
        <f>0.2*2</f>
        <v>0.4</v>
      </c>
      <c r="AK18" s="249">
        <v>3.625</v>
      </c>
      <c r="AL18" s="322">
        <f>0.5*4+0.28</f>
        <v>2.2800000000000002</v>
      </c>
      <c r="AM18" s="249">
        <v>8.0625</v>
      </c>
      <c r="AN18" s="250">
        <f>0.5*4</f>
        <v>2</v>
      </c>
      <c r="AO18" s="249">
        <v>14.4375</v>
      </c>
      <c r="AP18" s="296">
        <f>0.5+0.5+0.5+0.5</f>
        <v>2</v>
      </c>
      <c r="AQ18" s="246">
        <v>16.375</v>
      </c>
      <c r="AR18" s="200"/>
      <c r="AS18" s="201"/>
      <c r="AT18" s="83"/>
      <c r="AU18" s="201"/>
      <c r="AV18" s="201"/>
      <c r="AW18" s="83"/>
      <c r="AX18" s="223"/>
      <c r="AY18" s="224"/>
    </row>
    <row r="19" spans="1:54" s="84" customFormat="1" ht="23.25" x14ac:dyDescent="0.35">
      <c r="A19" s="126" t="s">
        <v>44</v>
      </c>
      <c r="B19" s="77"/>
      <c r="C19" s="143" t="s">
        <v>45</v>
      </c>
      <c r="D19" s="77"/>
      <c r="E19" s="236">
        <f>[1]!KPP</f>
        <v>37</v>
      </c>
      <c r="F19" s="237"/>
      <c r="G19" s="236">
        <f>[1]!'KPP,DIVIDEND'</f>
        <v>2.8</v>
      </c>
      <c r="H19" s="108"/>
      <c r="I19" s="178">
        <f t="shared" si="0"/>
        <v>7.5675675675675666E-2</v>
      </c>
      <c r="J19" s="178"/>
      <c r="K19" s="243">
        <f t="shared" si="1"/>
        <v>201.90675675675666</v>
      </c>
      <c r="L19" s="106"/>
      <c r="M19" s="178">
        <f t="shared" si="2"/>
        <v>7.1135135135135127E-2</v>
      </c>
      <c r="N19" s="106"/>
      <c r="O19" s="165">
        <f t="shared" si="5"/>
        <v>1.021897810218978</v>
      </c>
      <c r="P19" s="239"/>
      <c r="Q19" s="165">
        <f t="shared" si="3"/>
        <v>-3.1595170819419392E-2</v>
      </c>
      <c r="R19" s="239"/>
      <c r="S19" s="165">
        <f t="shared" si="4"/>
        <v>5.2484645449469639E-2</v>
      </c>
      <c r="T19" s="108"/>
      <c r="U19" s="244">
        <f t="shared" si="6"/>
        <v>0.22352941176470598</v>
      </c>
      <c r="V19" s="251"/>
      <c r="W19" s="130"/>
      <c r="X19" s="149"/>
      <c r="Y19" s="323">
        <v>2.67</v>
      </c>
      <c r="Z19" s="324">
        <v>2.74</v>
      </c>
      <c r="AA19" s="216">
        <v>0.8</v>
      </c>
      <c r="AB19" s="217"/>
      <c r="AC19" s="77"/>
      <c r="AD19" s="218">
        <v>37099</v>
      </c>
      <c r="AE19" s="369">
        <v>0.7</v>
      </c>
      <c r="AF19" s="372">
        <v>0.7</v>
      </c>
      <c r="AG19" s="236">
        <v>38.93</v>
      </c>
      <c r="AH19" s="372">
        <v>0.7</v>
      </c>
      <c r="AI19" s="236">
        <v>35.82</v>
      </c>
      <c r="AJ19" s="250">
        <v>0.7</v>
      </c>
      <c r="AK19" s="249">
        <v>30.8125</v>
      </c>
      <c r="AL19" s="322">
        <f>0.7*4</f>
        <v>2.8</v>
      </c>
      <c r="AM19" s="249">
        <v>24.6875</v>
      </c>
      <c r="AN19" s="250">
        <f>0.65*2+0.7*2</f>
        <v>2.7</v>
      </c>
      <c r="AO19" s="249">
        <v>33</v>
      </c>
      <c r="AP19" s="222">
        <f>0.65+0.65+0.65+0.65</f>
        <v>2.6</v>
      </c>
      <c r="AQ19" s="246">
        <v>35.75</v>
      </c>
      <c r="AR19" s="200"/>
      <c r="AS19" s="79"/>
      <c r="AT19" s="79"/>
      <c r="AU19" s="79"/>
      <c r="AV19" s="79"/>
      <c r="AW19" s="83"/>
      <c r="AX19" s="223"/>
      <c r="AY19" s="224"/>
    </row>
    <row r="20" spans="1:54" s="84" customFormat="1" ht="26.25" x14ac:dyDescent="0.35">
      <c r="A20" s="126" t="s">
        <v>46</v>
      </c>
      <c r="B20" s="77"/>
      <c r="C20" s="143" t="s">
        <v>101</v>
      </c>
      <c r="D20" s="77"/>
      <c r="E20" s="236">
        <f>[1]!KMP</f>
        <v>71.05</v>
      </c>
      <c r="F20" s="237"/>
      <c r="G20" s="236">
        <f>[1]!'KMP,DIVIDEND'</f>
        <v>4.2</v>
      </c>
      <c r="H20" s="320"/>
      <c r="I20" s="178">
        <f t="shared" si="0"/>
        <v>5.9113300492610842E-2</v>
      </c>
      <c r="J20" s="178"/>
      <c r="K20" s="243">
        <f t="shared" si="1"/>
        <v>36.283004926108418</v>
      </c>
      <c r="L20" s="106"/>
      <c r="M20" s="178">
        <f t="shared" si="2"/>
        <v>5.7339901477832515E-2</v>
      </c>
      <c r="N20" s="106"/>
      <c r="O20" s="165">
        <f t="shared" si="5"/>
        <v>1.7213114754098362</v>
      </c>
      <c r="P20" s="239"/>
      <c r="Q20" s="165">
        <f t="shared" si="3"/>
        <v>-2.6670409882088397E-3</v>
      </c>
      <c r="R20" s="239"/>
      <c r="S20" s="165">
        <f t="shared" si="4"/>
        <v>3.3304246655031879E-2</v>
      </c>
      <c r="T20" s="108"/>
      <c r="U20" s="244">
        <f t="shared" si="6"/>
        <v>0.29722530521642615</v>
      </c>
      <c r="V20" s="251"/>
      <c r="W20" s="130"/>
      <c r="X20" s="149"/>
      <c r="Y20" s="325">
        <v>1.87</v>
      </c>
      <c r="Z20" s="326">
        <v>2.44</v>
      </c>
      <c r="AA20" s="252">
        <v>0.9</v>
      </c>
      <c r="AB20" s="253"/>
      <c r="AC20" s="77"/>
      <c r="AD20" s="218">
        <v>37138</v>
      </c>
      <c r="AE20" s="368" t="s">
        <v>128</v>
      </c>
      <c r="AF20" s="220"/>
      <c r="AG20" s="236">
        <v>71.239999999999995</v>
      </c>
      <c r="AH20" s="220"/>
      <c r="AI20" s="236">
        <v>68.760000000000005</v>
      </c>
      <c r="AJ20" s="220">
        <f>0.95+1.05</f>
        <v>2</v>
      </c>
      <c r="AK20" s="219">
        <v>56.3125</v>
      </c>
      <c r="AL20" s="321">
        <f>0.725+0.775+0.85*2</f>
        <v>3.2</v>
      </c>
      <c r="AM20" s="219">
        <v>41.4375</v>
      </c>
      <c r="AN20" s="220">
        <f>0.65+0.7*2+0.725</f>
        <v>2.7749999999999999</v>
      </c>
      <c r="AO20" s="219">
        <v>36.25</v>
      </c>
      <c r="AP20" s="222">
        <f>0.5625+0.5625+0.63+0.63</f>
        <v>2.3849999999999998</v>
      </c>
      <c r="AQ20" s="246">
        <v>33.875</v>
      </c>
      <c r="AR20" s="200"/>
      <c r="AS20" s="79"/>
      <c r="AT20" s="83"/>
      <c r="AU20" s="83"/>
      <c r="AV20" s="83"/>
      <c r="AW20" s="83"/>
      <c r="AX20" s="83"/>
      <c r="AY20" s="224"/>
    </row>
    <row r="21" spans="1:54" s="84" customFormat="1" ht="23.25" x14ac:dyDescent="0.35">
      <c r="A21" s="126" t="s">
        <v>47</v>
      </c>
      <c r="B21" s="77"/>
      <c r="C21" s="143" t="s">
        <v>48</v>
      </c>
      <c r="D21" s="77"/>
      <c r="E21" s="236">
        <f>[1]!LHP</f>
        <v>45.43</v>
      </c>
      <c r="F21" s="237"/>
      <c r="G21" s="236">
        <f>[1]!'LHP,DIVIDEND'</f>
        <v>3.5</v>
      </c>
      <c r="H21" s="108"/>
      <c r="I21" s="178">
        <f t="shared" si="0"/>
        <v>7.7041602465331274E-2</v>
      </c>
      <c r="J21" s="178"/>
      <c r="K21" s="243">
        <f t="shared" si="1"/>
        <v>215.56602465331275</v>
      </c>
      <c r="L21" s="106"/>
      <c r="M21" s="178">
        <f t="shared" si="2"/>
        <v>7.5885978428351306E-2</v>
      </c>
      <c r="N21" s="106"/>
      <c r="O21" s="165">
        <f t="shared" si="5"/>
        <v>1.5765765765765765</v>
      </c>
      <c r="P21" s="239"/>
      <c r="Q21" s="165">
        <f t="shared" si="3"/>
        <v>1.7916025500109862E-2</v>
      </c>
      <c r="R21" s="239"/>
      <c r="S21" s="165">
        <f t="shared" si="4"/>
        <v>2.3314917127071816E-2</v>
      </c>
      <c r="T21" s="108"/>
      <c r="U21" s="244">
        <f t="shared" si="6"/>
        <v>0.14375757575757575</v>
      </c>
      <c r="V21" s="251"/>
      <c r="W21" s="130"/>
      <c r="X21" s="149"/>
      <c r="Y21" s="325">
        <v>1.99</v>
      </c>
      <c r="Z21" s="326">
        <v>2.2200000000000002</v>
      </c>
      <c r="AA21" s="252">
        <v>0.95</v>
      </c>
      <c r="AB21" s="254"/>
      <c r="AC21" s="77"/>
      <c r="AD21" s="218">
        <v>37099</v>
      </c>
      <c r="AE21" s="368">
        <v>0.875</v>
      </c>
      <c r="AF21" s="373">
        <v>0.875</v>
      </c>
      <c r="AG21" s="236">
        <v>45.49</v>
      </c>
      <c r="AH21" s="373">
        <v>0.875</v>
      </c>
      <c r="AI21" s="236">
        <v>45.25</v>
      </c>
      <c r="AJ21" s="220">
        <f>0.875*2</f>
        <v>1.75</v>
      </c>
      <c r="AK21" s="219">
        <v>41.25</v>
      </c>
      <c r="AL21" s="321">
        <f>0.875*4</f>
        <v>3.5</v>
      </c>
      <c r="AM21" s="219">
        <v>34.8125</v>
      </c>
      <c r="AN21" s="220">
        <f>0.875*4</f>
        <v>3.5</v>
      </c>
      <c r="AO21" s="219">
        <v>48.5</v>
      </c>
      <c r="AP21" s="222">
        <f>0.78+0.86+0.86+0.86</f>
        <v>3.36</v>
      </c>
      <c r="AQ21" s="246">
        <v>43.6875</v>
      </c>
      <c r="AR21" s="200"/>
      <c r="AS21" s="201"/>
      <c r="AT21" s="201"/>
      <c r="AU21" s="201"/>
      <c r="AV21" s="201"/>
      <c r="AW21" s="83"/>
      <c r="AX21" s="223"/>
      <c r="AY21" s="224"/>
    </row>
    <row r="22" spans="1:54" s="84" customFormat="1" ht="26.25" x14ac:dyDescent="0.35">
      <c r="A22" s="126" t="s">
        <v>82</v>
      </c>
      <c r="B22" s="77"/>
      <c r="C22" s="143" t="s">
        <v>84</v>
      </c>
      <c r="D22" s="77"/>
      <c r="E22" s="236">
        <f>[1]!PAA</f>
        <v>26</v>
      </c>
      <c r="F22" s="237"/>
      <c r="G22" s="236">
        <f>[1]!'PAA,DIVIDEND'</f>
        <v>2</v>
      </c>
      <c r="H22" s="320"/>
      <c r="I22" s="178">
        <f t="shared" si="0"/>
        <v>7.6923076923076927E-2</v>
      </c>
      <c r="J22" s="178"/>
      <c r="K22" s="243">
        <f t="shared" si="1"/>
        <v>214.38076923076929</v>
      </c>
      <c r="L22" s="106"/>
      <c r="M22" s="178">
        <f>(I22*AA22)+((I22*(1-AA22))*(1-0.3))</f>
        <v>7.0000000000000007E-2</v>
      </c>
      <c r="N22" s="106"/>
      <c r="O22" s="165">
        <f>+G22/Z22</f>
        <v>1.1049723756906078</v>
      </c>
      <c r="P22" s="239"/>
      <c r="Q22" s="165">
        <f>(AF22+$E22-AG22)/AG22</f>
        <v>3.8610038610039162E-3</v>
      </c>
      <c r="R22" s="239"/>
      <c r="S22" s="165">
        <f>(AH22+$E22-AI22)/AI22</f>
        <v>9.1978160436791329E-2</v>
      </c>
      <c r="T22" s="108"/>
      <c r="U22" s="244">
        <f t="shared" si="6"/>
        <v>0.40852287581699342</v>
      </c>
      <c r="V22" s="251"/>
      <c r="W22" s="130"/>
      <c r="X22" s="149"/>
      <c r="Y22" s="325">
        <v>1.61</v>
      </c>
      <c r="Z22" s="326">
        <v>1.81</v>
      </c>
      <c r="AA22" s="252">
        <v>0.7</v>
      </c>
      <c r="AB22" s="254"/>
      <c r="AC22" s="77"/>
      <c r="AD22" s="218">
        <v>37104</v>
      </c>
      <c r="AE22" s="369">
        <v>0.5</v>
      </c>
      <c r="AF22" s="250"/>
      <c r="AG22" s="236">
        <v>25.9</v>
      </c>
      <c r="AH22" s="250"/>
      <c r="AI22" s="236">
        <v>23.81</v>
      </c>
      <c r="AJ22" s="250">
        <f>0.463+0.475</f>
        <v>0.93799999999999994</v>
      </c>
      <c r="AK22" s="249">
        <v>19.125</v>
      </c>
      <c r="AL22" s="322">
        <f>0.45*2+0.4625*2</f>
        <v>1.8250000000000002</v>
      </c>
      <c r="AM22" s="249">
        <v>13</v>
      </c>
      <c r="AN22" s="250">
        <f>0.193+0.45+0.463+0.48125</f>
        <v>1.58725</v>
      </c>
      <c r="AO22" s="249">
        <v>17.3125</v>
      </c>
      <c r="AP22" s="222" t="s">
        <v>85</v>
      </c>
      <c r="AQ22" s="300" t="s">
        <v>85</v>
      </c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3.25" x14ac:dyDescent="0.35">
      <c r="A23" s="126" t="s">
        <v>104</v>
      </c>
      <c r="B23" s="77"/>
      <c r="C23" s="143" t="s">
        <v>86</v>
      </c>
      <c r="D23" s="77"/>
      <c r="E23" s="236">
        <f>[1]!TCLPZ.O</f>
        <v>24.1</v>
      </c>
      <c r="F23" s="237"/>
      <c r="G23" s="236">
        <f>[1]!'TCLPZ.O,DIVIDEND'</f>
        <v>2</v>
      </c>
      <c r="H23" s="108"/>
      <c r="I23" s="178">
        <f t="shared" si="0"/>
        <v>8.2987551867219914E-2</v>
      </c>
      <c r="J23" s="178"/>
      <c r="K23" s="243">
        <f t="shared" si="1"/>
        <v>275.02551867219915</v>
      </c>
      <c r="L23" s="106"/>
      <c r="M23" s="178">
        <f>(I23*AA23)+((I23*(1-AA23))*(1-0.3))</f>
        <v>8.1742738589211619E-2</v>
      </c>
      <c r="N23" s="106"/>
      <c r="O23" s="165">
        <f>+G23/Z23</f>
        <v>0.9009009009009008</v>
      </c>
      <c r="P23" s="239"/>
      <c r="Q23" s="165">
        <f>(AF23+$E23-AG23)/AG23</f>
        <v>2.500000000000006E-2</v>
      </c>
      <c r="R23" s="239"/>
      <c r="S23" s="165">
        <f>(AH23+$E23-AI23)/AI23</f>
        <v>6.9565217391304404E-2</v>
      </c>
      <c r="T23" s="108"/>
      <c r="U23" s="244">
        <f t="shared" si="6"/>
        <v>0.30129870129870134</v>
      </c>
      <c r="V23" s="251"/>
      <c r="W23" s="130"/>
      <c r="X23" s="149"/>
      <c r="Y23" s="325">
        <v>2.17</v>
      </c>
      <c r="Z23" s="326">
        <v>2.2200000000000002</v>
      </c>
      <c r="AA23" s="252">
        <v>0.95</v>
      </c>
      <c r="AB23" s="254"/>
      <c r="AC23" s="77"/>
      <c r="AD23" s="218">
        <v>37099</v>
      </c>
      <c r="AE23" s="369">
        <v>0.5</v>
      </c>
      <c r="AF23" s="372">
        <v>0.5</v>
      </c>
      <c r="AG23" s="316">
        <v>24</v>
      </c>
      <c r="AH23" s="372">
        <v>0.5</v>
      </c>
      <c r="AI23" s="316">
        <v>23</v>
      </c>
      <c r="AJ23" s="250">
        <f>0.475*2</f>
        <v>0.95</v>
      </c>
      <c r="AK23" s="249">
        <v>19.25</v>
      </c>
      <c r="AL23" s="322">
        <f>0.45*4</f>
        <v>1.8</v>
      </c>
      <c r="AM23" s="249">
        <v>14.25</v>
      </c>
      <c r="AN23" s="250">
        <f>0.168+0.45</f>
        <v>0.61799999999999999</v>
      </c>
      <c r="AO23" s="249" t="s">
        <v>85</v>
      </c>
      <c r="AP23" s="222"/>
      <c r="AQ23" s="300"/>
      <c r="AR23" s="200"/>
      <c r="AS23" s="255"/>
      <c r="AT23" s="201"/>
      <c r="AU23" s="201"/>
      <c r="AV23" s="201"/>
      <c r="AW23" s="83"/>
      <c r="AX23" s="223"/>
      <c r="AY23" s="224"/>
    </row>
    <row r="24" spans="1:54" s="84" customFormat="1" ht="23.25" x14ac:dyDescent="0.35">
      <c r="A24" s="126" t="s">
        <v>49</v>
      </c>
      <c r="B24" s="77"/>
      <c r="C24" s="143" t="s">
        <v>50</v>
      </c>
      <c r="D24" s="77"/>
      <c r="E24" s="236">
        <f>[1]!TPP</f>
        <v>31.14</v>
      </c>
      <c r="F24" s="237"/>
      <c r="G24" s="236">
        <f>[1]!'TPP,DIVIDEND'</f>
        <v>2.1</v>
      </c>
      <c r="H24" s="108"/>
      <c r="I24" s="178">
        <f t="shared" si="0"/>
        <v>6.7437379576107903E-2</v>
      </c>
      <c r="J24" s="178"/>
      <c r="K24" s="243">
        <f t="shared" si="1"/>
        <v>119.52379576107903</v>
      </c>
      <c r="L24" s="106"/>
      <c r="M24" s="178">
        <f t="shared" si="2"/>
        <v>6.1368015414258188E-2</v>
      </c>
      <c r="N24" s="106"/>
      <c r="O24" s="165">
        <f t="shared" si="5"/>
        <v>1.0294117647058825</v>
      </c>
      <c r="P24" s="239"/>
      <c r="Q24" s="165">
        <f t="shared" si="3"/>
        <v>3.8196721311475383E-2</v>
      </c>
      <c r="R24" s="239"/>
      <c r="S24" s="165">
        <f t="shared" si="4"/>
        <v>7.8875638841567217E-2</v>
      </c>
      <c r="T24" s="108"/>
      <c r="U24" s="244">
        <f t="shared" si="6"/>
        <v>0.31053435114503808</v>
      </c>
      <c r="V24" s="251"/>
      <c r="W24" s="130"/>
      <c r="X24" s="149"/>
      <c r="Y24" s="325">
        <v>1.9</v>
      </c>
      <c r="Z24" s="326">
        <v>2.04</v>
      </c>
      <c r="AA24" s="252">
        <v>0.7</v>
      </c>
      <c r="AB24" s="254"/>
      <c r="AC24" s="77"/>
      <c r="AD24" s="218">
        <v>37099</v>
      </c>
      <c r="AE24" s="369">
        <v>0.52500000000000002</v>
      </c>
      <c r="AF24" s="372">
        <v>0.52500000000000002</v>
      </c>
      <c r="AG24" s="236">
        <v>30.5</v>
      </c>
      <c r="AH24" s="372">
        <v>0.52500000000000002</v>
      </c>
      <c r="AI24" s="236">
        <v>29.35</v>
      </c>
      <c r="AJ24" s="250">
        <f>0.525*2</f>
        <v>1.05</v>
      </c>
      <c r="AK24" s="249">
        <v>24.5625</v>
      </c>
      <c r="AL24" s="322">
        <f>0.475+0.5+0.5+0.525</f>
        <v>2</v>
      </c>
      <c r="AM24" s="249">
        <v>19.3125</v>
      </c>
      <c r="AN24" s="250">
        <f>0.45*2+0.475*2</f>
        <v>1.85</v>
      </c>
      <c r="AO24" s="249">
        <v>24.5625</v>
      </c>
      <c r="AP24" s="222">
        <f>(0.85+0.85+0.9)/2+0.45</f>
        <v>1.75</v>
      </c>
      <c r="AQ24" s="246">
        <f>52.6875/2</f>
        <v>26.34375</v>
      </c>
      <c r="AR24" s="200"/>
      <c r="AS24" s="79"/>
      <c r="AT24" s="79"/>
      <c r="AU24" s="79"/>
      <c r="AV24" s="79"/>
      <c r="AW24" s="79"/>
      <c r="AX24" s="223"/>
      <c r="AY24" s="224"/>
    </row>
    <row r="25" spans="1:54" s="84" customFormat="1" ht="24" thickBot="1" x14ac:dyDescent="0.4">
      <c r="A25" s="77"/>
      <c r="B25" s="77"/>
      <c r="C25" s="127"/>
      <c r="D25" s="77"/>
      <c r="E25" s="77"/>
      <c r="F25" s="77"/>
      <c r="G25" s="108"/>
      <c r="H25" s="108"/>
      <c r="I25" s="109"/>
      <c r="J25" s="109"/>
      <c r="K25" s="238"/>
      <c r="L25" s="106"/>
      <c r="M25" s="109"/>
      <c r="N25" s="106"/>
      <c r="O25" s="165"/>
      <c r="P25" s="239"/>
      <c r="Q25" s="165"/>
      <c r="R25" s="239"/>
      <c r="S25" s="165"/>
      <c r="T25" s="108"/>
      <c r="U25" s="127"/>
      <c r="V25" s="256"/>
      <c r="W25" s="130"/>
      <c r="X25" s="149"/>
      <c r="Y25" s="257"/>
      <c r="Z25" s="258"/>
      <c r="AA25" s="259"/>
      <c r="AB25" s="260"/>
      <c r="AD25" s="261"/>
      <c r="AE25" s="262"/>
      <c r="AF25" s="116"/>
      <c r="AG25" s="83"/>
      <c r="AH25" s="116"/>
      <c r="AI25" s="83"/>
      <c r="AJ25" s="261"/>
      <c r="AK25" s="264"/>
      <c r="AL25" s="263"/>
      <c r="AM25" s="264"/>
      <c r="AN25" s="263"/>
      <c r="AO25" s="264"/>
      <c r="AP25" s="297"/>
      <c r="AQ25" s="291"/>
      <c r="AR25" s="79"/>
      <c r="AS25" s="79"/>
      <c r="AT25" s="79"/>
      <c r="AU25" s="79"/>
      <c r="AV25" s="79"/>
      <c r="AW25" s="79"/>
      <c r="AX25" s="223"/>
      <c r="AY25" s="223"/>
      <c r="AZ25" s="224"/>
    </row>
    <row r="26" spans="1:54" s="84" customFormat="1" ht="24" thickBot="1" x14ac:dyDescent="0.4">
      <c r="A26" s="265" t="s">
        <v>51</v>
      </c>
      <c r="B26" s="266"/>
      <c r="C26" s="267"/>
      <c r="D26" s="266"/>
      <c r="E26" s="268"/>
      <c r="F26" s="268"/>
      <c r="G26" s="269"/>
      <c r="H26" s="270"/>
      <c r="I26" s="271">
        <f>AVERAGEA(I13:I24)</f>
        <v>8.16630082018176E-2</v>
      </c>
      <c r="J26" s="271"/>
      <c r="K26" s="272">
        <f>(+I26-E$28)*10000</f>
        <v>261.78008201817602</v>
      </c>
      <c r="L26" s="267"/>
      <c r="M26" s="271">
        <f>AVERAGEA(M13:M24)</f>
        <v>7.7217897302951338E-2</v>
      </c>
      <c r="N26" s="267"/>
      <c r="O26" s="273">
        <f>AVERAGEA(O13:O24)</f>
        <v>1.4903545376601792</v>
      </c>
      <c r="P26" s="274"/>
      <c r="Q26" s="273">
        <f>AVERAGEA(Q13:Q24)</f>
        <v>1.0627519151407182E-2</v>
      </c>
      <c r="R26" s="274"/>
      <c r="S26" s="273">
        <f>AVERAGEA(S13:S24)</f>
        <v>7.016968211283707E-2</v>
      </c>
      <c r="T26" s="270"/>
      <c r="U26" s="275">
        <f>AVERAGEA(U13:U24)</f>
        <v>0.34754349293554831</v>
      </c>
      <c r="V26" s="256"/>
      <c r="W26" s="130"/>
      <c r="X26" s="149"/>
      <c r="Y26" s="276"/>
      <c r="Z26" s="277"/>
      <c r="AA26" s="278"/>
      <c r="AB26" s="279"/>
      <c r="AC26" s="118"/>
      <c r="AD26" s="280"/>
      <c r="AE26" s="281"/>
      <c r="AF26" s="282"/>
      <c r="AG26" s="330"/>
      <c r="AH26" s="282"/>
      <c r="AI26" s="330"/>
      <c r="AJ26" s="329"/>
      <c r="AK26" s="281"/>
      <c r="AL26" s="283"/>
      <c r="AM26" s="281"/>
      <c r="AN26" s="283"/>
      <c r="AO26" s="281"/>
      <c r="AP26" s="298"/>
      <c r="AQ26" s="292"/>
      <c r="AR26" s="79"/>
      <c r="AS26" s="79"/>
      <c r="AT26" s="79"/>
      <c r="AU26" s="79"/>
      <c r="AV26" s="79"/>
      <c r="AW26" s="79"/>
      <c r="AX26" s="83"/>
      <c r="AY26" s="83"/>
      <c r="AZ26" s="224"/>
    </row>
    <row r="27" spans="1:54" s="84" customFormat="1" ht="23.25" x14ac:dyDescent="0.35">
      <c r="A27" s="77"/>
      <c r="B27" s="77"/>
      <c r="C27" s="127"/>
      <c r="D27" s="77"/>
      <c r="E27" s="1">
        <v>98.761515752013068</v>
      </c>
      <c r="F27" s="77"/>
      <c r="G27" s="108"/>
      <c r="H27" s="108"/>
      <c r="I27" s="109"/>
      <c r="J27" s="109"/>
      <c r="K27" s="132"/>
      <c r="L27" s="106"/>
      <c r="M27" s="109"/>
      <c r="N27" s="106"/>
      <c r="O27" s="165"/>
      <c r="P27" s="239"/>
      <c r="Q27" s="165"/>
      <c r="R27" s="239"/>
      <c r="S27" s="165"/>
      <c r="T27" s="108"/>
      <c r="U27" s="77"/>
      <c r="V27" s="256"/>
      <c r="W27" s="256"/>
      <c r="X27" s="76"/>
      <c r="Y27" s="76"/>
      <c r="Z27" s="76"/>
      <c r="AA27" s="76"/>
      <c r="AB27" s="76"/>
      <c r="AC27" s="77"/>
      <c r="AD27" s="261"/>
      <c r="AE27" s="116"/>
      <c r="AF27" s="311"/>
      <c r="AG27" s="1">
        <v>98.761515752013068</v>
      </c>
      <c r="AH27" s="312"/>
      <c r="AI27" s="1">
        <v>96.003752294332116</v>
      </c>
      <c r="AJ27" s="312"/>
      <c r="AK27" s="1">
        <f>PV(AK28/2,60,-$AK$28*100/2,-100,0)</f>
        <v>100</v>
      </c>
      <c r="AL27" s="312">
        <f>+AM28*100</f>
        <v>6.4820000000000002</v>
      </c>
      <c r="AM27" s="1">
        <f>PV(AM28/2,60,-$AM$28*100/2,-100,0)</f>
        <v>100</v>
      </c>
      <c r="AN27" s="312">
        <f>+AO28*100</f>
        <v>5.0999999999999996</v>
      </c>
      <c r="AO27" s="1">
        <v>100</v>
      </c>
      <c r="AP27" s="1"/>
      <c r="AQ27" s="1"/>
      <c r="AR27" s="308" t="s">
        <v>96</v>
      </c>
      <c r="AS27" s="32"/>
      <c r="AT27" s="8"/>
      <c r="AU27" s="83"/>
      <c r="AV27" s="79"/>
      <c r="AW27" s="83"/>
      <c r="AX27" s="83"/>
      <c r="AY27" s="83"/>
      <c r="AZ27" s="83"/>
      <c r="BA27" s="247"/>
      <c r="BB27" s="224"/>
    </row>
    <row r="28" spans="1:54" s="84" customFormat="1" ht="23.25" customHeight="1" x14ac:dyDescent="0.35">
      <c r="A28" s="126" t="s">
        <v>92</v>
      </c>
      <c r="B28" s="77"/>
      <c r="C28" s="127"/>
      <c r="D28" s="77"/>
      <c r="E28" s="285">
        <v>5.5485E-2</v>
      </c>
      <c r="F28" s="77"/>
      <c r="G28" s="284"/>
      <c r="H28" s="108"/>
      <c r="J28" s="285"/>
      <c r="K28" s="238"/>
      <c r="L28" s="106"/>
      <c r="M28" s="178">
        <f>(E28*AA28)+((E28*(1-AA28))*(1-0.3))</f>
        <v>3.8839499999999999E-2</v>
      </c>
      <c r="N28" s="106"/>
      <c r="O28" s="165"/>
      <c r="P28" s="239"/>
      <c r="Q28" s="165">
        <f>(AF27+$E27-AG27)/AG27</f>
        <v>0</v>
      </c>
      <c r="R28" s="239"/>
      <c r="S28" s="165">
        <f>(AH27+$E27-AI27)/AI27</f>
        <v>2.8725579904690504E-2</v>
      </c>
      <c r="T28" s="108"/>
      <c r="U28" s="244">
        <f>(AJ27+E27-AK27)/AK27</f>
        <v>-1.238484247986932E-2</v>
      </c>
      <c r="V28" s="256"/>
      <c r="W28" s="256"/>
      <c r="X28" s="76"/>
      <c r="Y28" s="76"/>
      <c r="Z28" s="76"/>
      <c r="AA28" s="76"/>
      <c r="AB28" s="76"/>
      <c r="AC28" s="79"/>
      <c r="AD28" s="286"/>
      <c r="AE28" s="286"/>
      <c r="AF28" s="286"/>
      <c r="AG28" s="285">
        <v>5.5485E-2</v>
      </c>
      <c r="AH28" s="288"/>
      <c r="AI28" s="285">
        <v>5.7512000000000001E-2</v>
      </c>
      <c r="AJ28" s="288"/>
      <c r="AK28" s="285">
        <v>5.4600999999999997E-2</v>
      </c>
      <c r="AL28" s="288"/>
      <c r="AM28" s="285">
        <v>6.4820000000000003E-2</v>
      </c>
      <c r="AN28" s="287"/>
      <c r="AO28" s="287">
        <v>5.0999999999999997E-2</v>
      </c>
      <c r="AP28" s="286"/>
      <c r="AQ28" s="286"/>
      <c r="AR28" s="315" t="s">
        <v>95</v>
      </c>
      <c r="AS28" s="286"/>
      <c r="AT28" s="313">
        <v>36525</v>
      </c>
      <c r="AU28" s="83"/>
      <c r="AV28" s="79"/>
      <c r="AW28" s="83"/>
      <c r="AX28" s="83"/>
      <c r="AY28" s="83"/>
      <c r="AZ28" s="83"/>
      <c r="BA28" s="83"/>
      <c r="BB28" s="224"/>
    </row>
    <row r="29" spans="1:54" ht="20.100000000000001" customHeight="1" x14ac:dyDescent="0.35">
      <c r="A29" s="126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309" t="s">
        <v>93</v>
      </c>
      <c r="S29" s="309" t="s">
        <v>93</v>
      </c>
      <c r="U29" s="309" t="s">
        <v>93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312"/>
      <c r="AN29" s="312"/>
      <c r="AO29" s="312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25">
      <c r="A30" s="49" t="s">
        <v>70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25">
      <c r="A31" s="49"/>
      <c r="B31" s="6"/>
      <c r="C31" s="10"/>
      <c r="D31" s="6"/>
      <c r="E31" s="317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314"/>
      <c r="AK31" s="314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25" x14ac:dyDescent="0.35">
      <c r="A32" s="301" t="s">
        <v>88</v>
      </c>
      <c r="B32" s="50"/>
      <c r="C32" s="51"/>
      <c r="D32" s="50"/>
      <c r="E32" s="236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35">
      <c r="A33" s="301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25" x14ac:dyDescent="0.35">
      <c r="A34" s="301" t="s">
        <v>89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35">
      <c r="A35" s="301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4">
      <c r="A36" s="6" t="s">
        <v>125</v>
      </c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45">
      <c r="A37" s="6"/>
      <c r="B37" s="302"/>
      <c r="C37" s="302"/>
      <c r="D37" s="302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4" customFormat="1" ht="26.25" x14ac:dyDescent="0.35">
      <c r="A38" s="204" t="s">
        <v>120</v>
      </c>
      <c r="B38" s="205"/>
      <c r="C38" s="334" t="s">
        <v>119</v>
      </c>
      <c r="D38" s="205"/>
      <c r="E38" s="207">
        <f>[1]!UDL</f>
        <v>32.450000000000003</v>
      </c>
      <c r="F38" s="335"/>
      <c r="G38" s="207">
        <v>2.4</v>
      </c>
      <c r="H38" s="336"/>
      <c r="I38" s="210">
        <f>+G38/E38</f>
        <v>7.395993836671802E-2</v>
      </c>
      <c r="J38" s="210"/>
      <c r="K38" s="337">
        <f>(+I38-E$28)*10000</f>
        <v>184.74938366718021</v>
      </c>
      <c r="L38" s="206"/>
      <c r="M38" s="210">
        <f>(I38*AA38)+((I38*(1-AA38))*(1-0.3))</f>
        <v>5.1771956856702613E-2</v>
      </c>
      <c r="N38" s="206"/>
      <c r="O38" s="338" t="s">
        <v>117</v>
      </c>
      <c r="P38" s="339"/>
      <c r="Q38" s="338">
        <f>(AF38+$E38-AG38)/AG38</f>
        <v>3.212468193384229E-2</v>
      </c>
      <c r="R38" s="339"/>
      <c r="S38" s="338">
        <f>(AH38+$E38-AI38)/AI38</f>
        <v>8.5284280936455001E-2</v>
      </c>
      <c r="T38" s="209"/>
      <c r="U38" s="340">
        <f>(AJ38+E38-AK38)/AK38</f>
        <v>0.32448979591836746</v>
      </c>
      <c r="V38" s="251"/>
      <c r="W38" s="130"/>
      <c r="X38" s="149"/>
      <c r="Y38" s="348">
        <v>2.16</v>
      </c>
      <c r="Z38" s="349">
        <v>2.6</v>
      </c>
      <c r="AA38" s="350">
        <v>0</v>
      </c>
      <c r="AB38" s="351"/>
      <c r="AC38" s="154"/>
      <c r="AD38" s="352">
        <v>37102</v>
      </c>
      <c r="AE38" s="370">
        <v>0.50109999999999999</v>
      </c>
      <c r="AF38" s="353"/>
      <c r="AG38" s="354">
        <v>31.44</v>
      </c>
      <c r="AH38" s="353"/>
      <c r="AI38" s="354">
        <v>29.9</v>
      </c>
      <c r="AJ38" s="355" t="s">
        <v>85</v>
      </c>
      <c r="AK38" s="355">
        <v>24.5</v>
      </c>
      <c r="AL38" s="355" t="s">
        <v>85</v>
      </c>
      <c r="AM38" s="355" t="s">
        <v>85</v>
      </c>
      <c r="AN38" s="355" t="s">
        <v>85</v>
      </c>
      <c r="AO38" s="355" t="s">
        <v>85</v>
      </c>
      <c r="AP38" s="355" t="s">
        <v>85</v>
      </c>
      <c r="AQ38" s="356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27" thickBot="1" x14ac:dyDescent="0.4">
      <c r="A39" s="341" t="s">
        <v>121</v>
      </c>
      <c r="B39" s="226"/>
      <c r="C39" s="342" t="s">
        <v>122</v>
      </c>
      <c r="D39" s="226"/>
      <c r="E39" s="228">
        <f>[1]!WEG</f>
        <v>31.85</v>
      </c>
      <c r="F39" s="343"/>
      <c r="G39" s="228">
        <v>2.1</v>
      </c>
      <c r="H39" s="344"/>
      <c r="I39" s="231">
        <f>+G39/E39</f>
        <v>6.5934065934065936E-2</v>
      </c>
      <c r="J39" s="231"/>
      <c r="K39" s="232">
        <f>(+I39-E$28)*10000</f>
        <v>104.49065934065936</v>
      </c>
      <c r="L39" s="227"/>
      <c r="M39" s="231">
        <f>(I39*AA39)+((I39*(1-AA39))*(1-0.3))</f>
        <v>4.6153846153846149E-2</v>
      </c>
      <c r="N39" s="227"/>
      <c r="O39" s="345" t="s">
        <v>117</v>
      </c>
      <c r="P39" s="346"/>
      <c r="Q39" s="345">
        <f>(AF39+$E39-AG39)/AG39</f>
        <v>6.5217391304347921E-2</v>
      </c>
      <c r="R39" s="346"/>
      <c r="S39" s="345">
        <f>(AH39+$E39-AI39)/AI39</f>
        <v>9.2893573614416969E-2</v>
      </c>
      <c r="T39" s="230"/>
      <c r="U39" s="347">
        <f>(AJ39+E39-AK39)/AK39</f>
        <v>0.49497674418604665</v>
      </c>
      <c r="V39" s="251"/>
      <c r="W39" s="130"/>
      <c r="X39" s="149"/>
      <c r="Y39" s="357">
        <v>1.65</v>
      </c>
      <c r="Z39" s="358">
        <v>1.73</v>
      </c>
      <c r="AA39" s="359">
        <v>0</v>
      </c>
      <c r="AB39" s="360"/>
      <c r="AC39" s="118"/>
      <c r="AD39" s="361">
        <v>37103</v>
      </c>
      <c r="AE39" s="371">
        <v>0.5625</v>
      </c>
      <c r="AF39" s="362"/>
      <c r="AG39" s="363">
        <v>29.9</v>
      </c>
      <c r="AH39" s="362">
        <v>0.29199999999999998</v>
      </c>
      <c r="AI39" s="363">
        <v>29.41</v>
      </c>
      <c r="AJ39" s="364">
        <v>0.29199999999999998</v>
      </c>
      <c r="AK39" s="364">
        <v>21.5</v>
      </c>
      <c r="AL39" s="364" t="s">
        <v>85</v>
      </c>
      <c r="AM39" s="364" t="s">
        <v>85</v>
      </c>
      <c r="AN39" s="364" t="s">
        <v>85</v>
      </c>
      <c r="AO39" s="364" t="s">
        <v>85</v>
      </c>
      <c r="AP39" s="364" t="s">
        <v>85</v>
      </c>
      <c r="AQ39" s="365" t="s">
        <v>85</v>
      </c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35">
      <c r="A40" s="366" t="s">
        <v>123</v>
      </c>
      <c r="B40" s="77"/>
      <c r="C40" s="143"/>
      <c r="D40" s="77"/>
      <c r="E40" s="236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1"/>
      <c r="Z40" s="331"/>
      <c r="AA40" s="252"/>
      <c r="AB40" s="252"/>
      <c r="AC40" s="77"/>
      <c r="AD40" s="218"/>
      <c r="AE40" s="250"/>
      <c r="AF40" s="250"/>
      <c r="AG40" s="236"/>
      <c r="AH40" s="250"/>
      <c r="AI40" s="236"/>
      <c r="AJ40" s="332"/>
      <c r="AK40" s="332"/>
      <c r="AL40" s="332"/>
      <c r="AM40" s="332"/>
      <c r="AN40" s="332"/>
      <c r="AO40" s="332"/>
      <c r="AP40" s="332"/>
      <c r="AQ40" s="333"/>
      <c r="AR40" s="200"/>
      <c r="AS40" s="255"/>
      <c r="AT40" s="201"/>
      <c r="AU40" s="201"/>
      <c r="AV40" s="201"/>
      <c r="AW40" s="83"/>
      <c r="AX40" s="223"/>
      <c r="AY40" s="224"/>
    </row>
    <row r="41" spans="1:53" s="84" customFormat="1" ht="18.75" customHeight="1" x14ac:dyDescent="0.35">
      <c r="A41" s="366" t="s">
        <v>124</v>
      </c>
      <c r="B41" s="63"/>
      <c r="C41" s="58"/>
      <c r="D41" s="63"/>
      <c r="E41" s="63"/>
      <c r="F41" s="237"/>
      <c r="G41" s="236"/>
      <c r="H41" s="320"/>
      <c r="I41" s="178"/>
      <c r="J41" s="178"/>
      <c r="K41" s="243"/>
      <c r="L41" s="106"/>
      <c r="M41" s="178"/>
      <c r="N41" s="106"/>
      <c r="O41" s="165"/>
      <c r="P41" s="239"/>
      <c r="Q41" s="165"/>
      <c r="R41" s="239"/>
      <c r="S41" s="165"/>
      <c r="T41" s="108"/>
      <c r="U41" s="244"/>
      <c r="V41" s="251"/>
      <c r="W41" s="130"/>
      <c r="X41" s="149"/>
      <c r="Y41" s="331"/>
      <c r="Z41" s="331"/>
      <c r="AA41" s="252"/>
      <c r="AB41" s="252"/>
      <c r="AC41" s="77"/>
      <c r="AD41" s="218"/>
      <c r="AE41" s="250"/>
      <c r="AF41" s="250"/>
      <c r="AG41" s="236"/>
      <c r="AH41" s="250"/>
      <c r="AI41" s="236"/>
      <c r="AJ41" s="332"/>
      <c r="AK41" s="332"/>
      <c r="AL41" s="332"/>
      <c r="AM41" s="332"/>
      <c r="AN41" s="332"/>
      <c r="AO41" s="332"/>
      <c r="AP41" s="332"/>
      <c r="AQ41" s="333"/>
      <c r="AR41" s="200"/>
      <c r="AS41" s="255"/>
      <c r="AT41" s="201"/>
      <c r="AU41" s="201"/>
      <c r="AV41" s="201"/>
      <c r="AW41" s="83"/>
      <c r="AX41" s="223"/>
      <c r="AY41" s="224"/>
    </row>
    <row r="42" spans="1:53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314" t="s">
        <v>97</v>
      </c>
      <c r="AH42" s="4"/>
      <c r="AI42" s="314" t="s">
        <v>98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4" customFormat="1" ht="37.5" customHeight="1" x14ac:dyDescent="0.65">
      <c r="A43" s="69"/>
      <c r="B43" s="70"/>
      <c r="C43" s="71"/>
      <c r="D43" s="70"/>
      <c r="E43" s="374" t="s">
        <v>35</v>
      </c>
      <c r="F43" s="374"/>
      <c r="G43" s="374"/>
      <c r="H43" s="374"/>
      <c r="I43" s="374"/>
      <c r="J43" s="374"/>
      <c r="K43" s="374"/>
      <c r="L43" s="72"/>
      <c r="M43" s="72"/>
      <c r="N43" s="72"/>
      <c r="O43" s="73"/>
      <c r="P43" s="74"/>
      <c r="Q43" s="374" t="s">
        <v>37</v>
      </c>
      <c r="R43" s="374"/>
      <c r="S43" s="374"/>
      <c r="T43" s="374"/>
      <c r="U43" s="374"/>
      <c r="V43" s="374"/>
      <c r="W43" s="375"/>
      <c r="X43" s="75"/>
      <c r="Y43" s="290" t="s">
        <v>79</v>
      </c>
      <c r="Z43" s="76"/>
      <c r="AA43" s="76"/>
      <c r="AB43" s="76"/>
      <c r="AC43" s="77"/>
      <c r="AD43" s="78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35">
      <c r="A44" s="85" t="s">
        <v>52</v>
      </c>
      <c r="B44" s="86"/>
      <c r="C44" s="86"/>
      <c r="D44" s="86"/>
      <c r="E44" s="87" t="s">
        <v>53</v>
      </c>
      <c r="F44" s="86"/>
      <c r="G44" s="87" t="s">
        <v>105</v>
      </c>
      <c r="H44" s="88"/>
      <c r="I44" s="87" t="s">
        <v>116</v>
      </c>
      <c r="J44" s="87"/>
      <c r="K44" s="87" t="s">
        <v>54</v>
      </c>
      <c r="L44" s="77"/>
      <c r="M44" s="89"/>
      <c r="N44" s="88"/>
      <c r="O44" s="90"/>
      <c r="P44" s="88"/>
      <c r="Q44" s="289" t="s">
        <v>53</v>
      </c>
      <c r="R44" s="88"/>
      <c r="S44" s="87" t="s">
        <v>105</v>
      </c>
      <c r="T44" s="88"/>
      <c r="U44" s="87" t="s">
        <v>116</v>
      </c>
      <c r="V44" s="91"/>
      <c r="W44" s="92" t="s">
        <v>54</v>
      </c>
      <c r="X44" s="87"/>
      <c r="Y44" s="76"/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35">
      <c r="A45" s="94" t="s">
        <v>55</v>
      </c>
      <c r="B45" s="86"/>
      <c r="C45" s="86"/>
      <c r="D45" s="86"/>
      <c r="E45" s="95" t="s">
        <v>56</v>
      </c>
      <c r="F45" s="86"/>
      <c r="G45" s="96">
        <v>2.52</v>
      </c>
      <c r="H45" s="86"/>
      <c r="I45" s="96">
        <v>2.95</v>
      </c>
      <c r="J45" s="86"/>
      <c r="K45" s="96">
        <v>42</v>
      </c>
      <c r="L45" s="77"/>
      <c r="M45" s="89"/>
      <c r="N45" s="86"/>
      <c r="O45" s="96"/>
      <c r="P45" s="86"/>
      <c r="Q45" s="97" t="s">
        <v>57</v>
      </c>
      <c r="R45" s="98"/>
      <c r="S45" s="97"/>
      <c r="T45" s="99"/>
      <c r="U45" s="100"/>
      <c r="V45" s="91"/>
      <c r="W45" s="101"/>
      <c r="X45" s="102"/>
      <c r="Y45" s="76" t="s">
        <v>107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35">
      <c r="A46" s="94" t="s">
        <v>87</v>
      </c>
      <c r="B46" s="86"/>
      <c r="C46" s="86"/>
      <c r="D46" s="86"/>
      <c r="E46" s="95" t="s">
        <v>56</v>
      </c>
      <c r="F46" s="86"/>
      <c r="G46" s="96">
        <v>2.65</v>
      </c>
      <c r="H46" s="86"/>
      <c r="I46" s="96">
        <v>3</v>
      </c>
      <c r="J46" s="86"/>
      <c r="K46" s="96">
        <v>43</v>
      </c>
      <c r="L46" s="77"/>
      <c r="M46" s="89"/>
      <c r="N46" s="86"/>
      <c r="O46" s="96"/>
      <c r="P46" s="86"/>
      <c r="Q46" s="97" t="s">
        <v>66</v>
      </c>
      <c r="R46" s="98"/>
      <c r="S46" s="102"/>
      <c r="T46" s="99"/>
      <c r="U46" s="102"/>
      <c r="V46" s="91"/>
      <c r="W46" s="101"/>
      <c r="X46" s="102"/>
      <c r="Y46" s="76" t="s">
        <v>77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35">
      <c r="A47" s="94" t="s">
        <v>58</v>
      </c>
      <c r="B47" s="86"/>
      <c r="C47" s="86"/>
      <c r="D47" s="86"/>
      <c r="E47" s="95" t="s">
        <v>56</v>
      </c>
      <c r="F47" s="86"/>
      <c r="G47" s="96">
        <v>2.6</v>
      </c>
      <c r="H47" s="86"/>
      <c r="I47" s="96"/>
      <c r="J47" s="86"/>
      <c r="K47" s="96">
        <v>34</v>
      </c>
      <c r="L47" s="77"/>
      <c r="M47" s="89"/>
      <c r="N47" s="86"/>
      <c r="O47" s="96"/>
      <c r="P47" s="86"/>
      <c r="Q47" s="97" t="s">
        <v>66</v>
      </c>
      <c r="R47" s="98"/>
      <c r="S47" s="97"/>
      <c r="T47" s="99"/>
      <c r="U47" s="100"/>
      <c r="V47" s="91"/>
      <c r="W47" s="101"/>
      <c r="X47" s="102"/>
      <c r="Y47" s="76" t="s">
        <v>74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83"/>
      <c r="AU47" s="83"/>
      <c r="AV47" s="79"/>
      <c r="AW47" s="83"/>
      <c r="AX47" s="83"/>
      <c r="AY47" s="83"/>
      <c r="AZ47" s="83"/>
      <c r="BA47" s="83"/>
    </row>
    <row r="48" spans="1:53" s="84" customFormat="1" ht="26.1" customHeight="1" x14ac:dyDescent="0.35">
      <c r="A48" s="94" t="s">
        <v>59</v>
      </c>
      <c r="B48" s="86"/>
      <c r="C48" s="86"/>
      <c r="D48" s="86"/>
      <c r="E48" s="95" t="s">
        <v>56</v>
      </c>
      <c r="F48" s="86"/>
      <c r="G48" s="96">
        <v>2.5</v>
      </c>
      <c r="H48" s="86"/>
      <c r="I48" s="96">
        <v>2.95</v>
      </c>
      <c r="J48" s="86"/>
      <c r="K48" s="96">
        <v>44</v>
      </c>
      <c r="L48" s="77"/>
      <c r="M48" s="89"/>
      <c r="N48" s="86"/>
      <c r="O48" s="96"/>
      <c r="P48" s="86"/>
      <c r="Q48" s="97" t="s">
        <v>90</v>
      </c>
      <c r="R48" s="98"/>
      <c r="S48" s="96">
        <v>0.65</v>
      </c>
      <c r="T48" s="86"/>
      <c r="U48" s="96">
        <v>0.7</v>
      </c>
      <c r="V48" s="91"/>
      <c r="W48" s="103">
        <v>22</v>
      </c>
      <c r="X48" s="96"/>
      <c r="Y48" s="76" t="s">
        <v>75</v>
      </c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35">
      <c r="A49" s="94" t="s">
        <v>115</v>
      </c>
      <c r="B49" s="86"/>
      <c r="C49" s="86"/>
      <c r="D49" s="86"/>
      <c r="E49" s="95" t="s">
        <v>118</v>
      </c>
      <c r="F49" s="86"/>
      <c r="G49" s="96">
        <v>2.4700000000000002</v>
      </c>
      <c r="H49" s="86"/>
      <c r="I49" s="96">
        <v>2.9</v>
      </c>
      <c r="J49" s="86"/>
      <c r="K49" s="96">
        <v>43</v>
      </c>
      <c r="L49" s="77"/>
      <c r="M49" s="89"/>
      <c r="N49" s="86"/>
      <c r="O49" s="96"/>
      <c r="P49" s="86"/>
      <c r="Q49" s="97"/>
      <c r="R49" s="98"/>
      <c r="S49" s="96"/>
      <c r="T49" s="86"/>
      <c r="U49" s="96"/>
      <c r="V49" s="91"/>
      <c r="W49" s="103"/>
      <c r="X49" s="96"/>
      <c r="Y49" s="76"/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35">
      <c r="A50" s="94" t="s">
        <v>60</v>
      </c>
      <c r="B50" s="86"/>
      <c r="C50" s="86"/>
      <c r="D50" s="86"/>
      <c r="E50" s="95" t="s">
        <v>83</v>
      </c>
      <c r="F50" s="86"/>
      <c r="G50" s="96">
        <v>2.4</v>
      </c>
      <c r="H50" s="86"/>
      <c r="I50" s="96">
        <v>2.9</v>
      </c>
      <c r="J50" s="86"/>
      <c r="K50" s="96">
        <v>45</v>
      </c>
      <c r="L50" s="77"/>
      <c r="M50" s="89"/>
      <c r="N50" s="86"/>
      <c r="O50" s="96"/>
      <c r="P50" s="86"/>
      <c r="Q50" s="97" t="s">
        <v>66</v>
      </c>
      <c r="R50" s="98"/>
      <c r="S50" s="102"/>
      <c r="T50" s="99"/>
      <c r="U50" s="102"/>
      <c r="V50" s="91"/>
      <c r="W50" s="101"/>
      <c r="X50" s="102"/>
      <c r="Y50" s="76" t="s">
        <v>76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35">
      <c r="A51" s="94" t="s">
        <v>91</v>
      </c>
      <c r="B51" s="86"/>
      <c r="C51" s="86"/>
      <c r="D51" s="86"/>
      <c r="E51" s="95"/>
      <c r="F51" s="86"/>
      <c r="G51" s="96"/>
      <c r="H51" s="86"/>
      <c r="I51" s="96"/>
      <c r="J51" s="86"/>
      <c r="K51" s="96"/>
      <c r="L51" s="77"/>
      <c r="M51" s="89"/>
      <c r="N51" s="86"/>
      <c r="O51" s="96"/>
      <c r="P51" s="86"/>
      <c r="Q51" s="97" t="s">
        <v>56</v>
      </c>
      <c r="R51" s="98"/>
      <c r="S51" s="303"/>
      <c r="T51" s="304"/>
      <c r="U51" s="303"/>
      <c r="V51" s="305"/>
      <c r="W51" s="306"/>
      <c r="X51" s="102"/>
      <c r="Y51" s="76" t="s">
        <v>110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35">
      <c r="A52" s="94" t="s">
        <v>68</v>
      </c>
      <c r="B52" s="86"/>
      <c r="C52" s="86"/>
      <c r="D52" s="86"/>
      <c r="E52" s="95" t="s">
        <v>56</v>
      </c>
      <c r="F52" s="86"/>
      <c r="G52" s="96">
        <v>2.58</v>
      </c>
      <c r="H52" s="86"/>
      <c r="I52" s="96">
        <v>2.5499999999999998</v>
      </c>
      <c r="J52" s="86"/>
      <c r="K52" s="96">
        <v>42</v>
      </c>
      <c r="L52" s="77"/>
      <c r="M52" s="89"/>
      <c r="N52" s="86"/>
      <c r="O52" s="96"/>
      <c r="P52" s="86"/>
      <c r="Q52" s="97" t="s">
        <v>69</v>
      </c>
      <c r="R52" s="98"/>
      <c r="S52" s="303">
        <v>0.6</v>
      </c>
      <c r="T52" s="304"/>
      <c r="U52" s="96">
        <v>0.65</v>
      </c>
      <c r="V52" s="305"/>
      <c r="W52" s="306">
        <v>19</v>
      </c>
      <c r="X52" s="102"/>
      <c r="Y52" s="76" t="s">
        <v>106</v>
      </c>
      <c r="Z52" s="76"/>
      <c r="AA52" s="76"/>
      <c r="AB52" s="76"/>
      <c r="AC52" s="77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35">
      <c r="A53" s="94" t="s">
        <v>67</v>
      </c>
      <c r="B53" s="86"/>
      <c r="C53" s="86"/>
      <c r="D53" s="86"/>
      <c r="E53" s="95" t="s">
        <v>112</v>
      </c>
      <c r="F53" s="86"/>
      <c r="G53" s="96">
        <v>2.6</v>
      </c>
      <c r="H53" s="86"/>
      <c r="I53" s="96">
        <v>2.7</v>
      </c>
      <c r="J53" s="86"/>
      <c r="K53" s="96">
        <v>43.48</v>
      </c>
      <c r="L53" s="77"/>
      <c r="M53" s="89"/>
      <c r="N53" s="86"/>
      <c r="O53" s="96"/>
      <c r="P53" s="86"/>
      <c r="Q53" s="97" t="s">
        <v>80</v>
      </c>
      <c r="R53" s="98"/>
      <c r="S53" s="96">
        <v>0.67</v>
      </c>
      <c r="T53" s="86"/>
      <c r="U53" s="96">
        <v>0.65</v>
      </c>
      <c r="V53" s="91"/>
      <c r="W53" s="103"/>
      <c r="X53" s="96"/>
      <c r="Y53" s="76" t="s">
        <v>109</v>
      </c>
      <c r="Z53" s="76"/>
      <c r="AA53" s="76"/>
      <c r="AB53" s="76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35">
      <c r="A54" s="94" t="s">
        <v>61</v>
      </c>
      <c r="B54" s="86"/>
      <c r="C54" s="86"/>
      <c r="D54" s="86"/>
      <c r="E54" s="95" t="s">
        <v>62</v>
      </c>
      <c r="F54" s="86"/>
      <c r="G54" s="96">
        <v>2.5</v>
      </c>
      <c r="H54" s="86"/>
      <c r="I54" s="96">
        <v>2.5499999999999998</v>
      </c>
      <c r="J54" s="86"/>
      <c r="K54" s="96">
        <v>40</v>
      </c>
      <c r="L54" s="77"/>
      <c r="M54" s="89"/>
      <c r="N54" s="86"/>
      <c r="O54" s="96"/>
      <c r="P54" s="86"/>
      <c r="Q54" s="97" t="s">
        <v>66</v>
      </c>
      <c r="R54" s="98"/>
      <c r="S54" s="102"/>
      <c r="T54" s="99"/>
      <c r="U54" s="102"/>
      <c r="V54" s="91"/>
      <c r="W54" s="101"/>
      <c r="X54" s="102"/>
      <c r="Y54" s="76" t="s">
        <v>78</v>
      </c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35">
      <c r="A55" s="104" t="s">
        <v>63</v>
      </c>
      <c r="B55" s="86"/>
      <c r="C55" s="86"/>
      <c r="D55" s="86"/>
      <c r="E55" s="95" t="s">
        <v>56</v>
      </c>
      <c r="F55" s="86"/>
      <c r="G55" s="96">
        <v>2.5499999999999998</v>
      </c>
      <c r="H55" s="86"/>
      <c r="I55" s="96">
        <v>2.7</v>
      </c>
      <c r="J55" s="86"/>
      <c r="K55" s="96">
        <v>45</v>
      </c>
      <c r="L55" s="77"/>
      <c r="M55" s="89"/>
      <c r="N55" s="86"/>
      <c r="O55" s="96"/>
      <c r="P55" s="86"/>
      <c r="Q55" s="97" t="s">
        <v>62</v>
      </c>
      <c r="R55" s="98"/>
      <c r="S55" s="96">
        <v>0.6</v>
      </c>
      <c r="T55" s="86"/>
      <c r="U55" s="96">
        <v>0.65</v>
      </c>
      <c r="V55" s="91"/>
      <c r="W55" s="103">
        <v>19</v>
      </c>
      <c r="X55" s="102"/>
      <c r="Y55" s="76"/>
      <c r="Z55" s="76"/>
      <c r="AA55" s="76"/>
      <c r="AB55" s="76"/>
      <c r="AC55" s="77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</row>
    <row r="56" spans="1:54" s="84" customFormat="1" ht="26.1" customHeight="1" x14ac:dyDescent="0.35">
      <c r="A56" s="104" t="s">
        <v>113</v>
      </c>
      <c r="B56" s="86"/>
      <c r="C56" s="86"/>
      <c r="D56" s="86"/>
      <c r="E56" s="95" t="s">
        <v>56</v>
      </c>
      <c r="F56" s="86"/>
      <c r="G56" s="96">
        <v>2.5</v>
      </c>
      <c r="H56" s="86"/>
      <c r="I56" s="96">
        <v>2.9</v>
      </c>
      <c r="J56" s="86"/>
      <c r="K56" s="96">
        <v>47</v>
      </c>
      <c r="L56" s="77"/>
      <c r="M56" s="89"/>
      <c r="N56" s="86"/>
      <c r="O56" s="96"/>
      <c r="P56" s="86"/>
      <c r="Q56" s="97" t="s">
        <v>56</v>
      </c>
      <c r="R56" s="98"/>
      <c r="S56" s="96">
        <v>0.6</v>
      </c>
      <c r="T56" s="86"/>
      <c r="U56" s="96">
        <v>0.65</v>
      </c>
      <c r="V56" s="91"/>
      <c r="W56" s="103">
        <v>21</v>
      </c>
      <c r="X56" s="96"/>
      <c r="Y56" s="76" t="s">
        <v>94</v>
      </c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  <c r="AT56" s="79"/>
      <c r="AU56" s="79"/>
      <c r="AV56" s="79"/>
      <c r="AW56" s="79"/>
      <c r="AX56" s="79"/>
      <c r="AY56" s="79"/>
      <c r="AZ56" s="79"/>
      <c r="BA56" s="79"/>
      <c r="BB56" s="79"/>
    </row>
    <row r="57" spans="1:54" s="79" customFormat="1" ht="26.1" customHeight="1" x14ac:dyDescent="0.35">
      <c r="A57" s="104"/>
      <c r="B57" s="86"/>
      <c r="C57" s="86"/>
      <c r="D57" s="86"/>
      <c r="E57" s="83"/>
      <c r="F57" s="86"/>
      <c r="G57" s="96"/>
      <c r="H57" s="86"/>
      <c r="I57" s="96"/>
      <c r="J57" s="86"/>
      <c r="K57" s="96"/>
      <c r="L57" s="83"/>
      <c r="M57" s="83"/>
      <c r="N57" s="86"/>
      <c r="O57" s="96"/>
      <c r="P57" s="86"/>
      <c r="Q57" s="83"/>
      <c r="R57" s="98"/>
      <c r="S57" s="95"/>
      <c r="T57" s="86"/>
      <c r="U57" s="83"/>
      <c r="V57" s="83"/>
      <c r="W57" s="105"/>
      <c r="X57" s="86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6.1" customHeight="1" thickBot="1" x14ac:dyDescent="0.4">
      <c r="A58" s="104" t="s">
        <v>16</v>
      </c>
      <c r="B58" s="83"/>
      <c r="C58" s="106"/>
      <c r="D58" s="83"/>
      <c r="E58" s="83"/>
      <c r="F58" s="83"/>
      <c r="G58" s="107">
        <f>AVERAGEA(G45:G56)</f>
        <v>2.5336363636363637</v>
      </c>
      <c r="H58" s="108"/>
      <c r="I58" s="107">
        <f>AVERAGEA(I45:I56)</f>
        <v>2.8099999999999996</v>
      </c>
      <c r="J58" s="109"/>
      <c r="K58" s="107">
        <f>AVERAGEA(K45:K56)</f>
        <v>42.589090909090913</v>
      </c>
      <c r="L58" s="83"/>
      <c r="M58" s="83"/>
      <c r="N58" s="108"/>
      <c r="O58" s="83"/>
      <c r="P58" s="108"/>
      <c r="Q58" s="83"/>
      <c r="R58" s="98"/>
      <c r="S58" s="107">
        <f>AVERAGEA(S45:S56)</f>
        <v>0.624</v>
      </c>
      <c r="T58" s="110"/>
      <c r="U58" s="107">
        <f>AVERAGEA(U45:U56)</f>
        <v>0.65999999999999992</v>
      </c>
      <c r="V58" s="83"/>
      <c r="W58" s="111">
        <f>AVERAGEA(W45:W56)</f>
        <v>20.25</v>
      </c>
      <c r="X58" s="112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4" thickTop="1" x14ac:dyDescent="0.35">
      <c r="A59" s="104"/>
      <c r="B59" s="83"/>
      <c r="C59" s="106"/>
      <c r="D59" s="83"/>
      <c r="E59" s="83"/>
      <c r="F59" s="83"/>
      <c r="G59" s="108"/>
      <c r="H59" s="108"/>
      <c r="I59" s="112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2"/>
      <c r="W59" s="114"/>
      <c r="X59" s="76"/>
      <c r="Y59" s="76"/>
      <c r="Z59" s="76"/>
      <c r="AA59" s="76"/>
      <c r="AB59" s="76"/>
      <c r="AD59" s="93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0"/>
      <c r="AQ59" s="81"/>
      <c r="AR59" s="82"/>
      <c r="AS59" s="82"/>
    </row>
    <row r="60" spans="1:54" s="79" customFormat="1" ht="23.25" x14ac:dyDescent="0.35">
      <c r="A60" s="115" t="s">
        <v>64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3.25" x14ac:dyDescent="0.35">
      <c r="A61" s="115" t="s">
        <v>65</v>
      </c>
      <c r="B61" s="83"/>
      <c r="C61" s="106"/>
      <c r="D61" s="83"/>
      <c r="E61" s="83"/>
      <c r="F61" s="83"/>
      <c r="G61" s="108"/>
      <c r="H61" s="108"/>
      <c r="I61" s="109"/>
      <c r="J61" s="109"/>
      <c r="K61" s="83"/>
      <c r="L61" s="83"/>
      <c r="M61" s="113"/>
      <c r="N61" s="108"/>
      <c r="O61" s="109"/>
      <c r="P61" s="108"/>
      <c r="Q61" s="110"/>
      <c r="R61" s="98"/>
      <c r="S61" s="83"/>
      <c r="T61" s="110"/>
      <c r="U61" s="83"/>
      <c r="V61" s="110"/>
      <c r="W61" s="114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79" customFormat="1" ht="23.25" x14ac:dyDescent="0.35">
      <c r="A62" s="307"/>
      <c r="B62" s="118"/>
      <c r="C62" s="119"/>
      <c r="D62" s="118"/>
      <c r="E62" s="118"/>
      <c r="F62" s="118"/>
      <c r="G62" s="120"/>
      <c r="H62" s="120"/>
      <c r="I62" s="121"/>
      <c r="J62" s="121"/>
      <c r="K62" s="118"/>
      <c r="L62" s="118"/>
      <c r="M62" s="122"/>
      <c r="N62" s="120"/>
      <c r="O62" s="121"/>
      <c r="P62" s="120"/>
      <c r="Q62" s="123"/>
      <c r="R62" s="124"/>
      <c r="S62" s="118"/>
      <c r="T62" s="123"/>
      <c r="U62" s="118"/>
      <c r="V62" s="123"/>
      <c r="W62" s="125"/>
      <c r="X62" s="76"/>
      <c r="Y62" s="76"/>
      <c r="Z62" s="76"/>
      <c r="AA62" s="76"/>
      <c r="AB62" s="76"/>
      <c r="AD62" s="84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84"/>
      <c r="AQ62" s="84"/>
      <c r="AR62" s="117"/>
      <c r="AS62" s="84"/>
    </row>
    <row r="63" spans="1:54" s="5" customFormat="1" ht="23.25" x14ac:dyDescent="0.35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3.25" x14ac:dyDescent="0.35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Q64" s="26"/>
      <c r="R64" s="26"/>
      <c r="S64" s="26"/>
      <c r="T64" s="13"/>
      <c r="V64" s="14"/>
      <c r="W64" s="14"/>
      <c r="X64" s="14"/>
      <c r="Y64" s="14"/>
      <c r="Z64" s="14"/>
      <c r="AA64" s="14"/>
      <c r="AB64" s="14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27"/>
      <c r="P65" s="27"/>
      <c r="Q65" s="27"/>
      <c r="R65" s="27"/>
      <c r="S65" s="27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3.25" x14ac:dyDescent="0.35">
      <c r="C66" s="15"/>
      <c r="E66" s="7"/>
      <c r="G66" s="23"/>
      <c r="I66" s="24"/>
      <c r="J66" s="24"/>
      <c r="K66" s="41"/>
      <c r="M66" s="24"/>
      <c r="O66" s="38"/>
      <c r="P66" s="38"/>
      <c r="Q66" s="38"/>
      <c r="R66" s="38"/>
      <c r="S66" s="38"/>
      <c r="V66" s="19"/>
      <c r="W66" s="19"/>
      <c r="X66" s="19"/>
      <c r="Y66" s="19"/>
      <c r="Z66" s="19"/>
      <c r="AA66" s="19"/>
      <c r="AB66" s="19"/>
      <c r="AD66" s="7"/>
      <c r="AE66" s="9"/>
      <c r="AF66" s="236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12"/>
      <c r="AF68" s="236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3.25" x14ac:dyDescent="0.35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236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O79" s="43"/>
      <c r="P79" s="44"/>
      <c r="Q79" s="43"/>
      <c r="R79" s="44"/>
      <c r="S79" s="43"/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25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E43:K43"/>
    <mergeCell ref="Q43:W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2001-07-27T19:45:43Z</cp:lastPrinted>
  <dcterms:created xsi:type="dcterms:W3CDTF">1997-07-25T21:20:20Z</dcterms:created>
  <dcterms:modified xsi:type="dcterms:W3CDTF">2023-09-17T16:42:21Z</dcterms:modified>
</cp:coreProperties>
</file>