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3083F9-00CD-4D53-92A3-3C719CEADDBD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<sst xmlns="http://schemas.openxmlformats.org/spreadsheetml/2006/main" count="186" uniqueCount="128">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</sst>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24.05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36.96</val>
          </value>
        </values>
      </ddeItem>
      <ddeItem name="BPL,DIVIDEND">
        <values>
          <value>
            <val>2.5</val>
          </value>
        </values>
      </ddeItem>
      <ddeItem name="EOT">
        <values>
          <value>
            <val>18.95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34.43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5.29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71.239999999999995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38.93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45.49</val>
          </value>
        </values>
      </ddeItem>
      <ddeItem name="LHP,DIVIDEND">
        <values>
          <value>
            <val>3.5</val>
          </value>
        </values>
      </ddeItem>
      <ddeItem name="NBP" advise="1">
        <values>
          <value>
            <val>39.56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25.9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24</val>
          </value>
        </values>
      </ddeItem>
      <ddeItem name="TCLPZ.O,DIVIDEND" advise="1">
        <values>
          <value>
            <val>2</val>
          </value>
        </values>
      </ddeItem>
      <ddeItem name="TPP">
        <values>
          <value>
            <val>30.5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31.44</val>
          </value>
        </values>
      </ddeItem>
      <ddeItem name="US30YT=RR,RT YIELD 1">
        <values>
          <value>
            <val>5.5484999999999998</val>
          </value>
        </values>
      </ddeItem>
      <ddeItem name="WEG">
        <values>
          <value>
            <val>29.9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37092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37085</v>
      </c>
      <c r="AH6" s="299" t="s">
        <v>81</v>
      </c>
      <c r="AI6" s="171">
        <v>37071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39.56</v>
      </c>
      <c r="F10" s="208"/>
      <c r="G10" s="207">
        <f>[1]!'NBP,DIVIDEND'</f>
        <v>3.05</v>
      </c>
      <c r="H10" s="209"/>
      <c r="I10" s="210">
        <f>+G10/E10</f>
        <v>7.7098078867542968E-2</v>
      </c>
      <c r="J10" s="210"/>
      <c r="K10" s="211">
        <f>(+I10-E$28)*10000</f>
        <v>216.1307886754297</v>
      </c>
      <c r="L10" s="206"/>
      <c r="M10" s="210">
        <f>(I10*AA10)+((I10*(1-AA10))*(1-0.3))</f>
        <v>7.594160768452983E-2</v>
      </c>
      <c r="N10" s="206"/>
      <c r="O10" s="212">
        <f>+G10/Z10</f>
        <v>1.1282367447595563</v>
      </c>
      <c r="P10" s="213"/>
      <c r="Q10" s="212">
        <f>(AF10+$E10-AG10)/AG10</f>
        <v>3.4248366013071956E-2</v>
      </c>
      <c r="R10" s="213"/>
      <c r="S10" s="212">
        <f>(AH10+$E10-AI10)/AI10</f>
        <v>4.2973899288162469E-2</v>
      </c>
      <c r="T10" s="209"/>
      <c r="U10" s="214">
        <f>(AJ10+$E10-AK10)/AK10</f>
        <v>0.30750597609561764</v>
      </c>
      <c r="V10" s="215"/>
      <c r="W10" s="130"/>
      <c r="X10" s="149"/>
      <c r="Y10" s="323">
        <f>ROUND(G58,2)</f>
        <v>2.6</v>
      </c>
      <c r="Z10" s="324">
        <f>+I58</f>
        <v>2.7033333333333327</v>
      </c>
      <c r="AA10" s="216">
        <v>0.95</v>
      </c>
      <c r="AB10" s="217"/>
      <c r="AC10" s="77"/>
      <c r="AD10" s="218">
        <v>37098</v>
      </c>
      <c r="AE10" s="219">
        <v>0.76249999999999996</v>
      </c>
      <c r="AF10" s="220"/>
      <c r="AG10" s="236">
        <v>38.25</v>
      </c>
      <c r="AH10" s="220"/>
      <c r="AI10" s="236">
        <v>37.93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18.95</v>
      </c>
      <c r="F11" s="229"/>
      <c r="G11" s="228">
        <f>[1]!'EOT,DIVIDEND'</f>
        <v>1.9</v>
      </c>
      <c r="H11" s="230"/>
      <c r="I11" s="231">
        <f>+G11/E11</f>
        <v>0.10026385224274406</v>
      </c>
      <c r="J11" s="231"/>
      <c r="K11" s="232">
        <f>(+I11-E$28)*10000</f>
        <v>447.78852242744063</v>
      </c>
      <c r="L11" s="227"/>
      <c r="M11" s="231">
        <f>(I11*AA11)+((I11*(1-AA11))*(1-0.3))</f>
        <v>9.8759894459102909E-2</v>
      </c>
      <c r="N11" s="227"/>
      <c r="O11" s="233">
        <f>+G11/Z11</f>
        <v>2.8787878787878785</v>
      </c>
      <c r="P11" s="234"/>
      <c r="Q11" s="233">
        <f>(AF11+$E11-AG11)/AG11</f>
        <v>1.9365250134480875E-2</v>
      </c>
      <c r="R11" s="234"/>
      <c r="S11" s="233">
        <f>(AH11+$E11-AI11)/AI11</f>
        <v>2.9891304347826129E-2</v>
      </c>
      <c r="T11" s="230"/>
      <c r="U11" s="235">
        <f>(AJ11+E11-AK11)/AK11</f>
        <v>0.21526717557251901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37098</v>
      </c>
      <c r="AE11" s="219">
        <v>0.47499999999999998</v>
      </c>
      <c r="AF11" s="220"/>
      <c r="AG11" s="228">
        <v>18.59</v>
      </c>
      <c r="AH11" s="220"/>
      <c r="AI11" s="228">
        <v>18.399999999999999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24.05</v>
      </c>
      <c r="F13" s="237"/>
      <c r="G13" s="236">
        <f>[1]!'APU,DIVIDEND'</f>
        <v>2.2000000000000002</v>
      </c>
      <c r="H13" s="108"/>
      <c r="I13" s="178">
        <f t="shared" ref="I13:I24" si="0">+G13/E13</f>
        <v>9.1476091476091481E-2</v>
      </c>
      <c r="J13" s="178"/>
      <c r="K13" s="243">
        <f t="shared" ref="K13:K24" si="1">(+I13-E$28)*10000</f>
        <v>359.91091476091481</v>
      </c>
      <c r="L13" s="106"/>
      <c r="M13" s="178">
        <f t="shared" ref="M13:M24" si="2">(I13*AA13)+((I13*(1-AA13))*(1-0.3))</f>
        <v>8.3243243243243253E-2</v>
      </c>
      <c r="N13" s="106"/>
      <c r="O13" s="165">
        <f>+G13/Y13</f>
        <v>2</v>
      </c>
      <c r="P13" s="239"/>
      <c r="Q13" s="165">
        <f t="shared" ref="Q13:Q24" si="3">(AF13+$E13-AG13)/AG13</f>
        <v>1.0504201680672268E-2</v>
      </c>
      <c r="R13" s="239"/>
      <c r="S13" s="165">
        <f t="shared" ref="S13:S24" si="4">(AH13+$E13-AI13)/AI13</f>
        <v>3.4408602150537662E-2</v>
      </c>
      <c r="T13" s="108"/>
      <c r="U13" s="244">
        <f>(AJ13+E13-AK13)/AK13</f>
        <v>0.51278195488721823</v>
      </c>
      <c r="V13" s="215"/>
      <c r="W13" s="130"/>
      <c r="X13" s="149"/>
      <c r="Y13" s="323">
        <v>1.1000000000000001</v>
      </c>
      <c r="Z13" s="324">
        <v>1.1499999999999999</v>
      </c>
      <c r="AA13" s="216">
        <v>0.7</v>
      </c>
      <c r="AB13" s="245"/>
      <c r="AC13" s="77"/>
      <c r="AD13" s="218">
        <v>37107</v>
      </c>
      <c r="AE13" s="219">
        <v>0.55000000000000004</v>
      </c>
      <c r="AF13" s="328"/>
      <c r="AG13" s="236">
        <v>23.8</v>
      </c>
      <c r="AH13" s="328"/>
      <c r="AI13" s="236">
        <v>23.25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36.96</v>
      </c>
      <c r="F14" s="237"/>
      <c r="G14" s="236">
        <f>[1]!'BPL,DIVIDEND'</f>
        <v>2.5</v>
      </c>
      <c r="H14" s="108"/>
      <c r="I14" s="178">
        <f t="shared" si="0"/>
        <v>6.764069264069264E-2</v>
      </c>
      <c r="J14" s="178"/>
      <c r="K14" s="243">
        <f t="shared" si="1"/>
        <v>121.55692640692641</v>
      </c>
      <c r="L14" s="106"/>
      <c r="M14" s="178">
        <f t="shared" si="2"/>
        <v>6.2567640692640689E-2</v>
      </c>
      <c r="N14" s="106"/>
      <c r="O14" s="165">
        <f t="shared" ref="O14:O24" si="5">+G14/Z14</f>
        <v>0.96525096525096532</v>
      </c>
      <c r="P14" s="239"/>
      <c r="Q14" s="165">
        <f t="shared" si="3"/>
        <v>4.406779661016956E-2</v>
      </c>
      <c r="R14" s="239"/>
      <c r="S14" s="165">
        <f t="shared" si="4"/>
        <v>7.0683661645422877E-2</v>
      </c>
      <c r="T14" s="108"/>
      <c r="U14" s="244">
        <f t="shared" ref="U14:U24" si="6">(AJ14+E14-AK14)/AK14</f>
        <v>0.32155844155844171</v>
      </c>
      <c r="V14" s="215"/>
      <c r="W14" s="130"/>
      <c r="X14" s="149"/>
      <c r="Y14" s="323">
        <v>2.44</v>
      </c>
      <c r="Z14" s="324">
        <v>2.59</v>
      </c>
      <c r="AA14" s="216">
        <v>0.75</v>
      </c>
      <c r="AB14" s="217"/>
      <c r="AC14" s="77"/>
      <c r="AD14" s="218">
        <v>37105</v>
      </c>
      <c r="AE14" s="219">
        <v>0.6</v>
      </c>
      <c r="AF14" s="220"/>
      <c r="AG14" s="236">
        <v>35.4</v>
      </c>
      <c r="AH14" s="220"/>
      <c r="AI14" s="236">
        <v>34.520000000000003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34.43</v>
      </c>
      <c r="F15" s="237"/>
      <c r="G15" s="236">
        <f>[1]!'EPN,DIVIDEND'</f>
        <v>2.2999999999999998</v>
      </c>
      <c r="H15" s="108"/>
      <c r="I15" s="178">
        <f t="shared" si="0"/>
        <v>6.6802207377287245E-2</v>
      </c>
      <c r="J15" s="178"/>
      <c r="K15" s="243">
        <f t="shared" si="1"/>
        <v>113.17207377287245</v>
      </c>
      <c r="L15" s="106"/>
      <c r="M15" s="178">
        <f>(I15*AA15)+((I15*(1-AA15))*(1-0.3))</f>
        <v>6.6000580888759791E-2</v>
      </c>
      <c r="N15" s="106"/>
      <c r="O15" s="165">
        <f>+G15/Z15</f>
        <v>4.7916666666666661</v>
      </c>
      <c r="P15" s="239"/>
      <c r="Q15" s="165">
        <f>(AF15+$E15-AG15)/AG15</f>
        <v>1.2647058823529404E-2</v>
      </c>
      <c r="R15" s="239"/>
      <c r="S15" s="165">
        <f>(AH15+$E15-AI15)/AI15</f>
        <v>9.3710292249046992E-2</v>
      </c>
      <c r="T15" s="108"/>
      <c r="U15" s="244">
        <f t="shared" si="6"/>
        <v>0.29585421412300683</v>
      </c>
      <c r="V15" s="251"/>
      <c r="W15" s="130"/>
      <c r="X15" s="149"/>
      <c r="Y15" s="325">
        <v>0.24</v>
      </c>
      <c r="Z15" s="326">
        <v>0.48</v>
      </c>
      <c r="AA15" s="252">
        <v>0.96</v>
      </c>
      <c r="AB15" s="254"/>
      <c r="AC15" s="77"/>
      <c r="AD15" s="218">
        <v>37098</v>
      </c>
      <c r="AE15" s="249">
        <v>0.57499999999999996</v>
      </c>
      <c r="AF15" s="250"/>
      <c r="AG15" s="236">
        <v>34</v>
      </c>
      <c r="AH15" s="250"/>
      <c r="AI15" s="236">
        <v>31.48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3.25" x14ac:dyDescent="0.35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16.578571428571482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</v>
      </c>
      <c r="T16" s="108"/>
      <c r="U16" s="244">
        <f>(AJ16+E16-AK16)/AK16</f>
        <v>0.25964214711729627</v>
      </c>
      <c r="V16" s="251"/>
      <c r="W16" s="130"/>
      <c r="X16" s="149"/>
      <c r="Y16" s="325">
        <v>2.23</v>
      </c>
      <c r="Z16" s="326">
        <v>2.4500000000000002</v>
      </c>
      <c r="AA16" s="252"/>
      <c r="AB16" s="254"/>
      <c r="AC16" s="77"/>
      <c r="AD16" s="218">
        <v>37098</v>
      </c>
      <c r="AE16" s="249">
        <v>0.55000000000000004</v>
      </c>
      <c r="AF16" s="250"/>
      <c r="AG16" s="236">
        <v>38.5</v>
      </c>
      <c r="AH16" s="250"/>
      <c r="AI16" s="236">
        <v>38.5</v>
      </c>
      <c r="AJ16" s="250">
        <f>0.55*2</f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25" x14ac:dyDescent="0.35">
      <c r="A17" s="126" t="s">
        <v>73</v>
      </c>
      <c r="B17" s="77"/>
      <c r="C17" s="143" t="s">
        <v>42</v>
      </c>
      <c r="D17" s="77"/>
      <c r="E17" s="236">
        <f>[1]!FGP</f>
        <v>19</v>
      </c>
      <c r="F17" s="237"/>
      <c r="G17" s="236">
        <f>[1]!'FGP,DIVIDEND'</f>
        <v>2</v>
      </c>
      <c r="H17" s="108"/>
      <c r="I17" s="178">
        <f t="shared" si="0"/>
        <v>0.10526315789473684</v>
      </c>
      <c r="J17" s="178"/>
      <c r="K17" s="243">
        <f t="shared" si="1"/>
        <v>497.78157894736836</v>
      </c>
      <c r="L17" s="106"/>
      <c r="M17" s="178">
        <f t="shared" si="2"/>
        <v>0.10463157894736842</v>
      </c>
      <c r="N17" s="106"/>
      <c r="O17" s="165">
        <f t="shared" si="5"/>
        <v>1.9607843137254901</v>
      </c>
      <c r="P17" s="248"/>
      <c r="Q17" s="165">
        <f t="shared" si="3"/>
        <v>-7.8328981723236862E-3</v>
      </c>
      <c r="R17" s="248"/>
      <c r="S17" s="165">
        <f t="shared" si="4"/>
        <v>-1.8087855297157694E-2</v>
      </c>
      <c r="T17" s="108"/>
      <c r="U17" s="244">
        <f t="shared" si="6"/>
        <v>0.51658767772511849</v>
      </c>
      <c r="V17" s="215"/>
      <c r="W17" s="130"/>
      <c r="X17" s="149"/>
      <c r="Y17" s="323">
        <v>1.19</v>
      </c>
      <c r="Z17" s="324">
        <v>1.02</v>
      </c>
      <c r="AA17" s="216">
        <v>0.98</v>
      </c>
      <c r="AB17" s="217"/>
      <c r="AC17" s="77"/>
      <c r="AD17" s="218">
        <v>37133</v>
      </c>
      <c r="AE17" s="219">
        <v>0.5</v>
      </c>
      <c r="AF17" s="220"/>
      <c r="AG17" s="236">
        <v>19.149999999999999</v>
      </c>
      <c r="AH17" s="220"/>
      <c r="AI17" s="236">
        <v>19.350000000000001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108</v>
      </c>
      <c r="B18" s="77"/>
      <c r="C18" s="143" t="s">
        <v>43</v>
      </c>
      <c r="D18" s="77"/>
      <c r="E18" s="236">
        <f>[1]!GEL.A</f>
        <v>5.29</v>
      </c>
      <c r="F18" s="237"/>
      <c r="G18" s="236">
        <f>[1]!'GEL.A,DIVIDEND'</f>
        <v>0.8</v>
      </c>
      <c r="H18" s="327" t="s">
        <v>111</v>
      </c>
      <c r="I18" s="178">
        <f t="shared" si="0"/>
        <v>0.15122873345935728</v>
      </c>
      <c r="J18" s="178"/>
      <c r="K18" s="243">
        <f t="shared" si="1"/>
        <v>957.4373345935727</v>
      </c>
      <c r="L18" s="106"/>
      <c r="M18" s="178">
        <f t="shared" si="2"/>
        <v>0.15122873345935728</v>
      </c>
      <c r="N18" s="106"/>
      <c r="O18" s="165" t="s">
        <v>117</v>
      </c>
      <c r="P18" s="239"/>
      <c r="Q18" s="165">
        <f t="shared" si="3"/>
        <v>0.11134453781512611</v>
      </c>
      <c r="R18" s="239"/>
      <c r="S18" s="165">
        <f t="shared" si="4"/>
        <v>0.23023255813953494</v>
      </c>
      <c r="T18" s="108"/>
      <c r="U18" s="244">
        <f t="shared" si="6"/>
        <v>0.56965517241379326</v>
      </c>
      <c r="V18" s="215"/>
      <c r="W18" s="130"/>
      <c r="X18" s="149"/>
      <c r="Y18" s="323">
        <v>0.1</v>
      </c>
      <c r="Z18" s="324">
        <v>0.15</v>
      </c>
      <c r="AA18" s="216">
        <v>1</v>
      </c>
      <c r="AB18" s="217"/>
      <c r="AC18" s="77"/>
      <c r="AD18" s="218">
        <v>37098</v>
      </c>
      <c r="AE18" s="249">
        <v>0.2</v>
      </c>
      <c r="AF18" s="250"/>
      <c r="AG18" s="236">
        <v>4.76</v>
      </c>
      <c r="AH18" s="250"/>
      <c r="AI18" s="236">
        <v>4.3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3.25" x14ac:dyDescent="0.35">
      <c r="A19" s="126" t="s">
        <v>44</v>
      </c>
      <c r="B19" s="77"/>
      <c r="C19" s="143" t="s">
        <v>45</v>
      </c>
      <c r="D19" s="77"/>
      <c r="E19" s="236">
        <f>[1]!KPP</f>
        <v>38.93</v>
      </c>
      <c r="F19" s="237"/>
      <c r="G19" s="236">
        <f>[1]!'KPP,DIVIDEND'</f>
        <v>2.8</v>
      </c>
      <c r="H19" s="108"/>
      <c r="I19" s="178">
        <f t="shared" si="0"/>
        <v>7.1923966092987415E-2</v>
      </c>
      <c r="J19" s="178"/>
      <c r="K19" s="243">
        <f t="shared" si="1"/>
        <v>164.38966092987417</v>
      </c>
      <c r="L19" s="106"/>
      <c r="M19" s="178">
        <f t="shared" si="2"/>
        <v>6.7608528127408168E-2</v>
      </c>
      <c r="N19" s="106"/>
      <c r="O19" s="165">
        <f t="shared" si="5"/>
        <v>1.021897810218978</v>
      </c>
      <c r="P19" s="239"/>
      <c r="Q19" s="165">
        <f t="shared" si="3"/>
        <v>6.018518518518521E-2</v>
      </c>
      <c r="R19" s="239"/>
      <c r="S19" s="165">
        <f t="shared" si="4"/>
        <v>8.6823003908431021E-2</v>
      </c>
      <c r="T19" s="108"/>
      <c r="U19" s="244">
        <f t="shared" si="6"/>
        <v>0.28616632860040575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37098</v>
      </c>
      <c r="AE19" s="249">
        <v>0.7</v>
      </c>
      <c r="AF19" s="250"/>
      <c r="AG19" s="236">
        <v>36.72</v>
      </c>
      <c r="AH19" s="250"/>
      <c r="AI19" s="236">
        <v>35.82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25" x14ac:dyDescent="0.35">
      <c r="A20" s="126" t="s">
        <v>46</v>
      </c>
      <c r="B20" s="77"/>
      <c r="C20" s="143" t="s">
        <v>101</v>
      </c>
      <c r="D20" s="77"/>
      <c r="E20" s="236">
        <f>[1]!KMP</f>
        <v>71.239999999999995</v>
      </c>
      <c r="F20" s="237"/>
      <c r="G20" s="236">
        <f>[1]!'KMP,DIVIDEND'</f>
        <v>4.2</v>
      </c>
      <c r="H20" s="320"/>
      <c r="I20" s="178">
        <f t="shared" si="0"/>
        <v>5.8955642897248743E-2</v>
      </c>
      <c r="J20" s="178"/>
      <c r="K20" s="243">
        <f t="shared" si="1"/>
        <v>34.706428972487437</v>
      </c>
      <c r="L20" s="106"/>
      <c r="M20" s="178">
        <f t="shared" si="2"/>
        <v>5.7186973610331281E-2</v>
      </c>
      <c r="N20" s="106"/>
      <c r="O20" s="165">
        <f t="shared" si="5"/>
        <v>1.728395061728395</v>
      </c>
      <c r="P20" s="239"/>
      <c r="Q20" s="165">
        <f t="shared" si="3"/>
        <v>-3.6363636363637079E-3</v>
      </c>
      <c r="R20" s="239"/>
      <c r="S20" s="165">
        <f t="shared" si="4"/>
        <v>3.6067481093658954E-2</v>
      </c>
      <c r="T20" s="108"/>
      <c r="U20" s="244">
        <f t="shared" si="6"/>
        <v>0.30059933407325184</v>
      </c>
      <c r="V20" s="251"/>
      <c r="W20" s="130"/>
      <c r="X20" s="149"/>
      <c r="Y20" s="325">
        <v>1.87</v>
      </c>
      <c r="Z20" s="326">
        <v>2.4300000000000002</v>
      </c>
      <c r="AA20" s="252">
        <v>0.9</v>
      </c>
      <c r="AB20" s="253"/>
      <c r="AC20" s="77"/>
      <c r="AD20" s="218">
        <v>37098</v>
      </c>
      <c r="AE20" s="219">
        <v>1.05</v>
      </c>
      <c r="AF20" s="220"/>
      <c r="AG20" s="236">
        <v>71.5</v>
      </c>
      <c r="AH20" s="220"/>
      <c r="AI20" s="236">
        <v>68.760000000000005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3.25" x14ac:dyDescent="0.35">
      <c r="A21" s="126" t="s">
        <v>47</v>
      </c>
      <c r="B21" s="77"/>
      <c r="C21" s="143" t="s">
        <v>48</v>
      </c>
      <c r="D21" s="77"/>
      <c r="E21" s="236">
        <f>[1]!LHP</f>
        <v>45.49</v>
      </c>
      <c r="F21" s="237"/>
      <c r="G21" s="236">
        <f>[1]!'LHP,DIVIDEND'</f>
        <v>3.5</v>
      </c>
      <c r="H21" s="108"/>
      <c r="I21" s="178">
        <f t="shared" si="0"/>
        <v>7.6939986810287977E-2</v>
      </c>
      <c r="J21" s="178"/>
      <c r="K21" s="243">
        <f t="shared" si="1"/>
        <v>214.54986810287977</v>
      </c>
      <c r="L21" s="106"/>
      <c r="M21" s="178">
        <f t="shared" si="2"/>
        <v>7.5785887008133657E-2</v>
      </c>
      <c r="N21" s="106"/>
      <c r="O21" s="165">
        <f t="shared" si="5"/>
        <v>1.4830508474576272</v>
      </c>
      <c r="P21" s="239"/>
      <c r="Q21" s="165">
        <f t="shared" si="3"/>
        <v>3.0871003307607623E-3</v>
      </c>
      <c r="R21" s="239"/>
      <c r="S21" s="165">
        <f t="shared" si="4"/>
        <v>5.3038674033149607E-3</v>
      </c>
      <c r="T21" s="108"/>
      <c r="U21" s="244">
        <f t="shared" si="6"/>
        <v>0.14521212121212126</v>
      </c>
      <c r="V21" s="251"/>
      <c r="W21" s="130"/>
      <c r="X21" s="149"/>
      <c r="Y21" s="325">
        <v>2.21</v>
      </c>
      <c r="Z21" s="326">
        <v>2.36</v>
      </c>
      <c r="AA21" s="252">
        <v>0.95</v>
      </c>
      <c r="AB21" s="254"/>
      <c r="AC21" s="77"/>
      <c r="AD21" s="218">
        <v>37098</v>
      </c>
      <c r="AE21" s="219">
        <v>0.875</v>
      </c>
      <c r="AF21" s="220"/>
      <c r="AG21" s="236">
        <v>45.35</v>
      </c>
      <c r="AH21" s="220"/>
      <c r="AI21" s="236">
        <v>45.25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25" x14ac:dyDescent="0.35">
      <c r="A22" s="126" t="s">
        <v>82</v>
      </c>
      <c r="B22" s="77"/>
      <c r="C22" s="143" t="s">
        <v>84</v>
      </c>
      <c r="D22" s="77"/>
      <c r="E22" s="236">
        <f>[1]!PAA</f>
        <v>25.9</v>
      </c>
      <c r="F22" s="237"/>
      <c r="G22" s="236">
        <f>[1]!'PAA,DIVIDEND'</f>
        <v>1.9</v>
      </c>
      <c r="H22" s="320"/>
      <c r="I22" s="178">
        <f t="shared" si="0"/>
        <v>7.3359073359073365E-2</v>
      </c>
      <c r="J22" s="178"/>
      <c r="K22" s="243">
        <f t="shared" si="1"/>
        <v>178.74073359073367</v>
      </c>
      <c r="L22" s="106"/>
      <c r="M22" s="178">
        <f>(I22*AA22)+((I22*(1-AA22))*(1-0.3))</f>
        <v>6.6756756756756769E-2</v>
      </c>
      <c r="N22" s="106"/>
      <c r="O22" s="165">
        <f>+G22/Z22</f>
        <v>1.0497237569060773</v>
      </c>
      <c r="P22" s="239"/>
      <c r="Q22" s="165">
        <f>(AF22+$E22-AG22)/AG22</f>
        <v>3.3107299561228494E-2</v>
      </c>
      <c r="R22" s="239"/>
      <c r="S22" s="165">
        <f>(AH22+$E22-AI22)/AI22</f>
        <v>8.7778244435111299E-2</v>
      </c>
      <c r="T22" s="108"/>
      <c r="U22" s="244">
        <f t="shared" si="6"/>
        <v>0.40329411764705869</v>
      </c>
      <c r="V22" s="251"/>
      <c r="W22" s="130"/>
      <c r="X22" s="149"/>
      <c r="Y22" s="325">
        <v>1.61</v>
      </c>
      <c r="Z22" s="326">
        <v>1.81</v>
      </c>
      <c r="AA22" s="252">
        <v>0.7</v>
      </c>
      <c r="AB22" s="254"/>
      <c r="AC22" s="77"/>
      <c r="AD22" s="218">
        <v>37104</v>
      </c>
      <c r="AE22" s="249">
        <v>0.47499999999999998</v>
      </c>
      <c r="AF22" s="250"/>
      <c r="AG22" s="236">
        <v>25.07</v>
      </c>
      <c r="AH22" s="250"/>
      <c r="AI22" s="236">
        <v>23.81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104</v>
      </c>
      <c r="B23" s="77"/>
      <c r="C23" s="143" t="s">
        <v>86</v>
      </c>
      <c r="D23" s="77"/>
      <c r="E23" s="236">
        <f>[1]!TCLPZ.O</f>
        <v>24</v>
      </c>
      <c r="F23" s="237"/>
      <c r="G23" s="236">
        <f>[1]!'TCLPZ.O,DIVIDEND'</f>
        <v>2</v>
      </c>
      <c r="H23" s="108"/>
      <c r="I23" s="178">
        <f t="shared" si="0"/>
        <v>8.3333333333333329E-2</v>
      </c>
      <c r="J23" s="178"/>
      <c r="K23" s="243">
        <f t="shared" si="1"/>
        <v>278.48333333333329</v>
      </c>
      <c r="L23" s="106"/>
      <c r="M23" s="178">
        <f>(I23*AA23)+((I23*(1-AA23))*(1-0.3))</f>
        <v>8.2083333333333328E-2</v>
      </c>
      <c r="N23" s="106"/>
      <c r="O23" s="165">
        <f>+G23/Z23</f>
        <v>0.92165898617511521</v>
      </c>
      <c r="P23" s="239"/>
      <c r="Q23" s="165">
        <f>(AF23+$E23-AG23)/AG23</f>
        <v>1.6949152542372819E-2</v>
      </c>
      <c r="R23" s="239"/>
      <c r="S23" s="165">
        <f>(AH23+$E23-AI23)/AI23</f>
        <v>4.3478260869565216E-2</v>
      </c>
      <c r="T23" s="108"/>
      <c r="U23" s="244">
        <f t="shared" si="6"/>
        <v>0.29610389610389609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37098</v>
      </c>
      <c r="AE23" s="249">
        <v>0.47499999999999998</v>
      </c>
      <c r="AF23" s="250"/>
      <c r="AG23" s="316">
        <v>23.6</v>
      </c>
      <c r="AH23" s="250"/>
      <c r="AI23" s="316">
        <v>23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3.25" x14ac:dyDescent="0.35">
      <c r="A24" s="126" t="s">
        <v>49</v>
      </c>
      <c r="B24" s="77"/>
      <c r="C24" s="143" t="s">
        <v>50</v>
      </c>
      <c r="D24" s="77"/>
      <c r="E24" s="236">
        <f>[1]!TPP</f>
        <v>30.5</v>
      </c>
      <c r="F24" s="237"/>
      <c r="G24" s="236">
        <f>[1]!'TPP,DIVIDEND'</f>
        <v>2.1</v>
      </c>
      <c r="H24" s="108"/>
      <c r="I24" s="178">
        <f t="shared" si="0"/>
        <v>6.8852459016393447E-2</v>
      </c>
      <c r="J24" s="178"/>
      <c r="K24" s="243">
        <f t="shared" si="1"/>
        <v>133.67459016393448</v>
      </c>
      <c r="L24" s="106"/>
      <c r="M24" s="178">
        <f t="shared" si="2"/>
        <v>6.2655737704918044E-2</v>
      </c>
      <c r="N24" s="106"/>
      <c r="O24" s="165">
        <f t="shared" si="5"/>
        <v>1.0096153846153846</v>
      </c>
      <c r="P24" s="239"/>
      <c r="Q24" s="165">
        <f t="shared" si="3"/>
        <v>2.8667790893760588E-2</v>
      </c>
      <c r="R24" s="239"/>
      <c r="S24" s="165">
        <f t="shared" si="4"/>
        <v>3.9182282793867068E-2</v>
      </c>
      <c r="T24" s="108"/>
      <c r="U24" s="244">
        <f t="shared" si="6"/>
        <v>0.28447837150127231</v>
      </c>
      <c r="V24" s="251"/>
      <c r="W24" s="130"/>
      <c r="X24" s="149"/>
      <c r="Y24" s="325">
        <v>1.95</v>
      </c>
      <c r="Z24" s="326">
        <v>2.08</v>
      </c>
      <c r="AA24" s="252">
        <v>0.7</v>
      </c>
      <c r="AB24" s="254"/>
      <c r="AC24" s="77"/>
      <c r="AD24" s="218">
        <v>37098</v>
      </c>
      <c r="AE24" s="249">
        <v>0.52500000000000002</v>
      </c>
      <c r="AF24" s="250"/>
      <c r="AG24" s="236">
        <v>29.65</v>
      </c>
      <c r="AH24" s="250"/>
      <c r="AI24" s="236">
        <v>29.35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4" thickBot="1" x14ac:dyDescent="0.4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4" thickBot="1" x14ac:dyDescent="0.4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8.1076516791695585E-2</v>
      </c>
      <c r="J26" s="271"/>
      <c r="K26" s="272">
        <f>(+I26-E$28)*10000</f>
        <v>255.91516791695585</v>
      </c>
      <c r="L26" s="267"/>
      <c r="M26" s="271">
        <f>AVERAGEA(M13:M24)</f>
        <v>7.6645749481020889E-2</v>
      </c>
      <c r="N26" s="267"/>
      <c r="O26" s="273">
        <f>AVERAGEA(O13:O24)</f>
        <v>1.4858335813681807</v>
      </c>
      <c r="P26" s="274"/>
      <c r="Q26" s="273">
        <f>AVERAGEA(Q13:Q24)</f>
        <v>2.5757571802843156E-2</v>
      </c>
      <c r="R26" s="274"/>
      <c r="S26" s="273">
        <f>AVERAGEA(S13:S24)</f>
        <v>5.913169994927777E-2</v>
      </c>
      <c r="T26" s="270"/>
      <c r="U26" s="275">
        <f>AVERAGEA(U13:U24)</f>
        <v>0.34932781474690661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3.25" x14ac:dyDescent="0.35">
      <c r="A27" s="77"/>
      <c r="B27" s="77"/>
      <c r="C27" s="127"/>
      <c r="D27" s="77"/>
      <c r="E27" s="1">
        <f>PV(E28/2,(58-((+VALUE($AG$6+7)-VALUE($AT$28))/(365/2))),-$AK$28*100/2,-100,0)</f>
        <v>98.761515752013068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249.86104602739724</v>
      </c>
      <c r="AH27" s="312"/>
      <c r="AI27" s="1">
        <v>96.003752294332116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35">
      <c r="A28" s="126" t="s">
        <v>92</v>
      </c>
      <c r="B28" s="77"/>
      <c r="C28" s="127"/>
      <c r="D28" s="77"/>
      <c r="E28" s="285">
        <f>[1]!'US30YT=RR,RT YIELD 1'/100</f>
        <v>5.5485E-2</v>
      </c>
      <c r="F28" s="77"/>
      <c r="G28" s="284"/>
      <c r="H28" s="108"/>
      <c r="J28" s="285"/>
      <c r="K28" s="238"/>
      <c r="L28" s="106"/>
      <c r="M28" s="178">
        <f>(E28*AA28)+((E28*(1-AA28))*(1-0.3))</f>
        <v>3.8839499999999999E-2</v>
      </c>
      <c r="N28" s="106"/>
      <c r="O28" s="165"/>
      <c r="P28" s="239"/>
      <c r="Q28" s="165">
        <f>(AF27+$E27-AG27)/AG27</f>
        <v>-0.60473424200271741</v>
      </c>
      <c r="R28" s="239"/>
      <c r="S28" s="165">
        <f>(AH27+$E27-AI27)/AI27</f>
        <v>2.8725579904690504E-2</v>
      </c>
      <c r="T28" s="108"/>
      <c r="U28" s="244">
        <f>(AJ27+E27-AK27)/AK27</f>
        <v>-1.238484247986932E-2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5.7512000000000001E-2</v>
      </c>
      <c r="AH28" s="288"/>
      <c r="AI28" s="285">
        <v>5.7512000000000001E-2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35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25" x14ac:dyDescent="0.35">
      <c r="A38" s="204" t="s">
        <v>120</v>
      </c>
      <c r="B38" s="205"/>
      <c r="C38" s="334" t="s">
        <v>119</v>
      </c>
      <c r="D38" s="205"/>
      <c r="E38" s="207">
        <f>[1]!UDL</f>
        <v>31.44</v>
      </c>
      <c r="F38" s="335"/>
      <c r="G38" s="207">
        <v>2.4</v>
      </c>
      <c r="H38" s="336"/>
      <c r="I38" s="210">
        <f>+G38/E38</f>
        <v>7.6335877862595408E-2</v>
      </c>
      <c r="J38" s="210"/>
      <c r="K38" s="337">
        <f>(+I38-E$28)*10000</f>
        <v>208.50877862595408</v>
      </c>
      <c r="L38" s="206"/>
      <c r="M38" s="210">
        <f>(I38*AA38)+((I38*(1-AA38))*(1-0.3))</f>
        <v>5.3435114503816786E-2</v>
      </c>
      <c r="N38" s="206"/>
      <c r="O38" s="338" t="s">
        <v>117</v>
      </c>
      <c r="P38" s="339"/>
      <c r="Q38" s="338">
        <f>(AF38+$E38-AG38)/AG38</f>
        <v>3.933884297520665E-2</v>
      </c>
      <c r="R38" s="339"/>
      <c r="S38" s="338">
        <f>(AH38+$E38-AI38)/AI38</f>
        <v>5.150501672240812E-2</v>
      </c>
      <c r="T38" s="209"/>
      <c r="U38" s="340">
        <f>(AJ38+E38-AK38)/AK38</f>
        <v>0.28326530612244905</v>
      </c>
      <c r="V38" s="251"/>
      <c r="W38" s="130"/>
      <c r="X38" s="149"/>
      <c r="Y38" s="348">
        <v>2.16</v>
      </c>
      <c r="Z38" s="349">
        <v>2.6</v>
      </c>
      <c r="AA38" s="350">
        <v>0</v>
      </c>
      <c r="AB38" s="351"/>
      <c r="AC38" s="154"/>
      <c r="AD38" s="352"/>
      <c r="AE38" s="353"/>
      <c r="AF38" s="354"/>
      <c r="AG38" s="355">
        <v>30.25</v>
      </c>
      <c r="AH38" s="354"/>
      <c r="AI38" s="355">
        <v>29.9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">
      <c r="A39" s="341" t="s">
        <v>121</v>
      </c>
      <c r="B39" s="226"/>
      <c r="C39" s="342" t="s">
        <v>122</v>
      </c>
      <c r="D39" s="226"/>
      <c r="E39" s="228">
        <f>[1]!WEG</f>
        <v>29.9</v>
      </c>
      <c r="F39" s="343"/>
      <c r="G39" s="228">
        <v>2.1</v>
      </c>
      <c r="H39" s="344"/>
      <c r="I39" s="231">
        <f>+G39/E39</f>
        <v>7.0234113712374591E-2</v>
      </c>
      <c r="J39" s="231"/>
      <c r="K39" s="232">
        <f>(+I39-E$28)*10000</f>
        <v>147.49113712374592</v>
      </c>
      <c r="L39" s="227"/>
      <c r="M39" s="231">
        <f>(I39*AA39)+((I39*(1-AA39))*(1-0.3))</f>
        <v>4.9163879598662211E-2</v>
      </c>
      <c r="N39" s="227"/>
      <c r="O39" s="345" t="s">
        <v>117</v>
      </c>
      <c r="P39" s="346"/>
      <c r="Q39" s="345">
        <f>(AF39+$E39-AG39)/AG39</f>
        <v>-3.7037037037037104E-2</v>
      </c>
      <c r="R39" s="346"/>
      <c r="S39" s="345">
        <f>(AH39+$E39-AI39)/AI39</f>
        <v>2.6589595375722544E-2</v>
      </c>
      <c r="T39" s="230"/>
      <c r="U39" s="347">
        <f>(AJ39+E39-AK39)/AK39</f>
        <v>0.40427906976744188</v>
      </c>
      <c r="V39" s="251"/>
      <c r="W39" s="130"/>
      <c r="X39" s="149"/>
      <c r="Y39" s="358">
        <v>1.65</v>
      </c>
      <c r="Z39" s="359">
        <v>1.73</v>
      </c>
      <c r="AA39" s="360">
        <v>0</v>
      </c>
      <c r="AB39" s="361"/>
      <c r="AC39" s="118"/>
      <c r="AD39" s="362">
        <v>37099</v>
      </c>
      <c r="AE39" s="363">
        <v>0.29199999999999998</v>
      </c>
      <c r="AF39" s="364"/>
      <c r="AG39" s="365">
        <v>31.05</v>
      </c>
      <c r="AH39" s="364">
        <v>0.29199999999999998</v>
      </c>
      <c r="AI39" s="365">
        <v>29.41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35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65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35">
      <c r="A48" s="94" t="s">
        <v>59</v>
      </c>
      <c r="B48" s="86"/>
      <c r="C48" s="86"/>
      <c r="D48" s="86"/>
      <c r="E48" s="95" t="s">
        <v>56</v>
      </c>
      <c r="F48" s="86"/>
      <c r="G48" s="96">
        <v>2.6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35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>
        <v>0.65</v>
      </c>
      <c r="V56" s="91"/>
      <c r="W56" s="103">
        <v>21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35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">
      <c r="A58" s="104" t="s">
        <v>16</v>
      </c>
      <c r="B58" s="83"/>
      <c r="C58" s="106"/>
      <c r="D58" s="83"/>
      <c r="E58" s="83"/>
      <c r="F58" s="83"/>
      <c r="G58" s="107">
        <f>AVERAGEA(G45:G56)</f>
        <v>2.5963636363636371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0.65999999999999992</v>
      </c>
      <c r="V58" s="83"/>
      <c r="W58" s="111">
        <f>AVERAGEA(W45:W56)</f>
        <v>20.25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4" thickTop="1" x14ac:dyDescent="0.35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3.25" x14ac:dyDescent="0.35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3.25" x14ac:dyDescent="0.35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2001-06-29T21:26:51Z</cp:lastPrinted>
  <dcterms:created xsi:type="dcterms:W3CDTF">1997-07-25T21:20:20Z</dcterms:created>
  <dcterms:modified xsi:type="dcterms:W3CDTF">2023-09-17T16:43:02Z</dcterms:modified>
</cp:coreProperties>
</file>