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5E9304-EF3F-4D6E-9F66-0B75A0CE60BD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ENRON!$A$1:$AS$62</definedName>
    <definedName name="Print_Area_MI">#REF!</definedName>
    <definedName name="_xlnm.Print_Titles" localSheetId="1">ENRON!$A:$C,ENRON!$1:$6</definedName>
    <definedName name="weekly">ENRON!$E$7:$AS$90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E10" i="2"/>
  <c r="I10" i="2"/>
  <c r="M10" i="2"/>
  <c r="Q10" i="2"/>
  <c r="T10" i="2"/>
  <c r="V10" i="2"/>
  <c r="AK10" i="2"/>
  <c r="AM10" i="2"/>
  <c r="AO10" i="2"/>
  <c r="AQ10" i="2"/>
  <c r="AU10" i="2"/>
  <c r="AZ10" i="2"/>
  <c r="E13" i="2"/>
  <c r="I13" i="2"/>
  <c r="M13" i="2"/>
  <c r="Q13" i="2"/>
  <c r="T13" i="2"/>
  <c r="V13" i="2"/>
  <c r="Z13" i="2"/>
  <c r="AB13" i="2"/>
  <c r="AG13" i="2"/>
  <c r="AK13" i="2"/>
  <c r="AM13" i="2"/>
  <c r="AO13" i="2"/>
  <c r="AQ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E19" i="2"/>
  <c r="Z19" i="2"/>
  <c r="AB19" i="2"/>
  <c r="AG19" i="2"/>
  <c r="AK19" i="2"/>
  <c r="AM19" i="2"/>
  <c r="AO19" i="2"/>
  <c r="AQ19" i="2"/>
  <c r="AS19" i="2"/>
  <c r="E20" i="2"/>
  <c r="I20" i="2"/>
  <c r="M20" i="2"/>
  <c r="Q20" i="2"/>
  <c r="T20" i="2"/>
  <c r="V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E22" i="2"/>
  <c r="T22" i="2"/>
  <c r="Z22" i="2"/>
  <c r="AB22" i="2"/>
  <c r="AG22" i="2"/>
  <c r="AK22" i="2"/>
  <c r="AM22" i="2"/>
  <c r="AO22" i="2"/>
  <c r="AQ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AY35" i="2"/>
  <c r="BA35" i="2"/>
  <c r="BC35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G39" i="2"/>
  <c r="AM39" i="2"/>
  <c r="AO39" i="2"/>
  <c r="AQ39" i="2"/>
  <c r="AS39" i="2"/>
  <c r="A40" i="2"/>
  <c r="C40" i="2"/>
  <c r="E40" i="2"/>
  <c r="Z40" i="2"/>
  <c r="AM40" i="2"/>
  <c r="AO40" i="2"/>
  <c r="AQ40" i="2"/>
  <c r="AS40" i="2"/>
  <c r="C41" i="2"/>
  <c r="E41" i="2"/>
  <c r="Z41" i="2"/>
  <c r="AG41" i="2"/>
  <c r="AM41" i="2"/>
  <c r="AO41" i="2"/>
  <c r="AQ41" i="2"/>
  <c r="AS41" i="2"/>
  <c r="E42" i="2"/>
  <c r="Z42" i="2"/>
  <c r="AG42" i="2"/>
  <c r="AM42" i="2"/>
  <c r="AO42" i="2"/>
  <c r="AQ42" i="2"/>
  <c r="AS42" i="2"/>
  <c r="A43" i="2"/>
  <c r="C43" i="2"/>
  <c r="E43" i="2"/>
  <c r="Z43" i="2"/>
  <c r="AG43" i="2"/>
  <c r="AM43" i="2"/>
  <c r="AO43" i="2"/>
  <c r="AQ43" i="2"/>
  <c r="AS43" i="2"/>
  <c r="AM45" i="2"/>
  <c r="AN45" i="2"/>
  <c r="AO45" i="2"/>
  <c r="AQ45" i="2"/>
  <c r="AS45" i="2"/>
  <c r="BA48" i="2"/>
  <c r="E50" i="2"/>
  <c r="AK50" i="2"/>
  <c r="AM50" i="2"/>
  <c r="AO50" i="2"/>
  <c r="AQ50" i="2"/>
  <c r="AS50" i="2"/>
  <c r="AU70" i="2"/>
  <c r="AU72" i="2"/>
  <c r="AU76" i="2"/>
  <c r="AU77" i="2"/>
  <c r="AU78" i="2"/>
  <c r="AU79" i="2"/>
  <c r="AU80" i="2"/>
  <c r="AU81" i="2"/>
  <c r="AU82" i="2"/>
  <c r="AU83" i="2"/>
  <c r="AU84" i="2"/>
  <c r="AU85" i="2"/>
  <c r="AU86" i="2"/>
  <c r="AU88" i="2"/>
  <c r="S89" i="2"/>
  <c r="X89" i="2"/>
  <c r="AE89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<sst xmlns="http://schemas.openxmlformats.org/spreadsheetml/2006/main" count="273" uniqueCount="128">
  <si>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</si>
  <si>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</si>
  <si>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</si>
  <si>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</si>
  <si>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</si>
  <si>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</si>
  <si>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</si>
  <si>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</si>
  <si>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</si>
  <si>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</si>
  <si>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</si>
  <si>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</si>
  <si>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</si>
  <si>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</si>
  <si>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</si>
  <si>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</si>
  <si>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</si>
  <si>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</si>
  <si>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</si>
  <si>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</si>
  <si>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</si>
  <si>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</si>
  <si>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</si>
  <si>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</si>
  <si>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</si>
  <si>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</si>
  <si>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</si>
  <si>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</si>
  <si>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</si>
  <si>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</si>
  <si>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</si>
  <si>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</si>
  <si>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</si>
  <si>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</si>
  <si>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</si>
  <si>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</si>
  <si>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</si>
  <si>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</si>
  <si>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</si>
  <si>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</si>
  <si>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</si>
  <si>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</si>
  <si>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</si>
  <si>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</si>
  <si>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</si>
  <si>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</si>
  <si>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</si>
  <si>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</si>
  <si>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</si>
  <si>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</si>
  <si>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</si>
  <si>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</si>
  <si>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</si>
  <si>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</si>
  <si>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</si>
  <si>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</si>
  <si>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</si>
  <si>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</si>
  <si>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</si>
  <si>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</si>
  <si>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</si>
  <si>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</si>
  <si>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</si>
  <si>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</si>
  <si>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</si>
  <si>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</si>
  <si>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</si>
  <si>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</si>
  <si>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</si>
  <si>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</si>
  <si>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</si>
  <si>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</si>
  <si>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</si>
  <si>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</si>
  <si>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</si>
  <si>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</si>
  <si>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</si>
  <si>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</si>
  <si>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</si>
  <si>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</si>
  <si>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</si>
  <si>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</si>
  <si>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</si>
  <si>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</si>
  <si>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</si>
  <si>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</si>
  <si>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</si>
  <si>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</si>
  <si>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</si>
  <si>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</si>
  <si>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</si>
  <si>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</si>
  <si>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</si>
  <si>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</si>
  <si>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</si>
  <si>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</si>
  <si>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</si>
  <si>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</si>
  <si>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</si>
  <si>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</si>
  <si>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</si>
  <si>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</si>
  <si>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</si>
  <si>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</si>
  <si>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</si>
  <si>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</si>
  <si>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</si>
  <si>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</si>
  <si>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</si>
  <si>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</si>
  <si>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</si>
  <si>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</si>
  <si>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</si>
  <si>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</si>
  <si>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</si>
  <si>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</si>
  <si>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</si>
  <si>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</si>
  <si>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</si>
  <si>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</si>
  <si>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</si>
  <si>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</si>
  <si>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</si>
  <si>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</si>
  <si>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</si>
  <si>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</si>
  <si>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Discountinued</t>
  </si>
  <si>
    <t>Last Week's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</si>
</sst>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28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9" fontId="36" fillId="0" borderId="0" xfId="3" applyFont="1"/>
    <xf numFmtId="164" fontId="33" fillId="0" borderId="25" xfId="0" applyFont="1" applyBorder="1"/>
    <xf numFmtId="164" fontId="36" fillId="0" borderId="34" xfId="0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170" fontId="11" fillId="0" borderId="0" xfId="0" quotePrefix="1" applyNumberFormat="1" applyFont="1" applyFill="1" applyBorder="1" applyAlignment="1" applyProtection="1">
      <alignment horizontal="center"/>
    </xf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5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6" xfId="0" applyFont="1" applyBorder="1" applyAlignment="1" applyProtection="1">
      <alignment horizontal="center"/>
    </xf>
    <xf numFmtId="164" fontId="17" fillId="0" borderId="35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6" xfId="0" applyFont="1" applyFill="1" applyBorder="1" applyAlignment="1" applyProtection="1">
      <alignment horizontal="center"/>
    </xf>
    <xf numFmtId="164" fontId="17" fillId="0" borderId="37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70" fontId="21" fillId="0" borderId="38" xfId="0" applyNumberFormat="1" applyFont="1" applyBorder="1" applyAlignment="1" applyProtection="1">
      <alignment horizontal="center"/>
    </xf>
    <xf numFmtId="10" fontId="17" fillId="0" borderId="25" xfId="0" applyNumberFormat="1" applyFont="1" applyFill="1" applyBorder="1" applyProtection="1"/>
    <xf numFmtId="164" fontId="4" fillId="0" borderId="36" xfId="0" applyFont="1" applyBorder="1"/>
    <xf numFmtId="169" fontId="5" fillId="0" borderId="10" xfId="3" applyNumberFormat="1" applyFont="1" applyFill="1" applyBorder="1" applyProtection="1"/>
    <xf numFmtId="200" fontId="38" fillId="0" borderId="6" xfId="2" applyNumberFormat="1" applyFont="1" applyFill="1" applyBorder="1"/>
    <xf numFmtId="164" fontId="5" fillId="0" borderId="6" xfId="0" quotePrefix="1" applyFont="1" applyBorder="1" applyAlignment="1">
      <alignment horizontal="left"/>
    </xf>
    <xf numFmtId="200" fontId="38" fillId="0" borderId="6" xfId="2" applyNumberFormat="1" applyFont="1" applyFill="1" applyBorder="1" applyAlignment="1">
      <alignment horizontal="center"/>
    </xf>
    <xf numFmtId="164" fontId="33" fillId="0" borderId="0" xfId="0" quotePrefix="1" applyFont="1" applyAlignment="1">
      <alignment horizontal="left"/>
    </xf>
    <xf numFmtId="169" fontId="34" fillId="0" borderId="39" xfId="3" quotePrefix="1" applyNumberFormat="1" applyFont="1" applyBorder="1" applyAlignment="1">
      <alignment horizontal="center"/>
    </xf>
    <xf numFmtId="164" fontId="4" fillId="0" borderId="0" xfId="0" applyFont="1" applyFill="1" applyAlignment="1">
      <alignment horizontal="left"/>
    </xf>
    <xf numFmtId="164" fontId="30" fillId="0" borderId="0" xfId="0" applyFont="1" applyAlignment="1">
      <alignment horizontal="right"/>
    </xf>
    <xf numFmtId="164" fontId="4" fillId="0" borderId="5" xfId="0" quotePrefix="1" applyFont="1" applyFill="1" applyBorder="1" applyAlignment="1" applyProtection="1">
      <alignment horizontal="center"/>
    </xf>
    <xf numFmtId="164" fontId="1" fillId="0" borderId="13" xfId="0" applyFont="1" applyFill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9" fontId="34" fillId="0" borderId="28" xfId="3" quotePrefix="1" applyNumberFormat="1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0" xfId="3" applyNumberFormat="1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9" fontId="7" fillId="0" borderId="25" xfId="3" applyNumberFormat="1" applyFont="1" applyFill="1" applyBorder="1" applyAlignment="1" applyProtection="1">
      <alignment horizontal="center"/>
    </xf>
    <xf numFmtId="9" fontId="36" fillId="0" borderId="25" xfId="3" applyFont="1" applyBorder="1"/>
    <xf numFmtId="164" fontId="1" fillId="0" borderId="0" xfId="0" applyFont="1" applyFill="1" applyBorder="1" applyAlignment="1">
      <alignment horizontal="center"/>
    </xf>
    <xf numFmtId="167" fontId="5" fillId="0" borderId="0" xfId="0" applyNumberFormat="1" applyFont="1" applyFill="1" applyBorder="1"/>
    <xf numFmtId="167" fontId="5" fillId="0" borderId="0" xfId="0" applyNumberFormat="1" applyFont="1" applyFill="1" applyBorder="1" applyAlignment="1" applyProtection="1">
      <alignment horizontal="right"/>
    </xf>
    <xf numFmtId="186" fontId="5" fillId="0" borderId="0" xfId="1" applyNumberFormat="1" applyFont="1" applyFill="1" applyBorder="1"/>
    <xf numFmtId="186" fontId="5" fillId="0" borderId="0" xfId="1" applyNumberFormat="1" applyFont="1" applyFill="1" applyBorder="1" applyAlignment="1">
      <alignment horizontal="center"/>
    </xf>
    <xf numFmtId="164" fontId="40" fillId="0" borderId="0" xfId="0" applyFont="1" applyFill="1" applyBorder="1" applyAlignment="1">
      <alignment horizontal="center"/>
    </xf>
    <xf numFmtId="167" fontId="5" fillId="0" borderId="0" xfId="0" applyNumberFormat="1" applyFont="1" applyFill="1" applyBorder="1" applyAlignment="1" applyProtection="1">
      <alignment horizontal="center"/>
    </xf>
    <xf numFmtId="164" fontId="17" fillId="0" borderId="0" xfId="0" applyFont="1" applyBorder="1" applyAlignment="1">
      <alignment horizontal="center"/>
    </xf>
    <xf numFmtId="164" fontId="5" fillId="0" borderId="5" xfId="0" applyFont="1" applyBorder="1" applyAlignment="1" applyProtection="1">
      <alignment horizontal="center"/>
    </xf>
    <xf numFmtId="169" fontId="5" fillId="0" borderId="5" xfId="3" applyNumberFormat="1" applyFont="1" applyFill="1" applyBorder="1" applyProtection="1"/>
    <xf numFmtId="169" fontId="5" fillId="0" borderId="41" xfId="3" applyNumberFormat="1" applyFont="1" applyFill="1" applyBorder="1" applyProtection="1"/>
    <xf numFmtId="44" fontId="20" fillId="0" borderId="42" xfId="0" applyNumberFormat="1" applyFont="1" applyFill="1" applyBorder="1" applyProtection="1"/>
    <xf numFmtId="44" fontId="20" fillId="0" borderId="43" xfId="0" applyNumberFormat="1" applyFont="1" applyFill="1" applyBorder="1" applyProtection="1"/>
    <xf numFmtId="167" fontId="5" fillId="0" borderId="44" xfId="0" applyNumberFormat="1" applyFont="1" applyFill="1" applyBorder="1" applyAlignment="1" applyProtection="1">
      <alignment horizontal="center"/>
    </xf>
    <xf numFmtId="169" fontId="5" fillId="0" borderId="10" xfId="0" applyNumberFormat="1" applyFont="1" applyFill="1" applyBorder="1" applyProtection="1"/>
    <xf numFmtId="164" fontId="3" fillId="0" borderId="18" xfId="0" applyFont="1" applyFill="1" applyBorder="1"/>
    <xf numFmtId="170" fontId="11" fillId="0" borderId="18" xfId="0" applyNumberFormat="1" applyFont="1" applyFill="1" applyBorder="1" applyAlignment="1" applyProtection="1">
      <alignment horizontal="center"/>
    </xf>
    <xf numFmtId="187" fontId="11" fillId="0" borderId="10" xfId="1" applyNumberFormat="1" applyFont="1" applyFill="1" applyBorder="1" applyAlignment="1" applyProtection="1">
      <alignment horizontal="center"/>
    </xf>
    <xf numFmtId="188" fontId="12" fillId="0" borderId="18" xfId="1" applyNumberFormat="1" applyFont="1" applyFill="1" applyBorder="1"/>
    <xf numFmtId="44" fontId="22" fillId="0" borderId="18" xfId="0" applyNumberFormat="1" applyFont="1" applyFill="1" applyBorder="1" applyProtection="1"/>
    <xf numFmtId="200" fontId="5" fillId="0" borderId="5" xfId="2" applyNumberFormat="1" applyFont="1" applyFill="1" applyBorder="1" applyAlignment="1">
      <alignment horizontal="center"/>
    </xf>
    <xf numFmtId="164" fontId="4" fillId="0" borderId="25" xfId="0" applyFont="1" applyBorder="1" applyAlignment="1">
      <alignment horizontal="center"/>
    </xf>
    <xf numFmtId="3" fontId="5" fillId="0" borderId="0" xfId="1" applyNumberFormat="1" applyFont="1" applyFill="1" applyBorder="1" applyAlignment="1">
      <alignment horizontal="right"/>
    </xf>
    <xf numFmtId="164" fontId="1" fillId="0" borderId="38" xfId="0" applyFont="1" applyFill="1" applyBorder="1" applyAlignment="1">
      <alignment horizontal="center"/>
    </xf>
    <xf numFmtId="169" fontId="5" fillId="0" borderId="22" xfId="3" applyNumberFormat="1" applyFont="1" applyFill="1" applyBorder="1" applyProtection="1"/>
    <xf numFmtId="169" fontId="5" fillId="0" borderId="7" xfId="3" applyNumberFormat="1" applyFont="1" applyFill="1" applyBorder="1" applyProtection="1"/>
    <xf numFmtId="167" fontId="5" fillId="0" borderId="7" xfId="0" applyNumberFormat="1" applyFont="1" applyFill="1" applyBorder="1" applyAlignment="1" applyProtection="1">
      <alignment horizontal="right"/>
    </xf>
    <xf numFmtId="167" fontId="6" fillId="0" borderId="7" xfId="0" applyNumberFormat="1" applyFont="1" applyFill="1" applyBorder="1"/>
    <xf numFmtId="167" fontId="5" fillId="0" borderId="23" xfId="0" applyNumberFormat="1" applyFont="1" applyFill="1" applyBorder="1" applyProtection="1"/>
    <xf numFmtId="167" fontId="5" fillId="0" borderId="45" xfId="0" applyNumberFormat="1" applyFont="1" applyFill="1" applyBorder="1"/>
    <xf numFmtId="164" fontId="17" fillId="0" borderId="3" xfId="0" applyFont="1" applyFill="1" applyBorder="1"/>
    <xf numFmtId="164" fontId="17" fillId="0" borderId="4" xfId="0" applyFont="1" applyFill="1" applyBorder="1"/>
    <xf numFmtId="164" fontId="17" fillId="0" borderId="8" xfId="0" applyFont="1" applyBorder="1" applyAlignment="1" applyProtection="1">
      <alignment horizontal="center"/>
    </xf>
    <xf numFmtId="164" fontId="17" fillId="0" borderId="18" xfId="0" applyFont="1" applyFill="1" applyBorder="1"/>
    <xf numFmtId="164" fontId="17" fillId="0" borderId="10" xfId="0" applyFont="1" applyFill="1" applyBorder="1" applyAlignment="1">
      <alignment horizontal="center"/>
    </xf>
    <xf numFmtId="164" fontId="17" fillId="0" borderId="38" xfId="0" quotePrefix="1" applyFont="1" applyBorder="1" applyAlignment="1">
      <alignment horizontal="center"/>
    </xf>
    <xf numFmtId="164" fontId="17" fillId="0" borderId="1" xfId="0" applyFont="1" applyFill="1" applyBorder="1" applyAlignment="1"/>
    <xf numFmtId="164" fontId="17" fillId="0" borderId="38" xfId="0" applyFont="1" applyFill="1" applyBorder="1" applyAlignment="1">
      <alignment horizontal="left"/>
    </xf>
    <xf numFmtId="164" fontId="33" fillId="0" borderId="0" xfId="0" applyFont="1" applyAlignment="1">
      <alignment horizontal="right"/>
    </xf>
    <xf numFmtId="170" fontId="33" fillId="0" borderId="0" xfId="0" applyNumberFormat="1" applyFont="1" applyAlignment="1">
      <alignment horizontal="right"/>
    </xf>
    <xf numFmtId="44" fontId="22" fillId="0" borderId="0" xfId="0" applyNumberFormat="1" applyFont="1" applyFill="1" applyBorder="1" applyProtection="1"/>
    <xf numFmtId="164" fontId="25" fillId="0" borderId="4" xfId="0" applyFont="1" applyBorder="1" applyAlignment="1">
      <alignment horizontal="center"/>
    </xf>
    <xf numFmtId="44" fontId="5" fillId="0" borderId="5" xfId="2" applyFont="1" applyFill="1" applyBorder="1" applyAlignment="1" applyProtection="1">
      <alignment horizontal="left"/>
      <protection locked="0"/>
    </xf>
    <xf numFmtId="44" fontId="5" fillId="0" borderId="5" xfId="2" applyFont="1" applyFill="1" applyBorder="1" applyAlignment="1" applyProtection="1">
      <alignment horizontal="right"/>
      <protection locked="0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1" xfId="0" applyFont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2163.38</val>
          </value>
        </values>
      </ddeItem>
      <ddeItem name=".SPX" advise="1">
        <values>
          <value>
            <val>1242.98</val>
          </value>
        </values>
      </ddeItem>
      <ddeItem name="AES" advise="1">
        <values>
          <value>
            <val>49.65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10.210000000000001</val>
          </value>
        </values>
      </ddeItem>
      <ddeItem name="D" advise="1">
        <values>
          <value>
            <val>66.099999999999994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44.84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53.4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59.99</val>
          </value>
        </values>
      </ddeItem>
      <ddeItem name="EPG">
        <values>
          <value>
            <val>66.7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11.67</val>
          </value>
        </values>
      </ddeItem>
      <ddeItem name="INAP.O" advise="1">
        <values>
          <value>
            <val>2.91</val>
          </value>
        </values>
      </ddeItem>
      <ddeItem name="ISLD.O" advise="1">
        <values>
          <value>
            <val>2.65</val>
          </value>
        </values>
      </ddeItem>
      <ddeItem name="KMI" advise="1">
        <values>
          <value>
            <val>55.21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15.27</val>
          </value>
        </values>
      </ddeItem>
      <ddeItem name="MIR" advise="1">
        <values>
          <value>
            <val>33.049999999999997</val>
          </value>
        </values>
      </ddeItem>
      <ddeItem name="NPW" advise="1">
        <values>
          <value>
            <val>7.1</val>
          </value>
        </values>
      </ddeItem>
      <ddeItem name="NRG" advise="1">
        <values>
          <value>
            <val>33.49</val>
          </value>
        </values>
      </ddeItem>
      <ddeItem name="PCG">
        <values>
          <value>
            <val>8.9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37.4</val>
          </value>
        </values>
      </ddeItem>
      <ddeItem name="TRP">
        <values>
          <value>
            <val>11.74</val>
          </value>
        </values>
      </ddeItem>
      <ddeItem name="WCG" advise="1">
        <values>
          <value>
            <val>5.37</val>
          </value>
        </values>
      </ddeItem>
      <ddeItem name="WMB">
        <values>
          <value>
            <val>41.15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1" sqref="A21"/>
    </sheetView>
  </sheetViews>
  <sheetFormatPr defaultRowHeight="15.75" x14ac:dyDescent="0.25"/>
  <cols>
    <col min="1" max="1" width="23.6640625" style="231" bestFit="1" customWidth="1"/>
    <col min="2" max="2" width="8.88671875" style="232"/>
    <col min="3" max="3" width="2" style="231" customWidth="1"/>
    <col min="4" max="4" width="7.77734375" style="231" customWidth="1"/>
    <col min="5" max="5" width="1.109375" style="231" customWidth="1"/>
    <col min="6" max="6" width="7.21875" style="231" customWidth="1"/>
    <col min="7" max="7" width="0.77734375" style="231" customWidth="1"/>
    <col min="8" max="16384" width="8.88671875" style="231"/>
  </cols>
  <sheetData>
    <row r="1" spans="1:8" ht="18.75" customHeight="1" x14ac:dyDescent="0.25">
      <c r="A1" s="231" t="s">
        <v>71</v>
      </c>
      <c r="H1" s="410" t="str">
        <f>+ENRON!AS1</f>
        <v>Friday</v>
      </c>
    </row>
    <row r="2" spans="1:8" ht="18" customHeight="1" x14ac:dyDescent="0.25">
      <c r="A2" s="281" t="s">
        <v>18</v>
      </c>
      <c r="H2" s="411">
        <f>+ENRON!AS2</f>
        <v>37001</v>
      </c>
    </row>
    <row r="3" spans="1:8" ht="16.5" thickBot="1" x14ac:dyDescent="0.3"/>
    <row r="4" spans="1:8" ht="16.5" thickBot="1" x14ac:dyDescent="0.3">
      <c r="B4" s="233">
        <v>2001</v>
      </c>
      <c r="D4" s="416" t="s">
        <v>72</v>
      </c>
      <c r="E4" s="417"/>
      <c r="F4" s="417"/>
      <c r="G4" s="417"/>
      <c r="H4" s="418"/>
    </row>
    <row r="5" spans="1:8" ht="32.25" thickBot="1" x14ac:dyDescent="0.3">
      <c r="B5" s="234" t="s">
        <v>36</v>
      </c>
      <c r="D5" s="235" t="s">
        <v>22</v>
      </c>
      <c r="E5" s="236"/>
      <c r="F5" s="364" t="s">
        <v>23</v>
      </c>
      <c r="G5" s="365"/>
      <c r="H5" s="237" t="s">
        <v>24</v>
      </c>
    </row>
    <row r="6" spans="1:8" x14ac:dyDescent="0.25">
      <c r="A6" s="231" t="s">
        <v>73</v>
      </c>
      <c r="B6" s="238">
        <f>ENRON!Z7</f>
        <v>33.513966480446925</v>
      </c>
      <c r="D6" s="366">
        <f>ENRON!AM7</f>
        <v>4.6945898778359599E-2</v>
      </c>
      <c r="E6" s="239"/>
      <c r="F6" s="367">
        <f>ENRON!AO7</f>
        <v>3.2530120481927723E-2</v>
      </c>
      <c r="G6" s="239"/>
      <c r="H6" s="240">
        <f>ENRON!AQ7</f>
        <v>-0.27681203007518795</v>
      </c>
    </row>
    <row r="7" spans="1:8" x14ac:dyDescent="0.25">
      <c r="A7" s="231" t="s">
        <v>74</v>
      </c>
      <c r="B7" s="241">
        <f>ENRON!Z9</f>
        <v>22.343699442746718</v>
      </c>
      <c r="D7" s="244">
        <f>ENRON!AM9</f>
        <v>5.0327841149134009E-2</v>
      </c>
      <c r="E7" s="242"/>
      <c r="F7" s="363">
        <f>ENRON!AO9</f>
        <v>7.1863176854860253E-2</v>
      </c>
      <c r="G7" s="242"/>
      <c r="H7" s="245">
        <f>ENRON!AQ9</f>
        <v>-5.5129215014996867E-2</v>
      </c>
    </row>
    <row r="8" spans="1:8" x14ac:dyDescent="0.25">
      <c r="A8" s="231" t="s">
        <v>78</v>
      </c>
      <c r="B8" s="241" t="str">
        <f>ENRON!Z10</f>
        <v xml:space="preserve">N/A </v>
      </c>
      <c r="D8" s="244">
        <f>ENRON!AM10</f>
        <v>0.10296671306138899</v>
      </c>
      <c r="E8" s="242"/>
      <c r="F8" s="363">
        <f>ENRON!AO10</f>
        <v>0.17564202884375038</v>
      </c>
      <c r="G8" s="242"/>
      <c r="H8" s="245">
        <f>ENRON!AQ10</f>
        <v>-0.12361486650583683</v>
      </c>
    </row>
    <row r="9" spans="1:8" x14ac:dyDescent="0.25">
      <c r="A9" s="231" t="s">
        <v>92</v>
      </c>
      <c r="B9" s="241">
        <f>ENRON!Z25</f>
        <v>20.936561954805935</v>
      </c>
      <c r="C9" s="277"/>
      <c r="D9" s="244">
        <f>ENRON!AM25</f>
        <v>1.0631979607494573E-2</v>
      </c>
      <c r="E9" s="242"/>
      <c r="F9" s="363">
        <f>ENRON!AO25</f>
        <v>-3.0868268789318972E-2</v>
      </c>
      <c r="G9" s="368"/>
      <c r="H9" s="245">
        <f>ENRON!AQ25</f>
        <v>-1.9353147188337319E-2</v>
      </c>
    </row>
    <row r="10" spans="1:8" ht="16.5" thickBot="1" x14ac:dyDescent="0.3">
      <c r="A10" s="357" t="s">
        <v>103</v>
      </c>
      <c r="B10" s="280" t="s">
        <v>77</v>
      </c>
      <c r="D10" s="369">
        <f>ENRON!AM45</f>
        <v>0.27461966122772491</v>
      </c>
      <c r="E10" s="279"/>
      <c r="F10" s="370">
        <f>ENRON!AO45</f>
        <v>8.0580159997235362E-2</v>
      </c>
      <c r="G10" s="371"/>
      <c r="H10" s="358">
        <f>ENRON!AQ45</f>
        <v>-0.40125951845431018</v>
      </c>
    </row>
    <row r="11" spans="1:8" x14ac:dyDescent="0.25">
      <c r="D11" s="278"/>
    </row>
    <row r="12" spans="1:8" x14ac:dyDescent="0.25">
      <c r="A12" s="243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C135"/>
  <sheetViews>
    <sheetView tabSelected="1" zoomScale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5546875" style="1" customWidth="1"/>
    <col min="6" max="6" width="1.44140625" style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10.5546875" style="1" customWidth="1"/>
    <col min="25" max="25" width="1.77734375" style="1" customWidth="1"/>
    <col min="26" max="26" width="6.21875" style="1" customWidth="1"/>
    <col min="27" max="27" width="1.44140625" style="1" customWidth="1"/>
    <col min="28" max="29" width="6" style="1" customWidth="1"/>
    <col min="30" max="30" width="1.44140625" style="1" customWidth="1"/>
    <col min="31" max="31" width="10.5546875" style="1" customWidth="1"/>
    <col min="32" max="32" width="1.77734375" style="1" customWidth="1"/>
    <col min="33" max="33" width="6" style="1" customWidth="1"/>
    <col min="34" max="34" width="1.77734375" style="1" customWidth="1"/>
    <col min="35" max="35" width="6" style="1" customWidth="1"/>
    <col min="36" max="36" width="1" style="1" customWidth="1"/>
    <col min="37" max="37" width="8" style="1" hidden="1" customWidth="1"/>
    <col min="38" max="38" width="0.88671875" style="11" hidden="1" customWidth="1"/>
    <col min="39" max="39" width="7" style="11" customWidth="1"/>
    <col min="40" max="40" width="1.21875" style="11" customWidth="1"/>
    <col min="41" max="41" width="8.5546875" style="11" customWidth="1"/>
    <col min="42" max="42" width="0.88671875" style="11" customWidth="1"/>
    <col min="43" max="43" width="7.6640625" style="1" customWidth="1"/>
    <col min="44" max="44" width="1" style="1" customWidth="1"/>
    <col min="45" max="45" width="8.44140625" style="1" customWidth="1"/>
    <col min="46" max="46" width="4.88671875" style="1" customWidth="1"/>
    <col min="47" max="47" width="12.77734375" style="9" customWidth="1"/>
    <col min="48" max="48" width="8.5546875" style="18" customWidth="1"/>
    <col min="49" max="49" width="8.5546875" style="197" customWidth="1"/>
    <col min="50" max="50" width="11.109375" style="1" customWidth="1"/>
    <col min="51" max="51" width="12.33203125" style="1" customWidth="1"/>
    <col min="52" max="52" width="14.5546875" style="1" customWidth="1"/>
    <col min="53" max="53" width="12.88671875" style="1" customWidth="1"/>
    <col min="54" max="54" width="13.33203125" style="1" customWidth="1"/>
    <col min="55" max="55" width="13.6640625" style="1" customWidth="1"/>
    <col min="56" max="16384" width="9.77734375" style="1"/>
  </cols>
  <sheetData>
    <row r="1" spans="1:55" ht="18" x14ac:dyDescent="0.25">
      <c r="A1" s="57" t="s">
        <v>17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10"/>
      <c r="AM1" s="10"/>
      <c r="AN1" s="10"/>
      <c r="AO1" s="10"/>
      <c r="AP1" s="10"/>
      <c r="AQ1" s="5"/>
      <c r="AS1" s="58" t="s">
        <v>109</v>
      </c>
    </row>
    <row r="2" spans="1:55" ht="18" x14ac:dyDescent="0.25">
      <c r="A2" s="57" t="s">
        <v>18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59"/>
      <c r="W2" s="60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9"/>
      <c r="AL2" s="60"/>
      <c r="AM2" s="60"/>
      <c r="AN2" s="60"/>
      <c r="AO2" s="60"/>
      <c r="AP2" s="60"/>
      <c r="AQ2" s="59"/>
      <c r="AR2" s="360"/>
      <c r="AS2" s="61">
        <v>37001</v>
      </c>
    </row>
    <row r="3" spans="1:55" ht="15.75" x14ac:dyDescent="0.25">
      <c r="A3" s="62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3"/>
      <c r="W3" s="63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3"/>
      <c r="AL3" s="63"/>
      <c r="AM3" s="63"/>
      <c r="AN3" s="63"/>
      <c r="AO3" s="63"/>
      <c r="AP3" s="63"/>
      <c r="AQ3" s="53"/>
      <c r="AS3" s="53"/>
      <c r="AT3" s="64"/>
    </row>
    <row r="4" spans="1:55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0">
        <v>1998</v>
      </c>
      <c r="T4" s="51"/>
      <c r="U4" s="10"/>
      <c r="V4" s="65"/>
      <c r="W4" s="66"/>
      <c r="X4" s="419">
        <v>2001</v>
      </c>
      <c r="Y4" s="420"/>
      <c r="Z4" s="421"/>
      <c r="AA4" s="180"/>
      <c r="AB4" s="395" t="s">
        <v>125</v>
      </c>
      <c r="AC4" s="362" t="s">
        <v>113</v>
      </c>
      <c r="AD4" s="180"/>
      <c r="AE4" s="419">
        <v>2002</v>
      </c>
      <c r="AF4" s="420"/>
      <c r="AG4" s="421"/>
      <c r="AH4" s="372"/>
      <c r="AJ4" s="4"/>
      <c r="AK4" s="67" t="s">
        <v>19</v>
      </c>
      <c r="AL4" s="66"/>
      <c r="AM4" s="68" t="s">
        <v>20</v>
      </c>
      <c r="AN4" s="69"/>
      <c r="AO4" s="69"/>
      <c r="AP4" s="69"/>
      <c r="AQ4" s="70"/>
      <c r="AS4" s="13"/>
      <c r="AT4" s="22"/>
      <c r="AU4" s="25" t="s">
        <v>21</v>
      </c>
      <c r="AV4" s="25"/>
      <c r="AW4" s="198"/>
      <c r="AX4" s="21" t="s">
        <v>22</v>
      </c>
      <c r="AY4" s="71"/>
      <c r="AZ4" s="21" t="s">
        <v>23</v>
      </c>
      <c r="BA4" s="21"/>
      <c r="BB4" s="21" t="s">
        <v>24</v>
      </c>
      <c r="BC4" s="21"/>
    </row>
    <row r="5" spans="1:55" x14ac:dyDescent="0.2">
      <c r="A5" s="4"/>
      <c r="B5" s="4"/>
      <c r="C5" s="8"/>
      <c r="D5" s="4"/>
      <c r="E5" s="72" t="s">
        <v>25</v>
      </c>
      <c r="F5" s="4"/>
      <c r="G5" s="73" t="s">
        <v>26</v>
      </c>
      <c r="H5" s="74"/>
      <c r="I5" s="75"/>
      <c r="J5" s="4"/>
      <c r="K5" s="73" t="s">
        <v>26</v>
      </c>
      <c r="L5" s="74"/>
      <c r="M5" s="75"/>
      <c r="N5" s="4"/>
      <c r="O5" s="73" t="s">
        <v>26</v>
      </c>
      <c r="P5" s="74"/>
      <c r="Q5" s="75"/>
      <c r="R5" s="4"/>
      <c r="S5" s="73" t="s">
        <v>26</v>
      </c>
      <c r="T5" s="75"/>
      <c r="U5" s="66"/>
      <c r="V5" s="67" t="s">
        <v>27</v>
      </c>
      <c r="W5" s="76"/>
      <c r="X5" s="73" t="s">
        <v>26</v>
      </c>
      <c r="Y5" s="209"/>
      <c r="Z5" s="75"/>
      <c r="AA5" s="77"/>
      <c r="AB5" s="67" t="s">
        <v>112</v>
      </c>
      <c r="AC5" s="80" t="s">
        <v>114</v>
      </c>
      <c r="AD5" s="77"/>
      <c r="AE5" s="73" t="s">
        <v>26</v>
      </c>
      <c r="AF5" s="209"/>
      <c r="AG5" s="75"/>
      <c r="AH5" s="77"/>
      <c r="AJ5" s="77"/>
      <c r="AK5" s="78" t="s">
        <v>27</v>
      </c>
      <c r="AL5" s="76"/>
      <c r="AM5" s="79" t="s">
        <v>28</v>
      </c>
      <c r="AN5" s="76"/>
      <c r="AO5" s="76" t="s">
        <v>29</v>
      </c>
      <c r="AP5" s="76"/>
      <c r="AQ5" s="80" t="s">
        <v>30</v>
      </c>
      <c r="AS5" s="81" t="s">
        <v>31</v>
      </c>
      <c r="AT5" s="82"/>
      <c r="AU5" s="26"/>
      <c r="AV5" s="27" t="s">
        <v>32</v>
      </c>
      <c r="AW5" s="199" t="s">
        <v>32</v>
      </c>
      <c r="AX5" s="20"/>
      <c r="AY5" s="83">
        <v>36994</v>
      </c>
      <c r="AZ5" s="20"/>
      <c r="BA5" s="83">
        <v>36980</v>
      </c>
      <c r="BB5" s="221"/>
      <c r="BC5" s="83">
        <v>36889</v>
      </c>
    </row>
    <row r="6" spans="1:55" ht="15.75" thickBot="1" x14ac:dyDescent="0.25">
      <c r="A6" s="84" t="s">
        <v>33</v>
      </c>
      <c r="B6" s="4"/>
      <c r="C6" s="84" t="s">
        <v>34</v>
      </c>
      <c r="D6" s="4"/>
      <c r="E6" s="84" t="s">
        <v>35</v>
      </c>
      <c r="F6" s="4"/>
      <c r="G6" s="85" t="s">
        <v>19</v>
      </c>
      <c r="H6" s="86"/>
      <c r="I6" s="87" t="s">
        <v>36</v>
      </c>
      <c r="J6" s="4"/>
      <c r="K6" s="85" t="s">
        <v>19</v>
      </c>
      <c r="L6" s="86"/>
      <c r="M6" s="87" t="s">
        <v>36</v>
      </c>
      <c r="N6" s="4"/>
      <c r="O6" s="85" t="s">
        <v>19</v>
      </c>
      <c r="P6" s="86"/>
      <c r="Q6" s="87" t="s">
        <v>36</v>
      </c>
      <c r="R6" s="4"/>
      <c r="S6" s="85" t="s">
        <v>19</v>
      </c>
      <c r="T6" s="87" t="s">
        <v>36</v>
      </c>
      <c r="U6" s="88"/>
      <c r="V6" s="89" t="s">
        <v>37</v>
      </c>
      <c r="W6" s="88"/>
      <c r="X6" s="85" t="s">
        <v>85</v>
      </c>
      <c r="Y6" s="214"/>
      <c r="Z6" s="87" t="s">
        <v>36</v>
      </c>
      <c r="AA6" s="90"/>
      <c r="AB6" s="81" t="s">
        <v>27</v>
      </c>
      <c r="AC6" s="380" t="s">
        <v>115</v>
      </c>
      <c r="AD6" s="90"/>
      <c r="AE6" s="85" t="s">
        <v>85</v>
      </c>
      <c r="AF6" s="214"/>
      <c r="AG6" s="87" t="s">
        <v>36</v>
      </c>
      <c r="AH6" s="90"/>
      <c r="AJ6" s="380"/>
      <c r="AK6" s="87" t="s">
        <v>38</v>
      </c>
      <c r="AL6" s="88"/>
      <c r="AM6" s="91" t="s">
        <v>39</v>
      </c>
      <c r="AN6" s="88"/>
      <c r="AO6" s="92" t="s">
        <v>40</v>
      </c>
      <c r="AP6" s="88"/>
      <c r="AQ6" s="93" t="s">
        <v>40</v>
      </c>
      <c r="AS6" s="89" t="s">
        <v>41</v>
      </c>
      <c r="AT6" s="94"/>
      <c r="AU6" s="95" t="s">
        <v>42</v>
      </c>
      <c r="AV6" s="24" t="s">
        <v>43</v>
      </c>
      <c r="AW6" s="200" t="s">
        <v>31</v>
      </c>
      <c r="AX6" s="95" t="s">
        <v>44</v>
      </c>
      <c r="AY6" s="220" t="s">
        <v>45</v>
      </c>
      <c r="AZ6" s="95" t="s">
        <v>46</v>
      </c>
      <c r="BA6" s="96" t="s">
        <v>47</v>
      </c>
      <c r="BB6" s="222" t="s">
        <v>48</v>
      </c>
      <c r="BC6" s="361" t="s">
        <v>111</v>
      </c>
    </row>
    <row r="7" spans="1:55" ht="15.75" thickBot="1" x14ac:dyDescent="0.25">
      <c r="A7" s="97" t="s">
        <v>49</v>
      </c>
      <c r="B7" s="98"/>
      <c r="C7" s="99" t="s">
        <v>0</v>
      </c>
      <c r="D7" s="98"/>
      <c r="E7" s="100">
        <f>[1]!ENE</f>
        <v>59.99</v>
      </c>
      <c r="F7" s="98"/>
      <c r="G7" s="101">
        <v>2.16</v>
      </c>
      <c r="H7" s="102" t="s">
        <v>50</v>
      </c>
      <c r="I7" s="103">
        <f>E7/G7</f>
        <v>27.773148148148149</v>
      </c>
      <c r="J7" s="98"/>
      <c r="K7" s="101">
        <v>2.14</v>
      </c>
      <c r="L7" s="104" t="s">
        <v>51</v>
      </c>
      <c r="M7" s="103">
        <f>E7/K7</f>
        <v>28.032710280373831</v>
      </c>
      <c r="N7" s="98"/>
      <c r="O7" s="101">
        <v>2.16</v>
      </c>
      <c r="P7" s="102" t="s">
        <v>50</v>
      </c>
      <c r="Q7" s="103">
        <f>M7/O7</f>
        <v>12.978106611284179</v>
      </c>
      <c r="R7" s="98"/>
      <c r="S7" s="105">
        <f>+S89</f>
        <v>1.9988888888888892</v>
      </c>
      <c r="T7" s="103">
        <f>E7/S7</f>
        <v>30.011673151750969</v>
      </c>
      <c r="U7" s="106"/>
      <c r="V7" s="107">
        <f>(S7-K7)/K7</f>
        <v>-6.5939771547248116E-2</v>
      </c>
      <c r="W7" s="108"/>
      <c r="X7" s="246">
        <v>1.79</v>
      </c>
      <c r="Y7" s="228"/>
      <c r="Z7" s="103">
        <f>E7/X7</f>
        <v>33.513966480446925</v>
      </c>
      <c r="AA7" s="106"/>
      <c r="AB7" s="396">
        <f>(X7-AS70)/AS70</f>
        <v>0.21768707482993202</v>
      </c>
      <c r="AC7" s="382">
        <v>0.12</v>
      </c>
      <c r="AD7" s="106"/>
      <c r="AE7" s="246">
        <v>2.11</v>
      </c>
      <c r="AF7" s="213"/>
      <c r="AG7" s="103">
        <f>E7/AE7</f>
        <v>28.431279620853083</v>
      </c>
      <c r="AH7" s="126"/>
      <c r="AJ7" s="124"/>
      <c r="AK7" s="110">
        <f>(X7-S7)/S7</f>
        <v>-0.10450250138966102</v>
      </c>
      <c r="AL7" s="108"/>
      <c r="AM7" s="109">
        <f>((+AX7+E7-AY7)/AY7)</f>
        <v>4.6945898778359599E-2</v>
      </c>
      <c r="AN7" s="108"/>
      <c r="AO7" s="108">
        <f>((+AZ7+E7-BA7)/BA7)</f>
        <v>3.2530120481927723E-2</v>
      </c>
      <c r="AP7" s="108"/>
      <c r="AQ7" s="110">
        <f>((+BB7+E7-BC7)/BC7)</f>
        <v>-0.27681203007518795</v>
      </c>
      <c r="AR7" s="49"/>
      <c r="AS7" s="193">
        <f>AU7/E7</f>
        <v>8.3347224537422895E-3</v>
      </c>
      <c r="AT7" s="111"/>
      <c r="AU7" s="54">
        <v>0.5</v>
      </c>
      <c r="AV7" s="282">
        <v>36949</v>
      </c>
      <c r="AW7" s="201">
        <v>0.125</v>
      </c>
      <c r="AX7" s="41"/>
      <c r="AY7" s="100">
        <v>57.3</v>
      </c>
      <c r="AZ7" s="226"/>
      <c r="BA7" s="177">
        <v>58.1</v>
      </c>
      <c r="BB7" s="223">
        <v>0.125</v>
      </c>
      <c r="BC7" s="177">
        <v>83.125</v>
      </c>
    </row>
    <row r="8" spans="1:55" ht="6" customHeight="1" x14ac:dyDescent="0.2">
      <c r="A8" s="65"/>
      <c r="B8" s="65"/>
      <c r="C8" s="112"/>
      <c r="D8" s="65"/>
      <c r="E8" s="113"/>
      <c r="F8" s="65"/>
      <c r="G8" s="114"/>
      <c r="H8" s="115"/>
      <c r="I8" s="116"/>
      <c r="J8" s="66"/>
      <c r="K8" s="114"/>
      <c r="L8" s="66"/>
      <c r="M8" s="116"/>
      <c r="N8" s="65"/>
      <c r="O8" s="114"/>
      <c r="P8" s="115"/>
      <c r="Q8" s="116"/>
      <c r="R8" s="66"/>
      <c r="S8" s="114"/>
      <c r="T8" s="116"/>
      <c r="U8" s="66"/>
      <c r="V8" s="117"/>
      <c r="W8" s="12"/>
      <c r="X8" s="114"/>
      <c r="Y8" s="215"/>
      <c r="Z8" s="116"/>
      <c r="AA8" s="66"/>
      <c r="AB8" s="401"/>
      <c r="AC8" s="190"/>
      <c r="AD8" s="66"/>
      <c r="AE8" s="181"/>
      <c r="AF8" s="66"/>
      <c r="AG8" s="190"/>
      <c r="AH8" s="373"/>
      <c r="AJ8" s="66"/>
      <c r="AK8" s="117"/>
      <c r="AL8" s="12"/>
      <c r="AM8" s="118"/>
      <c r="AN8" s="12"/>
      <c r="AO8" s="12"/>
      <c r="AP8" s="12"/>
      <c r="AQ8" s="119"/>
      <c r="AR8" s="29"/>
      <c r="AS8" s="117"/>
      <c r="AT8" s="118"/>
      <c r="AU8" s="55"/>
      <c r="AV8" s="39"/>
      <c r="AW8" s="201"/>
      <c r="AX8" s="42"/>
      <c r="AY8" s="113"/>
      <c r="AZ8" s="227"/>
      <c r="BA8" s="178"/>
      <c r="BB8" s="224"/>
      <c r="BC8" s="178"/>
    </row>
    <row r="9" spans="1:55" x14ac:dyDescent="0.2">
      <c r="A9" s="120" t="s">
        <v>52</v>
      </c>
      <c r="B9" s="65"/>
      <c r="C9" s="112" t="s">
        <v>60</v>
      </c>
      <c r="D9" s="65"/>
      <c r="E9" s="285">
        <f>[1]!'.SPX'</f>
        <v>1242.98</v>
      </c>
      <c r="F9" s="122"/>
      <c r="G9" s="123">
        <v>40.53</v>
      </c>
      <c r="H9" s="115"/>
      <c r="I9" s="124">
        <f>E9/G9</f>
        <v>30.668147051566741</v>
      </c>
      <c r="J9" s="66"/>
      <c r="K9" s="123">
        <v>42.08</v>
      </c>
      <c r="L9" s="66"/>
      <c r="M9" s="124">
        <f>E9/K9</f>
        <v>29.538498098859318</v>
      </c>
      <c r="N9" s="122"/>
      <c r="O9" s="123">
        <v>40.53</v>
      </c>
      <c r="P9" s="115"/>
      <c r="Q9" s="124">
        <f>M9/O9</f>
        <v>0.72880577594027429</v>
      </c>
      <c r="R9" s="66"/>
      <c r="S9" s="125">
        <v>40.18</v>
      </c>
      <c r="T9" s="124">
        <f>E9/S9</f>
        <v>30.935291189646591</v>
      </c>
      <c r="U9" s="126"/>
      <c r="V9" s="127">
        <f>(S9-K9)/K9</f>
        <v>-4.5152091254752821E-2</v>
      </c>
      <c r="W9" s="128"/>
      <c r="X9" s="125">
        <v>55.63</v>
      </c>
      <c r="Y9" s="210"/>
      <c r="Z9" s="124">
        <f>E9/X9</f>
        <v>22.343699442746718</v>
      </c>
      <c r="AA9" s="126"/>
      <c r="AB9" s="397">
        <f>+(+X9-AS72)/AS72</f>
        <v>-2.0943329813445929E-2</v>
      </c>
      <c r="AC9" s="381"/>
      <c r="AD9" s="126"/>
      <c r="AE9" s="125">
        <v>61.94</v>
      </c>
      <c r="AF9" s="210"/>
      <c r="AG9" s="124">
        <f>E9/AE9</f>
        <v>20.067484662576689</v>
      </c>
      <c r="AH9" s="126"/>
      <c r="AJ9" s="126"/>
      <c r="AK9" s="127">
        <f>(X9-S9)/S9</f>
        <v>0.38451966152314593</v>
      </c>
      <c r="AL9" s="128"/>
      <c r="AM9" s="111">
        <f>((+AX9+E9-AY9)/AY9)</f>
        <v>5.0327841149134009E-2</v>
      </c>
      <c r="AN9" s="128"/>
      <c r="AO9" s="128">
        <f>((+AZ9+E9-BA9)/BA9)</f>
        <v>7.1863176854860253E-2</v>
      </c>
      <c r="AP9" s="128"/>
      <c r="AQ9" s="129">
        <f>((+BB9+E9-BC9)/BC9)</f>
        <v>-5.5129215014996867E-2</v>
      </c>
      <c r="AR9" s="29"/>
      <c r="AS9" s="218">
        <v>1.2699999999999999E-2</v>
      </c>
      <c r="AT9" s="111"/>
      <c r="AU9" s="208">
        <f>AS9*E9</f>
        <v>15.785845999999999</v>
      </c>
      <c r="AV9" s="40"/>
      <c r="AW9" s="201"/>
      <c r="AX9" s="196">
        <v>8.3000000000000004E-2</v>
      </c>
      <c r="AY9" s="285">
        <v>1183.5</v>
      </c>
      <c r="AZ9" s="196">
        <f>0.735</f>
        <v>0.73499999999999999</v>
      </c>
      <c r="BA9" s="179">
        <v>1160.33</v>
      </c>
      <c r="BB9" s="196">
        <v>4.5140000000000002</v>
      </c>
      <c r="BC9" s="179">
        <v>1320.28</v>
      </c>
    </row>
    <row r="10" spans="1:55" x14ac:dyDescent="0.2">
      <c r="A10" s="120" t="s">
        <v>78</v>
      </c>
      <c r="B10" s="65"/>
      <c r="C10" s="112" t="s">
        <v>75</v>
      </c>
      <c r="D10" s="65"/>
      <c r="E10" s="285">
        <f>[1]!'.IXIC'</f>
        <v>2163.38</v>
      </c>
      <c r="F10" s="122"/>
      <c r="G10" s="123">
        <v>40.53</v>
      </c>
      <c r="H10" s="115"/>
      <c r="I10" s="124">
        <f>E10/G10</f>
        <v>53.377251418702194</v>
      </c>
      <c r="J10" s="66"/>
      <c r="K10" s="123">
        <v>42.08</v>
      </c>
      <c r="L10" s="66"/>
      <c r="M10" s="124">
        <f>E10/K10</f>
        <v>51.411121673003805</v>
      </c>
      <c r="N10" s="122"/>
      <c r="O10" s="123">
        <v>40.53</v>
      </c>
      <c r="P10" s="115"/>
      <c r="Q10" s="124">
        <f>M10/O10</f>
        <v>1.268470803676383</v>
      </c>
      <c r="R10" s="66"/>
      <c r="S10" s="125">
        <v>40.18</v>
      </c>
      <c r="T10" s="124">
        <f>E10/S10</f>
        <v>53.842210054753615</v>
      </c>
      <c r="U10" s="126"/>
      <c r="V10" s="127">
        <f>(S10-K10)/K10</f>
        <v>-4.5152091254752821E-2</v>
      </c>
      <c r="W10" s="128"/>
      <c r="X10" s="248" t="s">
        <v>76</v>
      </c>
      <c r="Y10" s="210"/>
      <c r="Z10" s="249" t="s">
        <v>77</v>
      </c>
      <c r="AA10" s="126"/>
      <c r="AB10" s="398"/>
      <c r="AC10" s="249"/>
      <c r="AD10" s="126"/>
      <c r="AE10" s="248" t="s">
        <v>76</v>
      </c>
      <c r="AF10" s="210"/>
      <c r="AG10" s="249" t="s">
        <v>77</v>
      </c>
      <c r="AH10" s="374"/>
      <c r="AJ10" s="126"/>
      <c r="AK10" s="127" t="e">
        <f>(X10-S10)/S10</f>
        <v>#VALUE!</v>
      </c>
      <c r="AL10" s="128"/>
      <c r="AM10" s="111">
        <f>((+AX10+E10-AY10)/AY10)</f>
        <v>0.10296671306138899</v>
      </c>
      <c r="AN10" s="128"/>
      <c r="AO10" s="128">
        <f>((+AZ10+E10-BA10)/BA10)</f>
        <v>0.17564202884375038</v>
      </c>
      <c r="AP10" s="128"/>
      <c r="AQ10" s="129">
        <f>((+BB10+E10-BC10)/BC10)</f>
        <v>-0.12361486650583683</v>
      </c>
      <c r="AR10" s="29"/>
      <c r="AS10" s="218">
        <v>2.8E-3</v>
      </c>
      <c r="AT10" s="111"/>
      <c r="AU10" s="208">
        <f>AS10*E10</f>
        <v>6.0574640000000004</v>
      </c>
      <c r="AV10" s="40"/>
      <c r="AW10" s="201"/>
      <c r="AX10" s="196">
        <v>1.2E-2</v>
      </c>
      <c r="AY10" s="285">
        <v>1961.43</v>
      </c>
      <c r="AZ10" s="196">
        <f>0.107</f>
        <v>0.107</v>
      </c>
      <c r="BA10" s="179">
        <v>1840.26</v>
      </c>
      <c r="BB10" s="196">
        <v>1.7470000000000001</v>
      </c>
      <c r="BC10" s="179">
        <v>2470.52</v>
      </c>
    </row>
    <row r="11" spans="1:55" ht="9.75" customHeight="1" x14ac:dyDescent="0.2">
      <c r="A11" s="65"/>
      <c r="B11" s="65"/>
      <c r="C11" s="112"/>
      <c r="D11" s="65"/>
      <c r="E11" s="121"/>
      <c r="F11" s="65"/>
      <c r="G11" s="123"/>
      <c r="H11" s="115"/>
      <c r="I11" s="31"/>
      <c r="J11" s="65"/>
      <c r="K11" s="123"/>
      <c r="L11" s="66"/>
      <c r="M11" s="31"/>
      <c r="N11" s="65"/>
      <c r="O11" s="123"/>
      <c r="P11" s="115"/>
      <c r="Q11" s="31"/>
      <c r="R11" s="65"/>
      <c r="S11" s="125"/>
      <c r="T11" s="31"/>
      <c r="U11" s="10"/>
      <c r="V11" s="117"/>
      <c r="W11" s="12"/>
      <c r="X11" s="125"/>
      <c r="Y11" s="210"/>
      <c r="Z11" s="31"/>
      <c r="AA11" s="10"/>
      <c r="AB11" s="399"/>
      <c r="AC11" s="191"/>
      <c r="AD11" s="10"/>
      <c r="AE11" s="125"/>
      <c r="AF11" s="210"/>
      <c r="AG11" s="191"/>
      <c r="AH11" s="275"/>
      <c r="AJ11" s="10"/>
      <c r="AK11" s="117"/>
      <c r="AL11" s="12"/>
      <c r="AM11" s="118"/>
      <c r="AN11" s="12"/>
      <c r="AO11" s="12"/>
      <c r="AP11" s="12"/>
      <c r="AQ11" s="119"/>
      <c r="AR11" s="29"/>
      <c r="AS11" s="32"/>
      <c r="AT11" s="28"/>
      <c r="AU11" s="55"/>
      <c r="AV11" s="39"/>
      <c r="AW11" s="201"/>
      <c r="AX11" s="42"/>
      <c r="AY11" s="412"/>
      <c r="AZ11" s="268"/>
      <c r="BA11" s="179"/>
      <c r="BB11" s="224"/>
      <c r="BC11" s="179"/>
    </row>
    <row r="12" spans="1:55" x14ac:dyDescent="0.2">
      <c r="A12" s="269" t="s">
        <v>84</v>
      </c>
      <c r="B12" s="65"/>
      <c r="C12" s="112"/>
      <c r="D12" s="65"/>
      <c r="E12" s="121"/>
      <c r="F12" s="65"/>
      <c r="G12" s="123"/>
      <c r="H12" s="115"/>
      <c r="I12" s="31"/>
      <c r="J12" s="65"/>
      <c r="K12" s="123"/>
      <c r="L12" s="66"/>
      <c r="M12" s="31"/>
      <c r="N12" s="65"/>
      <c r="O12" s="123"/>
      <c r="P12" s="115"/>
      <c r="Q12" s="31"/>
      <c r="R12" s="65"/>
      <c r="S12" s="125"/>
      <c r="T12" s="31"/>
      <c r="U12" s="10"/>
      <c r="V12" s="117"/>
      <c r="W12" s="12"/>
      <c r="X12" s="125"/>
      <c r="Y12" s="210"/>
      <c r="Z12" s="31"/>
      <c r="AA12" s="10"/>
      <c r="AB12" s="399"/>
      <c r="AC12" s="191"/>
      <c r="AD12" s="10"/>
      <c r="AE12" s="125"/>
      <c r="AF12" s="210"/>
      <c r="AG12" s="191"/>
      <c r="AH12" s="275"/>
      <c r="AJ12" s="10"/>
      <c r="AK12" s="117"/>
      <c r="AL12" s="12"/>
      <c r="AM12" s="118"/>
      <c r="AN12" s="12"/>
      <c r="AO12" s="12"/>
      <c r="AP12" s="12"/>
      <c r="AQ12" s="119"/>
      <c r="AR12" s="29"/>
      <c r="AS12" s="32"/>
      <c r="AT12" s="28"/>
      <c r="AU12" s="55"/>
      <c r="AV12" s="39"/>
      <c r="AW12" s="201"/>
      <c r="AX12" s="267"/>
      <c r="AY12" s="121"/>
      <c r="AZ12" s="268"/>
      <c r="BA12" s="179"/>
      <c r="BB12" s="224"/>
      <c r="BC12" s="179"/>
    </row>
    <row r="13" spans="1:55" x14ac:dyDescent="0.2">
      <c r="A13" s="65" t="s">
        <v>107</v>
      </c>
      <c r="B13" s="359"/>
      <c r="C13" s="130" t="s">
        <v>67</v>
      </c>
      <c r="D13" s="65"/>
      <c r="E13" s="121">
        <f>[1]!AES</f>
        <v>49.65</v>
      </c>
      <c r="F13" s="65"/>
      <c r="G13" s="123">
        <v>4.72</v>
      </c>
      <c r="H13" s="131" t="s">
        <v>50</v>
      </c>
      <c r="I13" s="124">
        <f>E13/G13</f>
        <v>10.51906779661017</v>
      </c>
      <c r="J13" s="65"/>
      <c r="K13" s="123">
        <v>4.9400000000000004</v>
      </c>
      <c r="L13" s="66"/>
      <c r="M13" s="124">
        <f t="shared" ref="M13:M18" si="0">E13/K13</f>
        <v>10.050607287449392</v>
      </c>
      <c r="N13" s="65"/>
      <c r="O13" s="123">
        <v>4.72</v>
      </c>
      <c r="P13" s="131" t="s">
        <v>50</v>
      </c>
      <c r="Q13" s="124">
        <f>M13/O13</f>
        <v>2.1293659507308034</v>
      </c>
      <c r="R13" s="65"/>
      <c r="S13" s="125">
        <v>3.43</v>
      </c>
      <c r="T13" s="124">
        <f t="shared" ref="T13:T18" si="1">E13/S13</f>
        <v>14.475218658892127</v>
      </c>
      <c r="U13" s="126"/>
      <c r="V13" s="127">
        <f>(S13-K13)/K13</f>
        <v>-0.30566801619433198</v>
      </c>
      <c r="W13" s="128"/>
      <c r="X13" s="125">
        <v>1.87</v>
      </c>
      <c r="Y13" s="210"/>
      <c r="Z13" s="124">
        <f t="shared" ref="Z13:Z23" si="2">E13/X13</f>
        <v>26.55080213903743</v>
      </c>
      <c r="AA13" s="126"/>
      <c r="AB13" s="397">
        <f t="shared" ref="AB13:AB23" si="3">+(+X13-AS76)/AS76</f>
        <v>0.2808219178082193</v>
      </c>
      <c r="AC13" s="381">
        <v>0.17399999999999999</v>
      </c>
      <c r="AD13" s="126"/>
      <c r="AE13" s="125">
        <v>2.46</v>
      </c>
      <c r="AF13" s="210"/>
      <c r="AG13" s="124">
        <f t="shared" ref="AG13:AG23" si="4">E13/AE13</f>
        <v>20.182926829268293</v>
      </c>
      <c r="AH13" s="126"/>
      <c r="AJ13" s="126"/>
      <c r="AK13" s="127">
        <f t="shared" ref="AK13:AK23" si="5">(X13-S13)/S13</f>
        <v>-0.45481049562682213</v>
      </c>
      <c r="AL13" s="128"/>
      <c r="AM13" s="111">
        <f t="shared" ref="AM13:AM23" si="6">((+AX13+E13-AY13)/AY13)</f>
        <v>5.0607287449392713E-3</v>
      </c>
      <c r="AN13" s="128"/>
      <c r="AO13" s="128">
        <f t="shared" ref="AO13:AO23" si="7">((+AZ13+E13-BA13)/BA13)</f>
        <v>-6.2049639711769869E-3</v>
      </c>
      <c r="AP13" s="128"/>
      <c r="AQ13" s="129">
        <f t="shared" ref="AQ13:AQ23" si="8">((+BB13+E13-BC13)/BC13)</f>
        <v>-0.10338600451467271</v>
      </c>
      <c r="AR13" s="29"/>
      <c r="AS13" s="132">
        <f t="shared" ref="AS13:AS23" si="9">AU13/E13</f>
        <v>0</v>
      </c>
      <c r="AT13" s="133"/>
      <c r="AU13" s="54">
        <f>[1]!'AES,DIVIDEND'</f>
        <v>0</v>
      </c>
      <c r="AV13" s="247" t="s">
        <v>68</v>
      </c>
      <c r="AW13" s="201">
        <v>0</v>
      </c>
      <c r="AX13" s="43"/>
      <c r="AY13" s="121">
        <v>49.4</v>
      </c>
      <c r="AZ13" s="43"/>
      <c r="BA13" s="179">
        <v>49.96</v>
      </c>
      <c r="BB13" s="43"/>
      <c r="BC13" s="179">
        <v>55.375</v>
      </c>
    </row>
    <row r="14" spans="1:55" x14ac:dyDescent="0.2">
      <c r="A14" s="120" t="s">
        <v>69</v>
      </c>
      <c r="B14" s="359"/>
      <c r="C14" s="130" t="s">
        <v>70</v>
      </c>
      <c r="D14" s="65"/>
      <c r="E14" s="230">
        <f>[1]!D</f>
        <v>66.099999999999994</v>
      </c>
      <c r="F14" s="65"/>
      <c r="G14" s="123">
        <v>3.24</v>
      </c>
      <c r="H14" s="115"/>
      <c r="I14" s="124">
        <f>E14/G14</f>
        <v>20.401234567901231</v>
      </c>
      <c r="J14" s="65"/>
      <c r="K14" s="123">
        <v>3.34</v>
      </c>
      <c r="L14" s="66"/>
      <c r="M14" s="124">
        <f t="shared" si="0"/>
        <v>19.790419161676645</v>
      </c>
      <c r="N14" s="65"/>
      <c r="O14" s="123">
        <v>3.24</v>
      </c>
      <c r="P14" s="115"/>
      <c r="Q14" s="124">
        <f>M14/O14</f>
        <v>6.1081540622458776</v>
      </c>
      <c r="R14" s="65"/>
      <c r="S14" s="125">
        <v>2.87</v>
      </c>
      <c r="T14" s="124">
        <f t="shared" si="1"/>
        <v>23.031358885017418</v>
      </c>
      <c r="U14" s="126"/>
      <c r="V14" s="127">
        <f>(S14-K14)/K14</f>
        <v>-0.14071856287425144</v>
      </c>
      <c r="W14" s="128"/>
      <c r="X14" s="125">
        <v>4.13</v>
      </c>
      <c r="Y14" s="210"/>
      <c r="Z14" s="124">
        <f t="shared" si="2"/>
        <v>16.004842615012105</v>
      </c>
      <c r="AA14" s="126"/>
      <c r="AB14" s="397">
        <f t="shared" si="3"/>
        <v>0.23912391239123904</v>
      </c>
      <c r="AC14" s="381">
        <v>6.5000000000000002E-2</v>
      </c>
      <c r="AD14" s="126"/>
      <c r="AE14" s="125">
        <v>4.55</v>
      </c>
      <c r="AF14" s="210"/>
      <c r="AG14" s="124">
        <f t="shared" si="4"/>
        <v>14.527472527472527</v>
      </c>
      <c r="AH14" s="126"/>
      <c r="AJ14" s="126"/>
      <c r="AK14" s="127">
        <f t="shared" si="5"/>
        <v>0.43902439024390233</v>
      </c>
      <c r="AL14" s="128"/>
      <c r="AM14" s="111">
        <f t="shared" si="6"/>
        <v>-2.0740740740740823E-2</v>
      </c>
      <c r="AN14" s="128"/>
      <c r="AO14" s="128">
        <f t="shared" si="7"/>
        <v>2.5283077400341174E-2</v>
      </c>
      <c r="AP14" s="128"/>
      <c r="AQ14" s="129">
        <f t="shared" si="8"/>
        <v>-3.8059701492538754E-3</v>
      </c>
      <c r="AR14" s="29"/>
      <c r="AS14" s="132">
        <f t="shared" si="9"/>
        <v>3.9031770045385786E-2</v>
      </c>
      <c r="AT14" s="133"/>
      <c r="AU14" s="54">
        <f>[1]!'D,DIVIDEND'</f>
        <v>2.58</v>
      </c>
      <c r="AV14" s="247">
        <v>36950</v>
      </c>
      <c r="AW14" s="201">
        <v>0.64500000000000002</v>
      </c>
      <c r="AX14" s="43"/>
      <c r="AY14" s="230">
        <v>67.5</v>
      </c>
      <c r="AZ14" s="43"/>
      <c r="BA14" s="179">
        <v>64.47</v>
      </c>
      <c r="BB14" s="43">
        <v>0.64500000000000002</v>
      </c>
      <c r="BC14" s="179">
        <v>67</v>
      </c>
    </row>
    <row r="15" spans="1:55" x14ac:dyDescent="0.2">
      <c r="A15" s="120" t="s">
        <v>53</v>
      </c>
      <c r="B15" s="359"/>
      <c r="C15" s="130" t="s">
        <v>1</v>
      </c>
      <c r="D15" s="65"/>
      <c r="E15" s="121">
        <f>[1]!DUK</f>
        <v>44.84</v>
      </c>
      <c r="F15" s="65"/>
      <c r="G15" s="123"/>
      <c r="H15" s="131"/>
      <c r="I15" s="124"/>
      <c r="J15" s="65"/>
      <c r="K15" s="123">
        <v>2.95</v>
      </c>
      <c r="L15" s="66"/>
      <c r="M15" s="124">
        <f t="shared" si="0"/>
        <v>15.200000000000001</v>
      </c>
      <c r="N15" s="65"/>
      <c r="O15" s="123"/>
      <c r="P15" s="131"/>
      <c r="Q15" s="124"/>
      <c r="R15" s="65"/>
      <c r="S15" s="125">
        <v>3.38</v>
      </c>
      <c r="T15" s="124">
        <f t="shared" si="1"/>
        <v>13.266272189349113</v>
      </c>
      <c r="U15" s="126"/>
      <c r="V15" s="127">
        <f>(S15-K15)/K15</f>
        <v>0.14576271186440667</v>
      </c>
      <c r="W15" s="128"/>
      <c r="X15" s="125">
        <v>2.4500000000000002</v>
      </c>
      <c r="Y15" s="210"/>
      <c r="Z15" s="124">
        <f t="shared" si="2"/>
        <v>18.302040816326532</v>
      </c>
      <c r="AA15" s="126"/>
      <c r="AB15" s="397">
        <f t="shared" si="3"/>
        <v>0.16666666666666671</v>
      </c>
      <c r="AC15" s="381">
        <v>0.18140000000000001</v>
      </c>
      <c r="AD15" s="126"/>
      <c r="AE15" s="125">
        <v>2.74</v>
      </c>
      <c r="AF15" s="210"/>
      <c r="AG15" s="124">
        <f t="shared" si="4"/>
        <v>16.364963503649633</v>
      </c>
      <c r="AH15" s="126"/>
      <c r="AJ15" s="126"/>
      <c r="AK15" s="127">
        <f t="shared" si="5"/>
        <v>-0.27514792899408275</v>
      </c>
      <c r="AL15" s="128"/>
      <c r="AM15" s="111">
        <f t="shared" si="6"/>
        <v>6.7619047619047704E-2</v>
      </c>
      <c r="AN15" s="128"/>
      <c r="AO15" s="128">
        <f t="shared" si="7"/>
        <v>4.9134300421151175E-2</v>
      </c>
      <c r="AP15" s="128"/>
      <c r="AQ15" s="129">
        <f t="shared" si="8"/>
        <v>5.8540591271703538E-2</v>
      </c>
      <c r="AR15" s="29"/>
      <c r="AS15" s="132">
        <f t="shared" si="9"/>
        <v>2.4531668153434435E-2</v>
      </c>
      <c r="AT15" s="133"/>
      <c r="AU15" s="54">
        <f>[1]!'DUK,DIVIDEND'</f>
        <v>1.1000000000000001</v>
      </c>
      <c r="AV15" s="284">
        <v>36936</v>
      </c>
      <c r="AW15" s="201">
        <v>0.27500000000000002</v>
      </c>
      <c r="AX15" s="43"/>
      <c r="AY15" s="121">
        <v>42</v>
      </c>
      <c r="AZ15" s="43"/>
      <c r="BA15" s="179">
        <v>42.74</v>
      </c>
      <c r="BB15" s="43">
        <v>0.27500000000000002</v>
      </c>
      <c r="BC15" s="179">
        <v>42.62</v>
      </c>
    </row>
    <row r="16" spans="1:55" ht="15.75" x14ac:dyDescent="0.25">
      <c r="A16" s="120" t="s">
        <v>108</v>
      </c>
      <c r="B16" s="359"/>
      <c r="C16" s="130" t="s">
        <v>54</v>
      </c>
      <c r="D16" s="65"/>
      <c r="E16" s="121">
        <f>[1]!DYN</f>
        <v>53.4</v>
      </c>
      <c r="F16" s="65"/>
      <c r="G16" s="123"/>
      <c r="H16" s="131"/>
      <c r="I16" s="124"/>
      <c r="J16" s="65"/>
      <c r="K16" s="123">
        <v>0.7</v>
      </c>
      <c r="L16" s="66"/>
      <c r="M16" s="124">
        <f>E16/K16</f>
        <v>76.285714285714292</v>
      </c>
      <c r="N16" s="65"/>
      <c r="O16" s="123"/>
      <c r="P16" s="131"/>
      <c r="Q16" s="124"/>
      <c r="R16" s="65"/>
      <c r="S16" s="125">
        <v>0.57999999999999996</v>
      </c>
      <c r="T16" s="124">
        <f>E16/S16</f>
        <v>92.068965517241381</v>
      </c>
      <c r="U16" s="126"/>
      <c r="V16" s="127">
        <f>(S16-K16)/K16</f>
        <v>-0.17142857142857143</v>
      </c>
      <c r="W16" s="128"/>
      <c r="X16" s="125">
        <v>1.99</v>
      </c>
      <c r="Y16" s="210"/>
      <c r="Z16" s="124">
        <f t="shared" si="2"/>
        <v>26.834170854271356</v>
      </c>
      <c r="AA16" s="126"/>
      <c r="AB16" s="397">
        <f t="shared" si="3"/>
        <v>0.39160839160839167</v>
      </c>
      <c r="AC16" s="381">
        <v>0.20399999999999999</v>
      </c>
      <c r="AD16" s="126"/>
      <c r="AE16" s="125">
        <v>2.38</v>
      </c>
      <c r="AF16" s="229"/>
      <c r="AG16" s="124">
        <f t="shared" si="4"/>
        <v>22.436974789915968</v>
      </c>
      <c r="AH16" s="126"/>
      <c r="AJ16" s="126"/>
      <c r="AK16" s="127">
        <f t="shared" si="5"/>
        <v>2.431034482758621</v>
      </c>
      <c r="AL16" s="128"/>
      <c r="AM16" s="111">
        <f t="shared" si="6"/>
        <v>3.709458147213044E-2</v>
      </c>
      <c r="AN16" s="128"/>
      <c r="AO16" s="128">
        <f t="shared" si="7"/>
        <v>4.6853558125857689E-2</v>
      </c>
      <c r="AP16" s="128"/>
      <c r="AQ16" s="129">
        <f t="shared" si="8"/>
        <v>-4.6153846153846129E-2</v>
      </c>
      <c r="AR16" s="29"/>
      <c r="AS16" s="132">
        <f t="shared" si="9"/>
        <v>5.6179775280898875E-3</v>
      </c>
      <c r="AT16" s="133"/>
      <c r="AU16" s="54">
        <f>[1]!'DYN,DIVIDEND'</f>
        <v>0.3</v>
      </c>
      <c r="AV16" s="247">
        <v>36949</v>
      </c>
      <c r="AW16" s="201">
        <v>7.4999999999999997E-2</v>
      </c>
      <c r="AX16" s="43"/>
      <c r="AY16" s="121">
        <v>51.49</v>
      </c>
      <c r="AZ16" s="43"/>
      <c r="BA16" s="179">
        <v>51.01</v>
      </c>
      <c r="BB16" s="43">
        <v>7.4999999999999997E-2</v>
      </c>
      <c r="BC16" s="179">
        <v>56.0625</v>
      </c>
    </row>
    <row r="17" spans="1:55" x14ac:dyDescent="0.2">
      <c r="A17" s="120" t="s">
        <v>55</v>
      </c>
      <c r="B17" s="34"/>
      <c r="C17" s="130" t="s">
        <v>2</v>
      </c>
      <c r="D17" s="65"/>
      <c r="E17" s="121">
        <f>[1]!EPG</f>
        <v>66.7</v>
      </c>
      <c r="F17" s="65"/>
      <c r="G17" s="123">
        <v>2.85</v>
      </c>
      <c r="H17" s="131" t="s">
        <v>50</v>
      </c>
      <c r="I17" s="124">
        <f>E17/G17</f>
        <v>23.403508771929825</v>
      </c>
      <c r="J17" s="65"/>
      <c r="K17" s="123">
        <v>3.18</v>
      </c>
      <c r="L17" s="66"/>
      <c r="M17" s="124">
        <f t="shared" si="0"/>
        <v>20.974842767295598</v>
      </c>
      <c r="N17" s="65"/>
      <c r="O17" s="123">
        <v>2.85</v>
      </c>
      <c r="P17" s="131" t="s">
        <v>50</v>
      </c>
      <c r="Q17" s="124">
        <f>M17/O17</f>
        <v>7.3595939534370522</v>
      </c>
      <c r="R17" s="65"/>
      <c r="S17" s="125">
        <v>1.83</v>
      </c>
      <c r="T17" s="124">
        <f t="shared" si="1"/>
        <v>36.448087431693992</v>
      </c>
      <c r="U17" s="126"/>
      <c r="V17" s="127">
        <f>(S17-K17)/K17</f>
        <v>-0.42452830188679247</v>
      </c>
      <c r="W17" s="128"/>
      <c r="X17" s="125">
        <v>3.3</v>
      </c>
      <c r="Y17" s="210"/>
      <c r="Z17" s="124">
        <f t="shared" si="2"/>
        <v>20.212121212121215</v>
      </c>
      <c r="AA17" s="126"/>
      <c r="AB17" s="397">
        <f t="shared" si="3"/>
        <v>0.22676579925650553</v>
      </c>
      <c r="AC17" s="381">
        <v>0.18629999999999999</v>
      </c>
      <c r="AD17" s="126"/>
      <c r="AE17" s="125">
        <v>3.85</v>
      </c>
      <c r="AF17" s="210"/>
      <c r="AG17" s="124">
        <f t="shared" si="4"/>
        <v>17.324675324675326</v>
      </c>
      <c r="AH17" s="126"/>
      <c r="AJ17" s="126"/>
      <c r="AK17" s="127">
        <f t="shared" si="5"/>
        <v>0.80327868852458995</v>
      </c>
      <c r="AL17" s="128"/>
      <c r="AM17" s="111">
        <f t="shared" si="6"/>
        <v>-5.5166244222452721E-3</v>
      </c>
      <c r="AN17" s="128"/>
      <c r="AO17" s="128">
        <f t="shared" si="7"/>
        <v>2.1439509954058279E-2</v>
      </c>
      <c r="AP17" s="128"/>
      <c r="AQ17" s="129">
        <f t="shared" si="8"/>
        <v>-6.579406631762641E-2</v>
      </c>
      <c r="AR17" s="29"/>
      <c r="AS17" s="132">
        <f t="shared" si="9"/>
        <v>1.2743628185907045E-2</v>
      </c>
      <c r="AT17" s="133"/>
      <c r="AU17" s="54">
        <f>[1]!'EPG,DIVIDEND'</f>
        <v>0.85</v>
      </c>
      <c r="AV17" s="247">
        <v>36950</v>
      </c>
      <c r="AW17" s="201">
        <v>0.21249999999999999</v>
      </c>
      <c r="AX17" s="43"/>
      <c r="AY17" s="121">
        <v>67.069999999999993</v>
      </c>
      <c r="AZ17" s="43"/>
      <c r="BA17" s="179">
        <v>65.3</v>
      </c>
      <c r="BB17" s="43">
        <v>0.21249999999999999</v>
      </c>
      <c r="BC17" s="179">
        <v>71.625</v>
      </c>
    </row>
    <row r="18" spans="1:55" x14ac:dyDescent="0.2">
      <c r="A18" s="120" t="s">
        <v>64</v>
      </c>
      <c r="B18" s="34"/>
      <c r="C18" s="130" t="s">
        <v>65</v>
      </c>
      <c r="D18" s="65"/>
      <c r="E18" s="121">
        <f>[1]!KMI</f>
        <v>55.21</v>
      </c>
      <c r="F18" s="65"/>
      <c r="G18" s="123"/>
      <c r="H18" s="131"/>
      <c r="I18" s="124"/>
      <c r="J18" s="65"/>
      <c r="K18" s="123">
        <v>2.4300000000000002</v>
      </c>
      <c r="L18" s="66"/>
      <c r="M18" s="124">
        <f t="shared" si="0"/>
        <v>22.720164609053498</v>
      </c>
      <c r="N18" s="65"/>
      <c r="O18" s="123"/>
      <c r="P18" s="131"/>
      <c r="Q18" s="124"/>
      <c r="R18" s="65"/>
      <c r="S18" s="125">
        <v>1.17</v>
      </c>
      <c r="T18" s="124">
        <f t="shared" si="1"/>
        <v>47.188034188034194</v>
      </c>
      <c r="U18" s="126"/>
      <c r="V18" s="127"/>
      <c r="W18" s="128"/>
      <c r="X18" s="125">
        <v>1.8</v>
      </c>
      <c r="Y18" s="210"/>
      <c r="Z18" s="124">
        <f t="shared" si="2"/>
        <v>30.672222222222221</v>
      </c>
      <c r="AA18" s="126"/>
      <c r="AB18" s="397">
        <f t="shared" si="3"/>
        <v>0.40625</v>
      </c>
      <c r="AC18" s="381">
        <v>0.1061</v>
      </c>
      <c r="AD18" s="126"/>
      <c r="AE18" s="125">
        <v>2.23</v>
      </c>
      <c r="AF18" s="210"/>
      <c r="AG18" s="124">
        <f t="shared" si="4"/>
        <v>24.757847533632287</v>
      </c>
      <c r="AH18" s="126"/>
      <c r="AJ18" s="126"/>
      <c r="AK18" s="127">
        <f t="shared" si="5"/>
        <v>0.53846153846153855</v>
      </c>
      <c r="AL18" s="128"/>
      <c r="AM18" s="111">
        <f t="shared" si="6"/>
        <v>-4.0493569690649954E-2</v>
      </c>
      <c r="AN18" s="128"/>
      <c r="AO18" s="128">
        <f t="shared" si="7"/>
        <v>3.7781954887218007E-2</v>
      </c>
      <c r="AP18" s="128"/>
      <c r="AQ18" s="129">
        <f t="shared" si="8"/>
        <v>5.8874251497005953E-2</v>
      </c>
      <c r="AR18" s="29"/>
      <c r="AS18" s="132">
        <f t="shared" si="9"/>
        <v>3.622532149972831E-3</v>
      </c>
      <c r="AT18" s="133"/>
      <c r="AU18" s="54">
        <f>[1]!'KMI,DIVIDEND'</f>
        <v>0.2</v>
      </c>
      <c r="AV18" s="247">
        <v>36920</v>
      </c>
      <c r="AW18" s="201">
        <v>0.05</v>
      </c>
      <c r="AX18" s="43"/>
      <c r="AY18" s="121">
        <v>57.54</v>
      </c>
      <c r="AZ18" s="43"/>
      <c r="BA18" s="179">
        <v>53.2</v>
      </c>
      <c r="BB18" s="43">
        <v>0.05</v>
      </c>
      <c r="BC18" s="179">
        <v>52.1875</v>
      </c>
    </row>
    <row r="19" spans="1:55" x14ac:dyDescent="0.2">
      <c r="A19" s="120" t="s">
        <v>99</v>
      </c>
      <c r="B19" s="290"/>
      <c r="C19" s="112" t="s">
        <v>98</v>
      </c>
      <c r="D19" s="33"/>
      <c r="E19" s="121">
        <f>[1]!NRG</f>
        <v>33.49</v>
      </c>
      <c r="F19" s="33"/>
      <c r="G19" s="65"/>
      <c r="H19" s="65"/>
      <c r="I19" s="65"/>
      <c r="J19" s="65"/>
      <c r="K19" s="65"/>
      <c r="L19" s="65"/>
      <c r="M19" s="65"/>
      <c r="N19" s="33"/>
      <c r="O19" s="65"/>
      <c r="P19" s="65"/>
      <c r="Q19" s="65"/>
      <c r="R19" s="65"/>
      <c r="S19" s="65"/>
      <c r="T19" s="65"/>
      <c r="U19" s="66"/>
      <c r="V19" s="38"/>
      <c r="W19" s="12"/>
      <c r="X19" s="125">
        <v>1.31</v>
      </c>
      <c r="Y19" s="210"/>
      <c r="Z19" s="124">
        <f>E19/X19</f>
        <v>25.564885496183205</v>
      </c>
      <c r="AA19" s="126"/>
      <c r="AB19" s="397">
        <f t="shared" si="3"/>
        <v>0.19090909090909086</v>
      </c>
      <c r="AC19" s="381">
        <v>0.15529999999999999</v>
      </c>
      <c r="AD19" s="126"/>
      <c r="AE19" s="125">
        <v>1.64</v>
      </c>
      <c r="AF19" s="210"/>
      <c r="AG19" s="124">
        <f>E19/AE19</f>
        <v>20.420731707317074</v>
      </c>
      <c r="AH19" s="126"/>
      <c r="AJ19" s="126"/>
      <c r="AK19" s="127" t="e">
        <f>(X19-S19)/S19</f>
        <v>#DIV/0!</v>
      </c>
      <c r="AL19" s="128"/>
      <c r="AM19" s="111">
        <f t="shared" si="6"/>
        <v>3.8449612403100838E-2</v>
      </c>
      <c r="AN19" s="128"/>
      <c r="AO19" s="128">
        <f t="shared" si="7"/>
        <v>-7.9945054945054855E-2</v>
      </c>
      <c r="AP19" s="128"/>
      <c r="AQ19" s="129">
        <f t="shared" si="8"/>
        <v>0.20413483146067424</v>
      </c>
      <c r="AR19" s="29"/>
      <c r="AS19" s="132">
        <f t="shared" si="9"/>
        <v>0</v>
      </c>
      <c r="AT19" s="133"/>
      <c r="AU19" s="134">
        <v>0</v>
      </c>
      <c r="AV19" s="247" t="s">
        <v>68</v>
      </c>
      <c r="AW19" s="201">
        <v>0</v>
      </c>
      <c r="AX19" s="43"/>
      <c r="AY19" s="121">
        <v>32.25</v>
      </c>
      <c r="AZ19" s="43"/>
      <c r="BA19" s="121">
        <v>36.4</v>
      </c>
      <c r="BB19" s="43"/>
      <c r="BC19" s="121">
        <v>27.8125</v>
      </c>
    </row>
    <row r="20" spans="1:55" x14ac:dyDescent="0.2">
      <c r="A20" s="65" t="s">
        <v>57</v>
      </c>
      <c r="B20" s="65"/>
      <c r="C20" s="130" t="s">
        <v>58</v>
      </c>
      <c r="D20" s="65"/>
      <c r="E20" s="121">
        <f>[1]!PCG</f>
        <v>8.9</v>
      </c>
      <c r="F20" s="65"/>
      <c r="G20" s="123">
        <v>2.88</v>
      </c>
      <c r="H20" s="131" t="s">
        <v>50</v>
      </c>
      <c r="I20" s="124">
        <f>E20/G20</f>
        <v>3.0902777777777781</v>
      </c>
      <c r="J20" s="65"/>
      <c r="K20" s="123">
        <v>3.48</v>
      </c>
      <c r="L20" s="66"/>
      <c r="M20" s="124">
        <f>E20/K20</f>
        <v>2.5574712643678161</v>
      </c>
      <c r="N20" s="65"/>
      <c r="O20" s="123">
        <v>2.88</v>
      </c>
      <c r="P20" s="131" t="s">
        <v>50</v>
      </c>
      <c r="Q20" s="124">
        <f>M20/O20</f>
        <v>0.88801085568326954</v>
      </c>
      <c r="R20" s="65"/>
      <c r="S20" s="125">
        <v>1.79</v>
      </c>
      <c r="T20" s="124">
        <f>E20/S20</f>
        <v>4.972067039106145</v>
      </c>
      <c r="U20" s="126"/>
      <c r="V20" s="127">
        <f>(S20-K20)/K20</f>
        <v>-0.48563218390804597</v>
      </c>
      <c r="W20" s="128"/>
      <c r="X20" s="125">
        <v>2.14</v>
      </c>
      <c r="Y20" s="210"/>
      <c r="Z20" s="124">
        <f t="shared" si="2"/>
        <v>4.1588785046728969</v>
      </c>
      <c r="AA20" s="126"/>
      <c r="AB20" s="397">
        <f t="shared" si="3"/>
        <v>-0.15415019762845839</v>
      </c>
      <c r="AC20" s="381">
        <v>2.7900000000000001E-2</v>
      </c>
      <c r="AD20" s="126"/>
      <c r="AE20" s="125">
        <v>2.13</v>
      </c>
      <c r="AF20" s="210"/>
      <c r="AG20" s="124">
        <f t="shared" si="4"/>
        <v>4.178403755868545</v>
      </c>
      <c r="AH20" s="126"/>
      <c r="AJ20" s="126"/>
      <c r="AK20" s="127">
        <f t="shared" si="5"/>
        <v>0.19553072625698328</v>
      </c>
      <c r="AL20" s="128"/>
      <c r="AM20" s="111">
        <f t="shared" si="6"/>
        <v>2.8901734104046242E-2</v>
      </c>
      <c r="AN20" s="128"/>
      <c r="AO20" s="128">
        <f t="shared" si="7"/>
        <v>-0.28514056224899592</v>
      </c>
      <c r="AP20" s="128"/>
      <c r="AQ20" s="129">
        <f t="shared" si="8"/>
        <v>-0.55499999999999994</v>
      </c>
      <c r="AR20" s="29"/>
      <c r="AS20" s="132">
        <f t="shared" si="9"/>
        <v>0.1348314606741573</v>
      </c>
      <c r="AT20" s="133"/>
      <c r="AU20" s="54">
        <f>[1]!'PCG,DIVIDEND'</f>
        <v>1.2</v>
      </c>
      <c r="AV20" s="247" t="s">
        <v>126</v>
      </c>
      <c r="AW20" s="201">
        <v>0</v>
      </c>
      <c r="AX20" s="43"/>
      <c r="AY20" s="121">
        <v>8.65</v>
      </c>
      <c r="AZ20" s="43"/>
      <c r="BA20" s="179">
        <v>12.45</v>
      </c>
      <c r="BB20" s="43"/>
      <c r="BC20" s="179">
        <v>20</v>
      </c>
    </row>
    <row r="21" spans="1:55" x14ac:dyDescent="0.2">
      <c r="A21" s="289" t="s">
        <v>120</v>
      </c>
      <c r="B21" s="290"/>
      <c r="C21" s="90" t="s">
        <v>119</v>
      </c>
      <c r="D21" s="4"/>
      <c r="E21" s="121">
        <f>[1]!MIR</f>
        <v>33.049999999999997</v>
      </c>
      <c r="F21" s="4"/>
      <c r="G21" s="90"/>
      <c r="H21" s="86"/>
      <c r="I21" s="90"/>
      <c r="J21" s="4"/>
      <c r="K21" s="90"/>
      <c r="L21" s="86"/>
      <c r="M21" s="90"/>
      <c r="N21" s="4"/>
      <c r="O21" s="90"/>
      <c r="P21" s="86"/>
      <c r="Q21" s="90"/>
      <c r="R21" s="4"/>
      <c r="S21" s="90"/>
      <c r="T21" s="90"/>
      <c r="U21" s="88"/>
      <c r="V21" s="90"/>
      <c r="W21" s="88"/>
      <c r="X21" s="125">
        <v>1.58</v>
      </c>
      <c r="Y21" s="210"/>
      <c r="Z21" s="124">
        <f>E21/X21</f>
        <v>20.917721518987339</v>
      </c>
      <c r="AA21" s="126"/>
      <c r="AB21" s="397">
        <f t="shared" si="3"/>
        <v>0.6122448979591838</v>
      </c>
      <c r="AC21" s="381">
        <v>8.8800000000000004E-2</v>
      </c>
      <c r="AD21" s="126"/>
      <c r="AE21" s="125">
        <v>1.84</v>
      </c>
      <c r="AF21" s="210"/>
      <c r="AG21" s="124">
        <f>E21/AE21</f>
        <v>17.961956521739129</v>
      </c>
      <c r="AH21" s="126"/>
      <c r="AJ21" s="126"/>
      <c r="AK21" s="127" t="e">
        <f>(X21-S21)/S21</f>
        <v>#DIV/0!</v>
      </c>
      <c r="AL21" s="128"/>
      <c r="AM21" s="111">
        <f t="shared" si="6"/>
        <v>1.7549261083743852E-2</v>
      </c>
      <c r="AN21" s="128"/>
      <c r="AO21" s="128">
        <f t="shared" si="7"/>
        <v>-6.9014084507042328E-2</v>
      </c>
      <c r="AP21" s="128"/>
      <c r="AQ21" s="129">
        <f t="shared" si="8"/>
        <v>0.16732891832229571</v>
      </c>
      <c r="AR21" s="29"/>
      <c r="AS21" s="132">
        <f t="shared" si="9"/>
        <v>0</v>
      </c>
      <c r="AT21" s="133"/>
      <c r="AU21" s="134">
        <v>0</v>
      </c>
      <c r="AV21" s="247" t="s">
        <v>68</v>
      </c>
      <c r="AW21" s="201">
        <v>0</v>
      </c>
      <c r="AX21" s="43"/>
      <c r="AY21" s="121">
        <v>32.479999999999997</v>
      </c>
      <c r="AZ21" s="43"/>
      <c r="BA21" s="121">
        <v>35.5</v>
      </c>
      <c r="BB21" s="43"/>
      <c r="BC21" s="121">
        <v>28.3125</v>
      </c>
    </row>
    <row r="22" spans="1:55" x14ac:dyDescent="0.2">
      <c r="A22" s="120" t="s">
        <v>56</v>
      </c>
      <c r="B22" s="65"/>
      <c r="C22" s="130" t="s">
        <v>3</v>
      </c>
      <c r="D22" s="65"/>
      <c r="E22" s="121">
        <f>[1]!TRP</f>
        <v>11.74</v>
      </c>
      <c r="F22" s="65"/>
      <c r="G22" s="123"/>
      <c r="H22" s="131"/>
      <c r="I22" s="124"/>
      <c r="J22" s="65"/>
      <c r="K22" s="123"/>
      <c r="L22" s="66"/>
      <c r="M22" s="124"/>
      <c r="N22" s="65"/>
      <c r="O22" s="123"/>
      <c r="P22" s="131"/>
      <c r="Q22" s="124"/>
      <c r="R22" s="65"/>
      <c r="S22" s="125">
        <v>1.1499999999999999</v>
      </c>
      <c r="T22" s="124">
        <f>E22/S22</f>
        <v>10.208695652173914</v>
      </c>
      <c r="U22" s="126"/>
      <c r="V22" s="127"/>
      <c r="W22" s="128"/>
      <c r="X22" s="125">
        <v>0.86</v>
      </c>
      <c r="Y22" s="210"/>
      <c r="Z22" s="124">
        <f t="shared" si="2"/>
        <v>13.651162790697676</v>
      </c>
      <c r="AA22" s="126"/>
      <c r="AB22" s="397">
        <f t="shared" si="3"/>
        <v>3.6144578313253045E-2</v>
      </c>
      <c r="AC22" s="381">
        <v>8.7599999999999997E-2</v>
      </c>
      <c r="AD22" s="126"/>
      <c r="AE22" s="125">
        <v>0.88</v>
      </c>
      <c r="AF22" s="210"/>
      <c r="AG22" s="124">
        <f t="shared" si="4"/>
        <v>13.340909090909092</v>
      </c>
      <c r="AH22" s="126"/>
      <c r="AJ22" s="126"/>
      <c r="AK22" s="127">
        <f t="shared" si="5"/>
        <v>-0.25217391304347819</v>
      </c>
      <c r="AL22" s="128"/>
      <c r="AM22" s="111">
        <f t="shared" si="6"/>
        <v>2.532751091703065E-2</v>
      </c>
      <c r="AN22" s="128"/>
      <c r="AO22" s="128">
        <f t="shared" si="7"/>
        <v>-4.0065412919051531E-2</v>
      </c>
      <c r="AP22" s="128"/>
      <c r="AQ22" s="129">
        <f t="shared" si="8"/>
        <v>3.8260869565217348E-2</v>
      </c>
      <c r="AR22" s="29"/>
      <c r="AS22" s="132">
        <f t="shared" si="9"/>
        <v>6.8143100511073251E-2</v>
      </c>
      <c r="AT22" s="133"/>
      <c r="AU22" s="283">
        <f>AW22*4</f>
        <v>0.8</v>
      </c>
      <c r="AV22" s="247">
        <v>36978</v>
      </c>
      <c r="AW22" s="201">
        <v>0.2</v>
      </c>
      <c r="AX22" s="43"/>
      <c r="AY22" s="121">
        <v>11.45</v>
      </c>
      <c r="AZ22" s="43"/>
      <c r="BA22" s="179">
        <v>12.23</v>
      </c>
      <c r="BB22" s="43">
        <v>0.2</v>
      </c>
      <c r="BC22" s="179">
        <v>11.5</v>
      </c>
    </row>
    <row r="23" spans="1:55" x14ac:dyDescent="0.2">
      <c r="A23" s="120" t="s">
        <v>86</v>
      </c>
      <c r="B23" s="65"/>
      <c r="C23" s="130" t="s">
        <v>4</v>
      </c>
      <c r="D23" s="65"/>
      <c r="E23" s="121">
        <f>[1]!WMB</f>
        <v>41.15</v>
      </c>
      <c r="F23" s="65"/>
      <c r="G23" s="123">
        <v>2.08</v>
      </c>
      <c r="H23" s="131" t="s">
        <v>50</v>
      </c>
      <c r="I23" s="124">
        <f>E23/G23</f>
        <v>19.783653846153843</v>
      </c>
      <c r="J23" s="65"/>
      <c r="K23" s="123">
        <v>1.04</v>
      </c>
      <c r="L23" s="66"/>
      <c r="M23" s="124">
        <f>E23/K23</f>
        <v>39.567307692307686</v>
      </c>
      <c r="N23" s="65"/>
      <c r="O23" s="123">
        <v>2.08</v>
      </c>
      <c r="P23" s="131" t="s">
        <v>50</v>
      </c>
      <c r="Q23" s="124">
        <f>M23/O23</f>
        <v>19.022744082840234</v>
      </c>
      <c r="R23" s="65"/>
      <c r="S23" s="125">
        <v>0.82</v>
      </c>
      <c r="T23" s="124">
        <f>E23/S23</f>
        <v>50.182926829268297</v>
      </c>
      <c r="U23" s="126"/>
      <c r="V23" s="127">
        <f>(S23-K23)/K23</f>
        <v>-0.21153846153846162</v>
      </c>
      <c r="W23" s="128"/>
      <c r="X23" s="125">
        <v>1.5</v>
      </c>
      <c r="Y23" s="210"/>
      <c r="Z23" s="124">
        <f t="shared" si="2"/>
        <v>27.433333333333334</v>
      </c>
      <c r="AA23" s="126"/>
      <c r="AB23" s="397">
        <f t="shared" si="3"/>
        <v>-0.12790697674418602</v>
      </c>
      <c r="AC23" s="381">
        <v>0.14749999999999999</v>
      </c>
      <c r="AD23" s="126"/>
      <c r="AE23" s="125">
        <v>1.93</v>
      </c>
      <c r="AF23" s="210"/>
      <c r="AG23" s="124">
        <f t="shared" si="4"/>
        <v>21.321243523316063</v>
      </c>
      <c r="AH23" s="126"/>
      <c r="AJ23" s="126"/>
      <c r="AK23" s="127">
        <f t="shared" si="5"/>
        <v>0.8292682926829269</v>
      </c>
      <c r="AL23" s="128"/>
      <c r="AM23" s="111">
        <f t="shared" si="6"/>
        <v>-3.6299765807962625E-2</v>
      </c>
      <c r="AN23" s="128"/>
      <c r="AO23" s="128">
        <f t="shared" si="7"/>
        <v>-3.9673278879813367E-2</v>
      </c>
      <c r="AP23" s="128"/>
      <c r="AQ23" s="129">
        <f t="shared" si="8"/>
        <v>3.411580594679179E-2</v>
      </c>
      <c r="AR23" s="29"/>
      <c r="AS23" s="132">
        <f t="shared" si="9"/>
        <v>1.4580801944106925E-2</v>
      </c>
      <c r="AT23" s="133"/>
      <c r="AU23" s="54">
        <f>[1]!'WMB,DIVIDEND'</f>
        <v>0.6</v>
      </c>
      <c r="AV23" s="247">
        <v>36957</v>
      </c>
      <c r="AW23" s="201">
        <v>0.15</v>
      </c>
      <c r="AX23" s="43"/>
      <c r="AY23" s="121">
        <v>42.7</v>
      </c>
      <c r="AZ23" s="43"/>
      <c r="BA23" s="179">
        <v>42.85</v>
      </c>
      <c r="BB23" s="43">
        <v>0.15</v>
      </c>
      <c r="BC23" s="179">
        <v>39.9375</v>
      </c>
    </row>
    <row r="24" spans="1:55" ht="10.5" customHeight="1" x14ac:dyDescent="0.2">
      <c r="A24" s="33"/>
      <c r="B24" s="33"/>
      <c r="C24" s="34"/>
      <c r="D24" s="33"/>
      <c r="E24" s="121"/>
      <c r="F24" s="33"/>
      <c r="G24" s="35"/>
      <c r="H24" s="36"/>
      <c r="I24" s="31"/>
      <c r="J24" s="65"/>
      <c r="K24" s="35"/>
      <c r="L24" s="10"/>
      <c r="M24" s="31"/>
      <c r="N24" s="33"/>
      <c r="O24" s="35"/>
      <c r="P24" s="36"/>
      <c r="Q24" s="31"/>
      <c r="R24" s="65"/>
      <c r="S24" s="35"/>
      <c r="T24" s="31"/>
      <c r="U24" s="10"/>
      <c r="V24" s="127"/>
      <c r="W24" s="128"/>
      <c r="X24" s="35"/>
      <c r="Y24" s="10"/>
      <c r="Z24" s="31"/>
      <c r="AA24" s="10"/>
      <c r="AB24" s="399"/>
      <c r="AC24" s="191" t="s">
        <v>116</v>
      </c>
      <c r="AD24" s="10"/>
      <c r="AE24" s="35"/>
      <c r="AF24" s="10"/>
      <c r="AG24" s="191"/>
      <c r="AH24" s="275"/>
      <c r="AJ24" s="10"/>
      <c r="AK24" s="127"/>
      <c r="AL24" s="128"/>
      <c r="AM24" s="111"/>
      <c r="AN24" s="128"/>
      <c r="AO24" s="128"/>
      <c r="AP24" s="128"/>
      <c r="AQ24" s="129"/>
      <c r="AR24" s="29"/>
      <c r="AS24" s="127"/>
      <c r="AT24" s="111"/>
      <c r="AU24" s="134"/>
      <c r="AV24" s="135"/>
      <c r="AW24" s="202"/>
      <c r="AX24" s="30"/>
      <c r="AY24" s="56"/>
      <c r="AZ24" s="268"/>
      <c r="BA24" s="23"/>
      <c r="BB24" s="225"/>
      <c r="BC24" s="23"/>
    </row>
    <row r="25" spans="1:55" x14ac:dyDescent="0.2">
      <c r="A25" s="120" t="s">
        <v>93</v>
      </c>
      <c r="B25" s="65"/>
      <c r="C25" s="112"/>
      <c r="D25" s="65"/>
      <c r="E25" s="121"/>
      <c r="F25" s="65"/>
      <c r="G25" s="136"/>
      <c r="H25" s="137"/>
      <c r="I25" s="138">
        <f>AVERAGE(I13:I23)</f>
        <v>15.439548552074569</v>
      </c>
      <c r="J25" s="66"/>
      <c r="K25" s="136"/>
      <c r="L25" s="137"/>
      <c r="M25" s="138">
        <f>AVERAGE(M13:M23)</f>
        <v>25.893315883483115</v>
      </c>
      <c r="N25" s="65"/>
      <c r="O25" s="136"/>
      <c r="P25" s="137"/>
      <c r="Q25" s="138">
        <f>AVERAGE(Q13:Q23)</f>
        <v>7.1015737809874482</v>
      </c>
      <c r="R25" s="66"/>
      <c r="S25" s="136"/>
      <c r="T25" s="138">
        <f>AVERAGE(T13:T23)</f>
        <v>32.426847376752946</v>
      </c>
      <c r="U25" s="126"/>
      <c r="V25" s="139">
        <f>AVERAGE(V13:V23)</f>
        <v>-0.2276787694237212</v>
      </c>
      <c r="W25" s="128"/>
      <c r="X25" s="194"/>
      <c r="Y25" s="216"/>
      <c r="Z25" s="138">
        <f>AVERAGE(Z13:Z23)</f>
        <v>20.936561954805935</v>
      </c>
      <c r="AA25" s="126"/>
      <c r="AB25" s="400"/>
      <c r="AC25" s="138"/>
      <c r="AD25" s="126"/>
      <c r="AE25" s="182"/>
      <c r="AF25" s="211"/>
      <c r="AG25" s="138">
        <f>AVERAGE(AG13:AG23)</f>
        <v>17.52891864616036</v>
      </c>
      <c r="AH25" s="126"/>
      <c r="AJ25" s="126"/>
      <c r="AK25" s="139" t="e">
        <f>AVERAGE(AK13:AK23)</f>
        <v>#DIV/0!</v>
      </c>
      <c r="AL25" s="128"/>
      <c r="AM25" s="140">
        <f>AVERAGE(AM13:AM23)</f>
        <v>1.0631979607494573E-2</v>
      </c>
      <c r="AN25" s="141"/>
      <c r="AO25" s="264">
        <f>AVERAGE(AO13:AO23)</f>
        <v>-3.0868268789318972E-2</v>
      </c>
      <c r="AP25" s="141"/>
      <c r="AQ25" s="353">
        <f>AVERAGE(AQ13:AQ23)</f>
        <v>-1.9353147188337319E-2</v>
      </c>
      <c r="AR25" s="29"/>
      <c r="AS25" s="139">
        <f>AVERAGE(AS13:AS23)</f>
        <v>2.7554812653829773E-2</v>
      </c>
      <c r="AT25" s="140"/>
      <c r="AU25" s="142"/>
      <c r="AV25" s="143"/>
      <c r="AW25" s="203"/>
      <c r="AX25" s="37"/>
      <c r="AY25" s="219"/>
      <c r="AZ25" s="219"/>
      <c r="BA25" s="52"/>
      <c r="BB25" s="219"/>
      <c r="BC25" s="52"/>
    </row>
    <row r="26" spans="1:55" x14ac:dyDescent="0.2">
      <c r="A26" s="144"/>
      <c r="B26" s="33"/>
      <c r="C26" s="34"/>
      <c r="D26" s="33"/>
      <c r="E26" s="33"/>
      <c r="F26" s="33"/>
      <c r="G26" s="65"/>
      <c r="H26" s="65"/>
      <c r="I26" s="65"/>
      <c r="J26" s="65"/>
      <c r="K26" s="65"/>
      <c r="L26" s="65"/>
      <c r="M26" s="65"/>
      <c r="N26" s="33"/>
      <c r="O26" s="65"/>
      <c r="P26" s="65"/>
      <c r="Q26" s="65"/>
      <c r="R26" s="65"/>
      <c r="S26" s="65"/>
      <c r="T26" s="65"/>
      <c r="U26" s="66"/>
      <c r="V26" s="38"/>
      <c r="W26" s="12"/>
      <c r="X26" s="65"/>
      <c r="Y26" s="65"/>
      <c r="Z26" s="65"/>
      <c r="AA26" s="65"/>
      <c r="AB26" s="65"/>
      <c r="AC26" s="65"/>
      <c r="AD26" s="65"/>
      <c r="AE26" s="65"/>
      <c r="AF26" s="65"/>
      <c r="AG26" s="189"/>
      <c r="AH26" s="189"/>
      <c r="AI26" s="189"/>
      <c r="AJ26" s="65"/>
      <c r="AK26" s="38"/>
      <c r="AL26" s="12"/>
      <c r="AM26" s="12"/>
      <c r="AN26" s="12"/>
      <c r="AO26" s="12"/>
      <c r="AP26" s="12"/>
      <c r="AQ26" s="38"/>
      <c r="AR26" s="29"/>
      <c r="AS26" s="29"/>
      <c r="AT26" s="29"/>
      <c r="AU26" s="145"/>
      <c r="AV26" s="146"/>
      <c r="AW26" s="204"/>
      <c r="AX26" s="11"/>
    </row>
    <row r="27" spans="1:55" ht="15.75" customHeight="1" x14ac:dyDescent="0.2">
      <c r="A27" s="144"/>
      <c r="B27" s="33"/>
      <c r="C27" s="34"/>
      <c r="D27" s="33"/>
      <c r="E27" s="33"/>
      <c r="F27" s="33"/>
      <c r="G27" s="65"/>
      <c r="H27" s="65"/>
      <c r="I27" s="65"/>
      <c r="J27" s="65"/>
      <c r="K27" s="65"/>
      <c r="L27" s="65"/>
      <c r="M27" s="65"/>
      <c r="N27" s="33"/>
      <c r="O27" s="65"/>
      <c r="P27" s="65"/>
      <c r="Q27" s="65"/>
      <c r="R27" s="65"/>
      <c r="S27" s="65"/>
      <c r="T27" s="65"/>
      <c r="U27" s="66"/>
      <c r="V27" s="38"/>
      <c r="W27" s="12"/>
      <c r="Y27" s="65"/>
      <c r="Z27" s="65"/>
      <c r="AA27" s="65"/>
      <c r="AB27" s="65"/>
      <c r="AC27" s="65"/>
      <c r="AD27" s="65"/>
      <c r="AF27" s="65"/>
      <c r="AG27" s="189"/>
      <c r="AH27" s="189"/>
      <c r="AI27" s="189"/>
      <c r="AJ27" s="65"/>
      <c r="AK27" s="38"/>
      <c r="AL27" s="12"/>
      <c r="AM27" s="12"/>
      <c r="AN27" s="12"/>
      <c r="AO27" s="12"/>
      <c r="AP27" s="12"/>
      <c r="AQ27" s="38"/>
      <c r="AR27" s="29"/>
      <c r="AS27" s="29"/>
      <c r="AT27" s="29"/>
      <c r="AU27" s="145"/>
      <c r="AV27" s="146"/>
      <c r="AW27" s="204"/>
      <c r="AX27" s="11"/>
    </row>
    <row r="28" spans="1:55" ht="9.9499999999999993" customHeight="1" x14ac:dyDescent="0.2">
      <c r="A28" s="292"/>
      <c r="B28" s="9"/>
      <c r="C28" s="18"/>
      <c r="D28" s="9"/>
      <c r="E28" s="9"/>
      <c r="F28" s="9"/>
      <c r="G28" s="293"/>
      <c r="H28" s="293"/>
      <c r="I28" s="293"/>
      <c r="J28" s="293"/>
      <c r="K28" s="293"/>
      <c r="L28" s="293"/>
      <c r="M28" s="293"/>
      <c r="N28" s="9"/>
      <c r="O28" s="293"/>
      <c r="P28" s="293"/>
      <c r="Q28" s="293"/>
      <c r="R28" s="9"/>
      <c r="S28" s="9"/>
      <c r="T28" s="9"/>
      <c r="U28" s="9"/>
      <c r="V28" s="9"/>
      <c r="W28" s="9"/>
      <c r="X28" s="408" t="s">
        <v>90</v>
      </c>
      <c r="Y28" s="324"/>
      <c r="Z28" s="324"/>
      <c r="AA28" s="324"/>
      <c r="AB28" s="324"/>
      <c r="AC28" s="324"/>
      <c r="AD28" s="324"/>
      <c r="AE28" s="409" t="s">
        <v>90</v>
      </c>
      <c r="AF28" s="65"/>
      <c r="AG28" s="189"/>
      <c r="AH28" s="189"/>
      <c r="AI28" s="189"/>
      <c r="AJ28" s="65"/>
      <c r="AK28" s="38"/>
      <c r="AL28" s="12"/>
      <c r="AM28" s="12"/>
      <c r="AN28" s="12"/>
      <c r="AO28" s="12"/>
      <c r="AP28" s="12"/>
      <c r="AQ28" s="38"/>
      <c r="AR28" s="29"/>
      <c r="AS28" s="29"/>
      <c r="AT28" s="29"/>
      <c r="AU28" s="145"/>
      <c r="AV28" s="146"/>
      <c r="AW28" s="204"/>
      <c r="AX28" s="11"/>
    </row>
    <row r="29" spans="1:55" ht="9.9499999999999993" customHeight="1" x14ac:dyDescent="0.2">
      <c r="A29" s="298" t="s">
        <v>5</v>
      </c>
      <c r="B29" s="9"/>
      <c r="C29" s="18"/>
      <c r="D29" s="9"/>
      <c r="E29" s="9"/>
      <c r="F29" s="9"/>
      <c r="G29" s="293"/>
      <c r="H29" s="293"/>
      <c r="I29" s="293"/>
      <c r="J29" s="293"/>
      <c r="K29" s="293"/>
      <c r="L29" s="293"/>
      <c r="M29" s="293"/>
      <c r="N29" s="9"/>
      <c r="O29" s="293"/>
      <c r="P29" s="293"/>
      <c r="Q29" s="293"/>
      <c r="R29" s="293"/>
      <c r="S29" s="293"/>
      <c r="T29" s="293"/>
      <c r="U29" s="299"/>
      <c r="V29" s="294"/>
      <c r="W29" s="295"/>
      <c r="X29" s="407" t="s">
        <v>89</v>
      </c>
      <c r="Y29" s="300"/>
      <c r="Z29" s="301"/>
      <c r="AA29" s="301"/>
      <c r="AB29" s="301"/>
      <c r="AC29" s="301"/>
      <c r="AD29" s="301"/>
      <c r="AE29" s="407" t="s">
        <v>123</v>
      </c>
      <c r="AF29" s="65"/>
      <c r="AG29" s="189"/>
      <c r="AH29" s="189"/>
      <c r="AI29" s="189"/>
      <c r="AJ29" s="65"/>
      <c r="AK29" s="38"/>
      <c r="AL29" s="12"/>
      <c r="AM29" s="12"/>
      <c r="AN29" s="12"/>
      <c r="AO29" s="12"/>
      <c r="AP29" s="12"/>
      <c r="AQ29" s="38"/>
      <c r="AR29" s="29"/>
      <c r="AS29" s="29"/>
      <c r="AT29" s="29"/>
      <c r="AU29" s="145"/>
      <c r="AV29" s="146"/>
      <c r="AW29" s="204"/>
      <c r="AX29" s="11"/>
    </row>
    <row r="30" spans="1:55" x14ac:dyDescent="0.2">
      <c r="A30" s="144" t="s">
        <v>80</v>
      </c>
      <c r="B30" s="33"/>
      <c r="C30" s="34"/>
      <c r="D30" s="33"/>
      <c r="E30" s="33"/>
      <c r="F30" s="33"/>
      <c r="G30" s="65"/>
      <c r="H30" s="65"/>
      <c r="I30" s="65"/>
      <c r="J30" s="65"/>
      <c r="K30" s="65"/>
      <c r="L30" s="65"/>
      <c r="M30" s="65"/>
      <c r="N30" s="33"/>
      <c r="O30" s="65"/>
      <c r="P30" s="65"/>
      <c r="Q30" s="65"/>
      <c r="R30" s="65"/>
      <c r="S30" s="65"/>
      <c r="T30" s="65"/>
      <c r="U30" s="66"/>
      <c r="V30" s="38"/>
      <c r="W30" s="12"/>
      <c r="X30" s="270">
        <f>AVERAGE(X69:X86)</f>
        <v>1.790588235294118</v>
      </c>
      <c r="Y30" s="65"/>
      <c r="Z30" s="65"/>
      <c r="AA30" s="65"/>
      <c r="AB30" s="65"/>
      <c r="AC30" s="65"/>
      <c r="AD30" s="65"/>
      <c r="AE30" s="270">
        <f>AVERAGE(AE69:AE86)</f>
        <v>2.108571428571429</v>
      </c>
      <c r="AF30" s="65"/>
      <c r="AG30" s="189"/>
      <c r="AH30" s="189"/>
      <c r="AI30" s="189"/>
      <c r="AJ30" s="65"/>
      <c r="AK30" s="38"/>
      <c r="AL30" s="12"/>
      <c r="AM30" s="12"/>
      <c r="AN30" s="12"/>
      <c r="AO30" s="12"/>
      <c r="AP30" s="12"/>
      <c r="AQ30" s="38"/>
      <c r="AR30" s="29"/>
      <c r="AS30" s="29"/>
      <c r="AT30" s="29"/>
      <c r="AU30" s="145"/>
      <c r="AV30" s="146"/>
      <c r="AW30" s="204"/>
      <c r="AX30" s="11"/>
    </row>
    <row r="31" spans="1:55" x14ac:dyDescent="0.2">
      <c r="A31" s="144" t="s">
        <v>81</v>
      </c>
      <c r="B31" s="33"/>
      <c r="C31" s="34"/>
      <c r="D31" s="33"/>
      <c r="E31" s="33"/>
      <c r="F31" s="33"/>
      <c r="G31" s="65"/>
      <c r="H31" s="65"/>
      <c r="I31" s="65"/>
      <c r="J31" s="65"/>
      <c r="K31" s="65"/>
      <c r="L31" s="65"/>
      <c r="M31" s="65"/>
      <c r="N31" s="33"/>
      <c r="O31" s="65"/>
      <c r="P31" s="65"/>
      <c r="Q31" s="65"/>
      <c r="R31" s="65"/>
      <c r="S31" s="65"/>
      <c r="T31" s="65"/>
      <c r="U31" s="66"/>
      <c r="V31" s="38"/>
      <c r="W31" s="12"/>
      <c r="X31" s="270">
        <f>MAX(X69:X86)</f>
        <v>1.82</v>
      </c>
      <c r="Y31" s="65"/>
      <c r="Z31" s="65"/>
      <c r="AA31" s="65"/>
      <c r="AB31" s="65"/>
      <c r="AC31" s="65"/>
      <c r="AD31" s="65"/>
      <c r="AE31" s="270">
        <f>MAX(AE69:AE86)</f>
        <v>2.2000000000000002</v>
      </c>
      <c r="AF31" s="65"/>
      <c r="AG31" s="189"/>
      <c r="AH31" s="189"/>
      <c r="AI31" s="189"/>
      <c r="AJ31" s="65"/>
      <c r="AK31" s="38"/>
      <c r="AL31" s="12"/>
      <c r="AM31" s="12"/>
      <c r="AN31" s="12"/>
      <c r="AO31" s="12"/>
      <c r="AP31" s="12"/>
      <c r="AQ31" s="38"/>
      <c r="AR31" s="29"/>
      <c r="AS31" s="29"/>
      <c r="AT31" s="29"/>
      <c r="AU31" s="145"/>
      <c r="AV31" s="146"/>
      <c r="AW31" s="204"/>
      <c r="AX31" s="11"/>
    </row>
    <row r="32" spans="1:55" x14ac:dyDescent="0.2">
      <c r="A32" s="144" t="s">
        <v>121</v>
      </c>
      <c r="B32" s="33"/>
      <c r="C32" s="34"/>
      <c r="D32" s="33"/>
      <c r="E32" s="33"/>
      <c r="F32" s="33"/>
      <c r="G32" s="65"/>
      <c r="H32" s="65"/>
      <c r="I32" s="65"/>
      <c r="J32" s="65"/>
      <c r="K32" s="65"/>
      <c r="L32" s="65"/>
      <c r="M32" s="65"/>
      <c r="N32" s="33"/>
      <c r="O32" s="65"/>
      <c r="P32" s="65"/>
      <c r="Q32" s="65"/>
      <c r="R32" s="65"/>
      <c r="S32" s="65"/>
      <c r="T32" s="65"/>
      <c r="U32" s="66"/>
      <c r="V32" s="38"/>
      <c r="W32" s="12"/>
      <c r="X32" s="271">
        <f>MIN(X69:X86)</f>
        <v>1.75</v>
      </c>
      <c r="Y32" s="65"/>
      <c r="Z32" s="65"/>
      <c r="AA32" s="65"/>
      <c r="AB32" s="65"/>
      <c r="AC32" s="65"/>
      <c r="AD32" s="65"/>
      <c r="AE32" s="271">
        <f>MIN(AE69:AE86)</f>
        <v>2</v>
      </c>
      <c r="AF32" s="65"/>
      <c r="AG32" s="189"/>
      <c r="AH32" s="189"/>
      <c r="AI32" s="189"/>
      <c r="AJ32" s="65"/>
      <c r="AK32" s="38"/>
      <c r="AL32" s="12"/>
      <c r="AM32" s="12"/>
      <c r="AN32" s="12"/>
      <c r="AO32" s="12"/>
      <c r="AP32" s="12"/>
      <c r="AQ32" s="38"/>
      <c r="AR32" s="29"/>
      <c r="AS32" s="29"/>
      <c r="AT32" s="29"/>
      <c r="AU32" s="145"/>
      <c r="AV32" s="146"/>
      <c r="AW32" s="204"/>
      <c r="AX32" s="11"/>
    </row>
    <row r="33" spans="1:55" x14ac:dyDescent="0.2">
      <c r="A33" s="144"/>
      <c r="B33" s="33"/>
      <c r="C33" s="34"/>
      <c r="D33" s="33"/>
      <c r="E33" s="33"/>
      <c r="F33" s="33"/>
      <c r="G33" s="65"/>
      <c r="H33" s="65"/>
      <c r="I33" s="65"/>
      <c r="J33" s="65"/>
      <c r="K33" s="65"/>
      <c r="L33" s="65"/>
      <c r="M33" s="65"/>
      <c r="N33" s="33"/>
      <c r="O33" s="65"/>
      <c r="P33" s="65"/>
      <c r="Q33" s="65"/>
      <c r="R33" s="65"/>
      <c r="S33" s="65"/>
      <c r="T33" s="65"/>
      <c r="U33" s="66"/>
      <c r="V33" s="38"/>
      <c r="W33" s="12"/>
      <c r="X33" s="65"/>
      <c r="Y33" s="65"/>
      <c r="Z33" s="65"/>
      <c r="AA33" s="65"/>
      <c r="AB33" s="65"/>
      <c r="AC33" s="65"/>
      <c r="AD33" s="65"/>
      <c r="AE33" s="65"/>
      <c r="AF33" s="65"/>
      <c r="AG33" s="189"/>
      <c r="AH33" s="189"/>
      <c r="AI33" s="189"/>
      <c r="AJ33" s="65"/>
      <c r="AK33" s="38"/>
      <c r="AL33" s="12"/>
      <c r="AM33" s="12"/>
      <c r="AN33" s="12"/>
      <c r="AO33" s="12"/>
      <c r="AP33" s="12"/>
      <c r="AQ33" s="38"/>
      <c r="AR33" s="29"/>
      <c r="AS33" s="29"/>
      <c r="AT33" s="29"/>
      <c r="AU33" s="145"/>
      <c r="AV33" s="146"/>
      <c r="AW33" s="204"/>
      <c r="AX33" s="11"/>
    </row>
    <row r="34" spans="1:55" s="297" customFormat="1" ht="9.9499999999999993" customHeight="1" x14ac:dyDescent="0.2">
      <c r="B34" s="9"/>
      <c r="C34" s="18"/>
      <c r="D34" s="9"/>
      <c r="E34" s="9"/>
      <c r="F34" s="9"/>
      <c r="G34" s="293"/>
      <c r="H34" s="293"/>
      <c r="I34" s="293"/>
      <c r="J34" s="293"/>
      <c r="K34" s="293"/>
      <c r="L34" s="293"/>
      <c r="M34" s="293"/>
      <c r="N34" s="9"/>
      <c r="O34" s="293"/>
      <c r="P34" s="293"/>
      <c r="Q34" s="293"/>
      <c r="R34" s="293"/>
      <c r="S34" s="293"/>
      <c r="T34" s="293"/>
      <c r="U34" s="299"/>
      <c r="V34" s="294"/>
      <c r="W34" s="295"/>
      <c r="X34" s="425">
        <v>2000</v>
      </c>
      <c r="Y34" s="426"/>
      <c r="Z34" s="427"/>
      <c r="AA34" s="293"/>
      <c r="AB34" s="293"/>
      <c r="AC34" s="293"/>
      <c r="AD34" s="293"/>
      <c r="AE34" s="425">
        <v>2001</v>
      </c>
      <c r="AF34" s="426"/>
      <c r="AG34" s="427"/>
      <c r="AH34" s="324"/>
      <c r="AI34" s="324"/>
      <c r="AJ34" s="293"/>
      <c r="AK34" s="294"/>
      <c r="AL34" s="295"/>
      <c r="AM34" s="311" t="s">
        <v>20</v>
      </c>
      <c r="AN34" s="312"/>
      <c r="AO34" s="312"/>
      <c r="AP34" s="312"/>
      <c r="AQ34" s="313"/>
      <c r="AS34" s="314"/>
      <c r="AT34" s="9"/>
      <c r="AU34" s="145"/>
      <c r="AV34" s="146"/>
      <c r="AW34" s="204"/>
      <c r="AX34" s="296"/>
    </row>
    <row r="35" spans="1:55" s="297" customFormat="1" ht="9.9499999999999993" customHeight="1" x14ac:dyDescent="0.2">
      <c r="B35" s="9"/>
      <c r="C35" s="18"/>
      <c r="D35" s="9"/>
      <c r="E35" s="9"/>
      <c r="F35" s="9"/>
      <c r="G35" s="293"/>
      <c r="H35" s="293"/>
      <c r="I35" s="293"/>
      <c r="J35" s="293"/>
      <c r="K35" s="293"/>
      <c r="L35" s="293"/>
      <c r="M35" s="293"/>
      <c r="N35" s="9"/>
      <c r="O35" s="293"/>
      <c r="P35" s="293"/>
      <c r="Q35" s="293"/>
      <c r="R35" s="293"/>
      <c r="S35" s="293"/>
      <c r="T35" s="293"/>
      <c r="U35" s="299"/>
      <c r="V35" s="294"/>
      <c r="W35" s="295"/>
      <c r="X35" s="321" t="s">
        <v>26</v>
      </c>
      <c r="Y35" s="402"/>
      <c r="Z35" s="403"/>
      <c r="AA35" s="293"/>
      <c r="AB35" s="293"/>
      <c r="AC35" s="293"/>
      <c r="AD35" s="293"/>
      <c r="AE35" s="321" t="s">
        <v>26</v>
      </c>
      <c r="AF35" s="402"/>
      <c r="AG35" s="403"/>
      <c r="AH35" s="299"/>
      <c r="AI35" s="324" t="s">
        <v>117</v>
      </c>
      <c r="AJ35" s="293"/>
      <c r="AK35" s="294"/>
      <c r="AL35" s="295"/>
      <c r="AM35" s="328" t="s">
        <v>28</v>
      </c>
      <c r="AN35" s="324"/>
      <c r="AO35" s="324" t="s">
        <v>29</v>
      </c>
      <c r="AP35" s="324"/>
      <c r="AQ35" s="329" t="s">
        <v>30</v>
      </c>
      <c r="AS35" s="330" t="s">
        <v>31</v>
      </c>
      <c r="AT35" s="9"/>
      <c r="AU35" s="145"/>
      <c r="AV35" s="146"/>
      <c r="AW35" s="204"/>
      <c r="AX35" s="296"/>
      <c r="AY35" s="350">
        <f>Last_Week</f>
        <v>36994</v>
      </c>
      <c r="BA35" s="350">
        <f>+BA5</f>
        <v>36980</v>
      </c>
      <c r="BC35" s="350" t="str">
        <f>+BC6</f>
        <v xml:space="preserve">12/29/00 Closing </v>
      </c>
    </row>
    <row r="36" spans="1:55" s="297" customFormat="1" ht="9.9499999999999993" customHeight="1" thickBot="1" x14ac:dyDescent="0.25">
      <c r="A36" s="298" t="s">
        <v>103</v>
      </c>
      <c r="B36" s="9"/>
      <c r="C36" s="18"/>
      <c r="D36" s="9"/>
      <c r="E36" s="9"/>
      <c r="F36" s="9"/>
      <c r="G36" s="293"/>
      <c r="H36" s="293"/>
      <c r="I36" s="293"/>
      <c r="J36" s="293"/>
      <c r="K36" s="293"/>
      <c r="L36" s="293"/>
      <c r="M36" s="293"/>
      <c r="N36" s="9"/>
      <c r="O36" s="293"/>
      <c r="P36" s="293"/>
      <c r="Q36" s="293"/>
      <c r="R36" s="293"/>
      <c r="S36" s="293"/>
      <c r="T36" s="293"/>
      <c r="U36" s="299"/>
      <c r="V36" s="294"/>
      <c r="W36" s="295"/>
      <c r="X36" s="404" t="s">
        <v>82</v>
      </c>
      <c r="Y36" s="405"/>
      <c r="Z36" s="406" t="s">
        <v>83</v>
      </c>
      <c r="AA36" s="299"/>
      <c r="AB36" s="299"/>
      <c r="AC36" s="299"/>
      <c r="AD36" s="299"/>
      <c r="AE36" s="404" t="s">
        <v>82</v>
      </c>
      <c r="AF36" s="405"/>
      <c r="AG36" s="406" t="s">
        <v>83</v>
      </c>
      <c r="AH36" s="324"/>
      <c r="AI36" s="393" t="s">
        <v>118</v>
      </c>
      <c r="AJ36" s="299"/>
      <c r="AK36" s="351"/>
      <c r="AL36" s="351"/>
      <c r="AM36" s="345" t="s">
        <v>39</v>
      </c>
      <c r="AN36" s="346"/>
      <c r="AO36" s="346" t="s">
        <v>40</v>
      </c>
      <c r="AP36" s="346"/>
      <c r="AQ36" s="347" t="s">
        <v>40</v>
      </c>
      <c r="AR36" s="352"/>
      <c r="AS36" s="348" t="s">
        <v>41</v>
      </c>
      <c r="AT36" s="9"/>
      <c r="AU36" s="145"/>
      <c r="AV36" s="146"/>
      <c r="AW36" s="204"/>
      <c r="AX36" s="296"/>
      <c r="AY36" s="220" t="s">
        <v>127</v>
      </c>
      <c r="BA36" s="220" t="s">
        <v>47</v>
      </c>
    </row>
    <row r="37" spans="1:55" x14ac:dyDescent="0.2">
      <c r="A37" s="176" t="str">
        <f>'[2]7-07-00'!$A$17</f>
        <v>Akamai*</v>
      </c>
      <c r="B37" s="65"/>
      <c r="C37" s="112" t="str">
        <f>'[2]7-07-00'!$B$17</f>
        <v>AKAM</v>
      </c>
      <c r="D37" s="65"/>
      <c r="E37" s="121">
        <f>[1]!AKAM.O</f>
        <v>10.210000000000001</v>
      </c>
      <c r="F37" s="33"/>
      <c r="G37" s="65"/>
      <c r="H37" s="65"/>
      <c r="I37" s="65"/>
      <c r="J37" s="65"/>
      <c r="K37" s="65"/>
      <c r="L37" s="65"/>
      <c r="M37" s="65"/>
      <c r="N37" s="33"/>
      <c r="O37" s="65"/>
      <c r="P37" s="65"/>
      <c r="Q37" s="65"/>
      <c r="R37" s="65"/>
      <c r="S37" s="65"/>
      <c r="T37" s="65"/>
      <c r="U37" s="66"/>
      <c r="V37" s="38"/>
      <c r="W37" s="12"/>
      <c r="X37" s="354">
        <v>82.3</v>
      </c>
      <c r="Y37" s="66"/>
      <c r="Z37" s="255">
        <f>+(E37*AI37)/X37</f>
        <v>13.398298906439855</v>
      </c>
      <c r="AA37" s="65"/>
      <c r="AB37" s="65"/>
      <c r="AC37" s="65"/>
      <c r="AD37" s="65"/>
      <c r="AE37" s="354">
        <v>189.4</v>
      </c>
      <c r="AF37" s="66"/>
      <c r="AG37" s="255">
        <f>+(E37*AI37)/AE37</f>
        <v>5.8219640971488911</v>
      </c>
      <c r="AH37" s="375"/>
      <c r="AI37" s="394">
        <v>108</v>
      </c>
      <c r="AJ37" s="65"/>
      <c r="AK37" s="38"/>
      <c r="AL37" s="12"/>
      <c r="AM37" s="111">
        <f t="shared" ref="AM37:AM43" si="10">((+AX37+E37-AY37)/AY37)</f>
        <v>0.12693156732891836</v>
      </c>
      <c r="AN37" s="252"/>
      <c r="AO37" s="128">
        <f t="shared" ref="AO37:AO43" si="11">((+AZ37+E37-BA37)/BA37)</f>
        <v>0.1924087591240877</v>
      </c>
      <c r="AP37" s="12"/>
      <c r="AQ37" s="129">
        <f t="shared" ref="AQ37:AQ43" si="12">((+BB37+E37-BC37)/BC37)</f>
        <v>-0.51525222551928784</v>
      </c>
      <c r="AR37" s="29"/>
      <c r="AS37" s="132">
        <f t="shared" ref="AS37:AS43" si="13">AU37/E37</f>
        <v>0</v>
      </c>
      <c r="AT37" s="29"/>
      <c r="AU37" s="145">
        <v>0</v>
      </c>
      <c r="AV37" s="146"/>
      <c r="AW37" s="204"/>
      <c r="AX37" s="11"/>
      <c r="AY37" s="179">
        <v>9.06</v>
      </c>
      <c r="BA37" s="179">
        <v>8.5625</v>
      </c>
      <c r="BC37" s="179">
        <v>21.0625</v>
      </c>
    </row>
    <row r="38" spans="1:55" x14ac:dyDescent="0.2">
      <c r="A38" s="176" t="str">
        <f>'[2]7-07-00'!$A$19</f>
        <v>Digital Island*</v>
      </c>
      <c r="B38" s="65"/>
      <c r="C38" s="112" t="str">
        <f>'[2]7-07-00'!$B$19</f>
        <v>ISLD</v>
      </c>
      <c r="D38" s="65"/>
      <c r="E38" s="121">
        <f>[1]!ISLD.O</f>
        <v>2.65</v>
      </c>
      <c r="F38" s="33"/>
      <c r="G38" s="65"/>
      <c r="H38" s="65"/>
      <c r="I38" s="65"/>
      <c r="J38" s="65"/>
      <c r="K38" s="65"/>
      <c r="L38" s="65"/>
      <c r="M38" s="65"/>
      <c r="N38" s="33"/>
      <c r="O38" s="65"/>
      <c r="P38" s="65"/>
      <c r="Q38" s="65"/>
      <c r="R38" s="65"/>
      <c r="S38" s="65"/>
      <c r="T38" s="65"/>
      <c r="U38" s="66"/>
      <c r="V38" s="38"/>
      <c r="W38" s="12"/>
      <c r="X38" s="354">
        <v>56</v>
      </c>
      <c r="Y38" s="66"/>
      <c r="Z38" s="255">
        <f t="shared" ref="Z38:Z43" si="14">+(E38*AI38)/X38</f>
        <v>3.7857142857142856</v>
      </c>
      <c r="AA38" s="65"/>
      <c r="AB38" s="65"/>
      <c r="AC38" s="65"/>
      <c r="AD38" s="65"/>
      <c r="AE38" s="354">
        <v>177.4</v>
      </c>
      <c r="AF38" s="66"/>
      <c r="AG38" s="255">
        <f t="shared" ref="AG38:AG43" si="15">+(E38*AI38)/AE38</f>
        <v>1.1950394588500564</v>
      </c>
      <c r="AH38" s="375"/>
      <c r="AI38" s="394">
        <v>80</v>
      </c>
      <c r="AJ38" s="65"/>
      <c r="AK38" s="38"/>
      <c r="AL38" s="12"/>
      <c r="AM38" s="111">
        <f t="shared" si="10"/>
        <v>0.68789808917197437</v>
      </c>
      <c r="AN38" s="252"/>
      <c r="AO38" s="128">
        <f t="shared" si="11"/>
        <v>0.4620689655172413</v>
      </c>
      <c r="AP38" s="12"/>
      <c r="AQ38" s="129">
        <f t="shared" si="12"/>
        <v>-0.34769230769230769</v>
      </c>
      <c r="AR38" s="29"/>
      <c r="AS38" s="132">
        <f t="shared" si="13"/>
        <v>0</v>
      </c>
      <c r="AT38" s="29"/>
      <c r="AU38" s="145">
        <v>0</v>
      </c>
      <c r="AV38" s="146"/>
      <c r="AW38" s="204"/>
      <c r="AX38" s="11"/>
      <c r="AY38" s="179">
        <v>1.57</v>
      </c>
      <c r="BA38" s="179">
        <v>1.8125</v>
      </c>
      <c r="BC38" s="179">
        <v>4.0625</v>
      </c>
    </row>
    <row r="39" spans="1:55" x14ac:dyDescent="0.2">
      <c r="A39" s="176" t="str">
        <f>'[2]7-07-00'!$A$22</f>
        <v>InterNap</v>
      </c>
      <c r="B39" s="65"/>
      <c r="C39" s="112" t="str">
        <f>'[2]7-07-00'!$B$22</f>
        <v>INAP</v>
      </c>
      <c r="D39" s="65"/>
      <c r="E39" s="121">
        <f>[1]!INAP.O</f>
        <v>2.91</v>
      </c>
      <c r="F39" s="33"/>
      <c r="G39" s="65"/>
      <c r="H39" s="65"/>
      <c r="I39" s="65"/>
      <c r="J39" s="65"/>
      <c r="K39" s="65"/>
      <c r="L39" s="65"/>
      <c r="M39" s="65"/>
      <c r="N39" s="33"/>
      <c r="O39" s="65"/>
      <c r="P39" s="65"/>
      <c r="Q39" s="65"/>
      <c r="R39" s="65"/>
      <c r="S39" s="65"/>
      <c r="T39" s="65"/>
      <c r="U39" s="66"/>
      <c r="V39" s="38"/>
      <c r="W39" s="12"/>
      <c r="X39" s="354">
        <v>67.599999999999994</v>
      </c>
      <c r="Y39" s="66"/>
      <c r="Z39" s="255">
        <f t="shared" si="14"/>
        <v>6.3710059171597644</v>
      </c>
      <c r="AA39" s="65"/>
      <c r="AB39" s="65"/>
      <c r="AC39" s="65"/>
      <c r="AD39" s="65"/>
      <c r="AE39" s="354">
        <v>204.2</v>
      </c>
      <c r="AF39" s="66"/>
      <c r="AG39" s="255">
        <f t="shared" si="15"/>
        <v>2.1091087169441725</v>
      </c>
      <c r="AH39" s="375"/>
      <c r="AI39" s="394">
        <v>148</v>
      </c>
      <c r="AJ39" s="65"/>
      <c r="AK39" s="38"/>
      <c r="AL39" s="12"/>
      <c r="AM39" s="111">
        <f t="shared" si="10"/>
        <v>1.2558139534883721</v>
      </c>
      <c r="AN39" s="252"/>
      <c r="AO39" s="128">
        <f t="shared" si="11"/>
        <v>0.50193548387096787</v>
      </c>
      <c r="AP39" s="12"/>
      <c r="AQ39" s="129">
        <f t="shared" si="12"/>
        <v>-0.59862068965517234</v>
      </c>
      <c r="AR39" s="29"/>
      <c r="AS39" s="132">
        <f t="shared" si="13"/>
        <v>0</v>
      </c>
      <c r="AT39" s="29"/>
      <c r="AU39" s="145">
        <v>0</v>
      </c>
      <c r="AV39" s="146"/>
      <c r="AW39" s="204"/>
      <c r="AX39" s="11"/>
      <c r="AY39" s="179">
        <v>1.29</v>
      </c>
      <c r="BA39" s="179">
        <v>1.9375</v>
      </c>
      <c r="BC39" s="179">
        <v>7.25</v>
      </c>
    </row>
    <row r="40" spans="1:55" x14ac:dyDescent="0.2">
      <c r="A40" s="176" t="str">
        <f>'[2]7-07-00'!$A$33</f>
        <v>Williams Communications**</v>
      </c>
      <c r="B40" s="65"/>
      <c r="C40" s="112" t="str">
        <f>'[2]7-07-00'!$B$33</f>
        <v>WCG</v>
      </c>
      <c r="D40" s="65"/>
      <c r="E40" s="121">
        <f>[1]!WCG</f>
        <v>5.37</v>
      </c>
      <c r="F40" s="33"/>
      <c r="G40" s="65"/>
      <c r="H40" s="65"/>
      <c r="I40" s="65"/>
      <c r="J40" s="65"/>
      <c r="K40" s="65"/>
      <c r="L40" s="65"/>
      <c r="M40" s="65"/>
      <c r="N40" s="33"/>
      <c r="O40" s="65"/>
      <c r="P40" s="65"/>
      <c r="Q40" s="65"/>
      <c r="R40" s="65"/>
      <c r="S40" s="65"/>
      <c r="T40" s="65"/>
      <c r="U40" s="66"/>
      <c r="V40" s="38"/>
      <c r="W40" s="12"/>
      <c r="X40" s="354">
        <v>2258.9</v>
      </c>
      <c r="Y40" s="273"/>
      <c r="Z40" s="255">
        <f t="shared" si="14"/>
        <v>0.16165390234184782</v>
      </c>
      <c r="AA40" s="65"/>
      <c r="AB40" s="65"/>
      <c r="AC40" s="65"/>
      <c r="AD40" s="65"/>
      <c r="AE40" s="356" t="s">
        <v>76</v>
      </c>
      <c r="AF40" s="66"/>
      <c r="AG40" s="392" t="s">
        <v>76</v>
      </c>
      <c r="AH40" s="376"/>
      <c r="AI40" s="394">
        <v>68</v>
      </c>
      <c r="AJ40" s="65"/>
      <c r="AK40" s="38"/>
      <c r="AL40" s="12"/>
      <c r="AM40" s="111">
        <f t="shared" si="10"/>
        <v>-0.29895561357702349</v>
      </c>
      <c r="AN40" s="252"/>
      <c r="AO40" s="128">
        <f t="shared" si="11"/>
        <v>-0.40333333333333332</v>
      </c>
      <c r="AP40" s="12"/>
      <c r="AQ40" s="129">
        <f t="shared" si="12"/>
        <v>-0.54297872340425535</v>
      </c>
      <c r="AR40" s="29"/>
      <c r="AS40" s="132">
        <f t="shared" si="13"/>
        <v>0</v>
      </c>
      <c r="AT40" s="29"/>
      <c r="AU40" s="145">
        <v>0</v>
      </c>
      <c r="AV40" s="146"/>
      <c r="AW40" s="204"/>
      <c r="AX40" s="11"/>
      <c r="AY40" s="179">
        <v>7.66</v>
      </c>
      <c r="BA40" s="179">
        <v>9</v>
      </c>
      <c r="BC40" s="179">
        <v>11.75</v>
      </c>
    </row>
    <row r="41" spans="1:55" x14ac:dyDescent="0.2">
      <c r="A41" s="176" t="s">
        <v>104</v>
      </c>
      <c r="B41" s="65"/>
      <c r="C41" s="112" t="str">
        <f>'[2]7-07-00'!$B$34</f>
        <v>LVLT</v>
      </c>
      <c r="D41" s="65"/>
      <c r="E41" s="121">
        <f>[1]!LVLT.O</f>
        <v>15.27</v>
      </c>
      <c r="F41" s="33"/>
      <c r="G41" s="65"/>
      <c r="H41" s="65"/>
      <c r="I41" s="65"/>
      <c r="J41" s="65"/>
      <c r="K41" s="65"/>
      <c r="L41" s="65"/>
      <c r="M41" s="65"/>
      <c r="N41" s="33"/>
      <c r="O41" s="65"/>
      <c r="P41" s="65"/>
      <c r="Q41" s="65"/>
      <c r="R41" s="65"/>
      <c r="S41" s="65"/>
      <c r="T41" s="65"/>
      <c r="U41" s="66"/>
      <c r="V41" s="38"/>
      <c r="W41" s="12"/>
      <c r="X41" s="354">
        <v>1125.3</v>
      </c>
      <c r="Y41" s="273"/>
      <c r="Z41" s="255">
        <f t="shared" si="14"/>
        <v>4.9800853105838447</v>
      </c>
      <c r="AA41" s="65"/>
      <c r="AB41" s="65"/>
      <c r="AC41" s="65"/>
      <c r="AD41" s="65"/>
      <c r="AE41" s="354">
        <v>2021.8</v>
      </c>
      <c r="AF41" s="66"/>
      <c r="AG41" s="255">
        <f t="shared" si="15"/>
        <v>2.7718320308635871</v>
      </c>
      <c r="AH41" s="376"/>
      <c r="AI41" s="394">
        <v>367</v>
      </c>
      <c r="AJ41" s="65"/>
      <c r="AK41" s="38"/>
      <c r="AL41" s="12"/>
      <c r="AM41" s="111">
        <f t="shared" si="10"/>
        <v>7.2559366754617041E-3</v>
      </c>
      <c r="AN41" s="252"/>
      <c r="AO41" s="128">
        <f t="shared" si="11"/>
        <v>-0.12115107913669067</v>
      </c>
      <c r="AP41" s="12"/>
      <c r="AQ41" s="129">
        <f t="shared" si="12"/>
        <v>-0.53462857142857145</v>
      </c>
      <c r="AR41" s="29"/>
      <c r="AS41" s="132">
        <f t="shared" si="13"/>
        <v>0</v>
      </c>
      <c r="AT41" s="29"/>
      <c r="AU41" s="145">
        <v>0</v>
      </c>
      <c r="AV41" s="146"/>
      <c r="AW41" s="204"/>
      <c r="AX41" s="11"/>
      <c r="AY41" s="179">
        <v>15.16</v>
      </c>
      <c r="BA41" s="179">
        <v>17.375</v>
      </c>
      <c r="BC41" s="179">
        <v>32.8125</v>
      </c>
    </row>
    <row r="42" spans="1:55" x14ac:dyDescent="0.2">
      <c r="A42" s="176" t="s">
        <v>105</v>
      </c>
      <c r="B42" s="65"/>
      <c r="C42" s="112" t="s">
        <v>106</v>
      </c>
      <c r="D42" s="65"/>
      <c r="E42" s="121">
        <f>[1]!GX</f>
        <v>11.67</v>
      </c>
      <c r="F42" s="33"/>
      <c r="G42" s="65"/>
      <c r="H42" s="65"/>
      <c r="I42" s="65"/>
      <c r="J42" s="65"/>
      <c r="K42" s="65"/>
      <c r="L42" s="65"/>
      <c r="M42" s="65"/>
      <c r="N42" s="33"/>
      <c r="O42" s="65"/>
      <c r="P42" s="65"/>
      <c r="Q42" s="65"/>
      <c r="R42" s="65"/>
      <c r="S42" s="65"/>
      <c r="T42" s="65"/>
      <c r="U42" s="66"/>
      <c r="V42" s="38"/>
      <c r="W42" s="12"/>
      <c r="X42" s="354">
        <v>4800</v>
      </c>
      <c r="Y42" s="273"/>
      <c r="Z42" s="255">
        <f t="shared" si="14"/>
        <v>2.1540875000000002</v>
      </c>
      <c r="AA42" s="65"/>
      <c r="AB42" s="65"/>
      <c r="AC42" s="65"/>
      <c r="AD42" s="65"/>
      <c r="AE42" s="354">
        <v>6400</v>
      </c>
      <c r="AF42" s="66"/>
      <c r="AG42" s="255">
        <f t="shared" si="15"/>
        <v>1.6155656250000001</v>
      </c>
      <c r="AH42" s="376"/>
      <c r="AI42" s="394">
        <v>886</v>
      </c>
      <c r="AJ42" s="65"/>
      <c r="AK42" s="38"/>
      <c r="AL42" s="12"/>
      <c r="AM42" s="111">
        <f t="shared" si="10"/>
        <v>9.5774647887323899E-2</v>
      </c>
      <c r="AN42" s="252"/>
      <c r="AO42" s="128">
        <f t="shared" si="11"/>
        <v>-0.13491475166790218</v>
      </c>
      <c r="AP42" s="12"/>
      <c r="AQ42" s="129">
        <f t="shared" si="12"/>
        <v>-0.18462882096069869</v>
      </c>
      <c r="AR42" s="29"/>
      <c r="AS42" s="132">
        <f t="shared" si="13"/>
        <v>0</v>
      </c>
      <c r="AT42" s="29"/>
      <c r="AU42" s="145">
        <v>0</v>
      </c>
      <c r="AV42" s="146"/>
      <c r="AW42" s="204"/>
      <c r="AX42" s="11"/>
      <c r="AY42" s="179">
        <v>10.65</v>
      </c>
      <c r="BA42" s="179">
        <v>13.49</v>
      </c>
      <c r="BC42" s="179">
        <v>14.3125</v>
      </c>
    </row>
    <row r="43" spans="1:55" x14ac:dyDescent="0.2">
      <c r="A43" s="176" t="str">
        <f>'[2]7-07-00'!$A$36</f>
        <v>Qwest</v>
      </c>
      <c r="B43" s="65"/>
      <c r="C43" s="112" t="str">
        <f>'[2]7-07-00'!$B$36</f>
        <v>Q</v>
      </c>
      <c r="D43" s="65"/>
      <c r="E43" s="121">
        <f>[1]!Q</f>
        <v>37.4</v>
      </c>
      <c r="F43" s="33"/>
      <c r="G43" s="65"/>
      <c r="H43" s="65"/>
      <c r="I43" s="65"/>
      <c r="J43" s="65"/>
      <c r="K43" s="65"/>
      <c r="L43" s="65"/>
      <c r="M43" s="65"/>
      <c r="N43" s="33"/>
      <c r="O43" s="65"/>
      <c r="P43" s="65"/>
      <c r="Q43" s="65"/>
      <c r="R43" s="65"/>
      <c r="S43" s="65"/>
      <c r="T43" s="65"/>
      <c r="U43" s="66"/>
      <c r="V43" s="38"/>
      <c r="W43" s="12"/>
      <c r="X43" s="354">
        <v>18997</v>
      </c>
      <c r="Y43" s="273"/>
      <c r="Z43" s="255">
        <f t="shared" si="14"/>
        <v>3.2602200347423276</v>
      </c>
      <c r="AA43" s="65"/>
      <c r="AB43" s="65"/>
      <c r="AC43" s="65"/>
      <c r="AD43" s="65"/>
      <c r="AE43" s="354">
        <v>21450.3</v>
      </c>
      <c r="AF43" s="66"/>
      <c r="AG43" s="255">
        <f t="shared" si="15"/>
        <v>2.887344232947791</v>
      </c>
      <c r="AH43" s="376"/>
      <c r="AI43" s="394">
        <v>1656</v>
      </c>
      <c r="AJ43" s="65"/>
      <c r="AK43" s="38"/>
      <c r="AL43" s="12"/>
      <c r="AM43" s="111">
        <f t="shared" si="10"/>
        <v>4.7619047619047498E-2</v>
      </c>
      <c r="AN43" s="252"/>
      <c r="AO43" s="128">
        <f t="shared" si="11"/>
        <v>6.704707560627679E-2</v>
      </c>
      <c r="AP43" s="12"/>
      <c r="AQ43" s="129">
        <f t="shared" si="12"/>
        <v>-8.5015290519877704E-2</v>
      </c>
      <c r="AR43" s="29"/>
      <c r="AS43" s="132">
        <f t="shared" si="13"/>
        <v>0</v>
      </c>
      <c r="AT43" s="29"/>
      <c r="AU43" s="145">
        <v>0</v>
      </c>
      <c r="AV43" s="146"/>
      <c r="AW43" s="204"/>
      <c r="AX43" s="11"/>
      <c r="AY43" s="179">
        <v>35.700000000000003</v>
      </c>
      <c r="BA43" s="179">
        <v>35.049999999999997</v>
      </c>
      <c r="BC43" s="179">
        <v>40.875</v>
      </c>
    </row>
    <row r="44" spans="1:55" x14ac:dyDescent="0.2">
      <c r="A44" s="176"/>
      <c r="B44" s="65"/>
      <c r="C44" s="112"/>
      <c r="D44" s="65"/>
      <c r="E44" s="251"/>
      <c r="F44" s="33"/>
      <c r="G44" s="65"/>
      <c r="H44" s="65"/>
      <c r="I44" s="65"/>
      <c r="J44" s="65"/>
      <c r="K44" s="65"/>
      <c r="L44" s="65"/>
      <c r="M44" s="65"/>
      <c r="N44" s="33"/>
      <c r="O44" s="65"/>
      <c r="P44" s="65"/>
      <c r="Q44" s="65"/>
      <c r="R44" s="65"/>
      <c r="S44" s="65"/>
      <c r="T44" s="65"/>
      <c r="U44" s="66"/>
      <c r="V44" s="38"/>
      <c r="W44" s="12"/>
      <c r="X44" s="256"/>
      <c r="Y44" s="273"/>
      <c r="Z44" s="255"/>
      <c r="AA44" s="65"/>
      <c r="AB44" s="65"/>
      <c r="AC44" s="65"/>
      <c r="AD44" s="65"/>
      <c r="AE44" s="254"/>
      <c r="AF44" s="66"/>
      <c r="AG44" s="255"/>
      <c r="AH44" s="375"/>
      <c r="AI44" s="375"/>
      <c r="AJ44" s="65"/>
      <c r="AK44" s="38"/>
      <c r="AL44" s="12"/>
      <c r="AM44" s="261"/>
      <c r="AN44" s="252"/>
      <c r="AO44" s="253"/>
      <c r="AP44" s="12"/>
      <c r="AQ44" s="262"/>
      <c r="AR44" s="29"/>
      <c r="AS44" s="132"/>
      <c r="AT44" s="29"/>
      <c r="AU44" s="145"/>
      <c r="AV44" s="146"/>
      <c r="AW44" s="204"/>
      <c r="AX44" s="11"/>
    </row>
    <row r="45" spans="1:55" x14ac:dyDescent="0.2">
      <c r="A45" s="176" t="s">
        <v>87</v>
      </c>
      <c r="B45" s="65"/>
      <c r="C45" s="112"/>
      <c r="D45" s="65"/>
      <c r="E45" s="251"/>
      <c r="F45" s="33"/>
      <c r="G45" s="65"/>
      <c r="H45" s="65"/>
      <c r="I45" s="65"/>
      <c r="J45" s="65"/>
      <c r="K45" s="65"/>
      <c r="L45" s="65"/>
      <c r="M45" s="65"/>
      <c r="N45" s="33"/>
      <c r="O45" s="65"/>
      <c r="P45" s="65"/>
      <c r="Q45" s="65"/>
      <c r="R45" s="65"/>
      <c r="S45" s="65"/>
      <c r="T45" s="65"/>
      <c r="U45" s="66"/>
      <c r="V45" s="38"/>
      <c r="W45" s="12"/>
      <c r="X45" s="257"/>
      <c r="Y45" s="137"/>
      <c r="Z45" s="258"/>
      <c r="AA45" s="65"/>
      <c r="AB45" s="65"/>
      <c r="AC45" s="65"/>
      <c r="AD45" s="65"/>
      <c r="AE45" s="259"/>
      <c r="AF45" s="137"/>
      <c r="AG45" s="260"/>
      <c r="AH45" s="288"/>
      <c r="AI45" s="288"/>
      <c r="AJ45" s="65"/>
      <c r="AK45" s="38"/>
      <c r="AL45" s="12"/>
      <c r="AM45" s="263">
        <f>AVERAGE(AM37:AM43)</f>
        <v>0.27461966122772491</v>
      </c>
      <c r="AN45" s="264" t="e">
        <f>AVERAGE(AN37:AN43)</f>
        <v>#DIV/0!</v>
      </c>
      <c r="AO45" s="264">
        <f>AVERAGE(AO37:AO43)</f>
        <v>8.0580159997235362E-2</v>
      </c>
      <c r="AP45" s="265"/>
      <c r="AQ45" s="353">
        <f>AVERAGE(AQ37:AQ43)</f>
        <v>-0.40125951845431018</v>
      </c>
      <c r="AR45" s="29"/>
      <c r="AS45" s="266">
        <f>AVERAGE(AS37:AS43)</f>
        <v>0</v>
      </c>
      <c r="AT45" s="29"/>
      <c r="AU45" s="145"/>
      <c r="AV45" s="146"/>
      <c r="AW45" s="204"/>
      <c r="AX45" s="11"/>
    </row>
    <row r="46" spans="1:55" x14ac:dyDescent="0.2">
      <c r="A46" s="144"/>
      <c r="B46" s="33"/>
      <c r="C46" s="34"/>
      <c r="D46" s="33"/>
      <c r="E46" s="33"/>
      <c r="F46" s="33"/>
      <c r="G46" s="65"/>
      <c r="H46" s="65"/>
      <c r="I46" s="65"/>
      <c r="J46" s="65"/>
      <c r="K46" s="65"/>
      <c r="L46" s="65"/>
      <c r="M46" s="65"/>
      <c r="N46" s="33"/>
      <c r="O46" s="65"/>
      <c r="P46" s="65"/>
      <c r="Q46" s="65"/>
      <c r="R46" s="65"/>
      <c r="S46" s="65"/>
      <c r="T46" s="65"/>
      <c r="U46" s="66"/>
      <c r="V46" s="38"/>
      <c r="W46" s="12"/>
      <c r="X46" s="288"/>
      <c r="Y46" s="65"/>
      <c r="Z46" s="65"/>
      <c r="AA46" s="65"/>
      <c r="AB46" s="65"/>
      <c r="AC46" s="65"/>
      <c r="AD46" s="65"/>
      <c r="AE46" s="288"/>
      <c r="AF46" s="65"/>
      <c r="AG46" s="189"/>
      <c r="AH46" s="189"/>
      <c r="AI46" s="189"/>
      <c r="AJ46" s="65"/>
      <c r="AK46" s="38"/>
      <c r="AL46" s="12"/>
      <c r="AM46" s="12"/>
      <c r="AN46" s="12"/>
      <c r="AO46" s="12"/>
      <c r="AP46" s="12"/>
      <c r="AQ46" s="38"/>
      <c r="AR46" s="29"/>
      <c r="AS46" s="29"/>
      <c r="AT46" s="29"/>
      <c r="AU46" s="145"/>
      <c r="AV46" s="146"/>
      <c r="AW46" s="204"/>
      <c r="AX46" s="11"/>
    </row>
    <row r="47" spans="1:55" s="297" customFormat="1" ht="9.9499999999999993" customHeight="1" x14ac:dyDescent="0.2">
      <c r="A47" s="302"/>
      <c r="B47" s="302"/>
      <c r="C47" s="303"/>
      <c r="D47" s="302"/>
      <c r="E47" s="302"/>
      <c r="F47" s="302"/>
      <c r="K47" s="304">
        <v>1997</v>
      </c>
      <c r="L47" s="305"/>
      <c r="M47" s="306"/>
      <c r="N47" s="302"/>
      <c r="S47" s="307">
        <v>1998</v>
      </c>
      <c r="T47" s="308"/>
      <c r="U47" s="296"/>
      <c r="V47" s="293"/>
      <c r="W47" s="299"/>
      <c r="X47" s="422">
        <v>2001</v>
      </c>
      <c r="Y47" s="423"/>
      <c r="Z47" s="424"/>
      <c r="AA47" s="309"/>
      <c r="AB47" s="309"/>
      <c r="AC47" s="309"/>
      <c r="AD47" s="309"/>
      <c r="AE47" s="422">
        <v>2002</v>
      </c>
      <c r="AF47" s="423"/>
      <c r="AG47" s="424"/>
      <c r="AH47" s="377"/>
      <c r="AI47" s="377"/>
      <c r="AJ47" s="302"/>
      <c r="AK47" s="310" t="s">
        <v>19</v>
      </c>
      <c r="AL47" s="299"/>
      <c r="AM47" s="311" t="s">
        <v>101</v>
      </c>
      <c r="AN47" s="312"/>
      <c r="AO47" s="312"/>
      <c r="AP47" s="312"/>
      <c r="AQ47" s="313"/>
      <c r="AS47" s="314"/>
      <c r="AT47" s="315"/>
      <c r="AU47" s="316" t="s">
        <v>21</v>
      </c>
      <c r="AV47" s="316"/>
      <c r="AW47" s="317"/>
      <c r="AX47" s="318" t="s">
        <v>22</v>
      </c>
      <c r="AY47" s="319"/>
      <c r="AZ47" s="318" t="s">
        <v>23</v>
      </c>
      <c r="BA47" s="318"/>
      <c r="BB47" s="318" t="s">
        <v>24</v>
      </c>
      <c r="BC47" s="318"/>
    </row>
    <row r="48" spans="1:55" s="297" customFormat="1" ht="9.9499999999999993" customHeight="1" x14ac:dyDescent="0.2">
      <c r="A48" s="302"/>
      <c r="B48" s="302"/>
      <c r="C48" s="303"/>
      <c r="D48" s="302"/>
      <c r="E48" s="320"/>
      <c r="F48" s="302"/>
      <c r="G48" s="321" t="s">
        <v>26</v>
      </c>
      <c r="H48" s="322"/>
      <c r="I48" s="323"/>
      <c r="J48" s="302"/>
      <c r="K48" s="321" t="s">
        <v>26</v>
      </c>
      <c r="L48" s="322"/>
      <c r="M48" s="323"/>
      <c r="N48" s="302"/>
      <c r="O48" s="321" t="s">
        <v>26</v>
      </c>
      <c r="P48" s="322"/>
      <c r="Q48" s="323"/>
      <c r="R48" s="302"/>
      <c r="S48" s="321" t="s">
        <v>26</v>
      </c>
      <c r="T48" s="323"/>
      <c r="U48" s="299"/>
      <c r="V48" s="310" t="s">
        <v>27</v>
      </c>
      <c r="W48" s="324"/>
      <c r="X48" s="321" t="s">
        <v>26</v>
      </c>
      <c r="Y48" s="325"/>
      <c r="Z48" s="323"/>
      <c r="AA48" s="326"/>
      <c r="AB48" s="326"/>
      <c r="AC48" s="326"/>
      <c r="AD48" s="326"/>
      <c r="AE48" s="321" t="s">
        <v>26</v>
      </c>
      <c r="AF48" s="325"/>
      <c r="AG48" s="323"/>
      <c r="AH48" s="326"/>
      <c r="AI48" s="379"/>
      <c r="AJ48" s="326"/>
      <c r="AK48" s="327" t="s">
        <v>27</v>
      </c>
      <c r="AL48" s="324"/>
      <c r="AM48" s="328" t="s">
        <v>28</v>
      </c>
      <c r="AN48" s="324"/>
      <c r="AO48" s="324" t="s">
        <v>29</v>
      </c>
      <c r="AP48" s="324"/>
      <c r="AQ48" s="329" t="s">
        <v>30</v>
      </c>
      <c r="AS48" s="330" t="s">
        <v>31</v>
      </c>
      <c r="AT48" s="331"/>
      <c r="AU48" s="26"/>
      <c r="AV48" s="27" t="s">
        <v>32</v>
      </c>
      <c r="AW48" s="199" t="s">
        <v>32</v>
      </c>
      <c r="AX48" s="332"/>
      <c r="AY48" s="333"/>
      <c r="AZ48" s="332"/>
      <c r="BA48" s="333">
        <f>+BA5</f>
        <v>36980</v>
      </c>
      <c r="BB48" s="334"/>
      <c r="BC48" s="335"/>
    </row>
    <row r="49" spans="1:55" s="297" customFormat="1" ht="9.9499999999999993" customHeight="1" thickBot="1" x14ac:dyDescent="0.25">
      <c r="A49" s="336" t="s">
        <v>33</v>
      </c>
      <c r="B49" s="302"/>
      <c r="C49" s="320"/>
      <c r="D49" s="302"/>
      <c r="E49" s="320"/>
      <c r="F49" s="302"/>
      <c r="G49" s="337" t="s">
        <v>19</v>
      </c>
      <c r="H49" s="338"/>
      <c r="I49" s="339" t="s">
        <v>36</v>
      </c>
      <c r="J49" s="302"/>
      <c r="K49" s="337" t="s">
        <v>19</v>
      </c>
      <c r="L49" s="338"/>
      <c r="M49" s="339" t="s">
        <v>36</v>
      </c>
      <c r="N49" s="302"/>
      <c r="O49" s="337" t="s">
        <v>19</v>
      </c>
      <c r="P49" s="338"/>
      <c r="Q49" s="339" t="s">
        <v>36</v>
      </c>
      <c r="R49" s="302"/>
      <c r="S49" s="337" t="s">
        <v>19</v>
      </c>
      <c r="T49" s="339" t="s">
        <v>36</v>
      </c>
      <c r="U49" s="340"/>
      <c r="V49" s="341" t="s">
        <v>37</v>
      </c>
      <c r="W49" s="340"/>
      <c r="X49" s="342" t="s">
        <v>85</v>
      </c>
      <c r="Y49" s="343"/>
      <c r="Z49" s="344" t="s">
        <v>36</v>
      </c>
      <c r="AA49" s="320"/>
      <c r="AB49" s="320"/>
      <c r="AC49" s="320"/>
      <c r="AD49" s="320"/>
      <c r="AE49" s="342" t="s">
        <v>85</v>
      </c>
      <c r="AF49" s="343"/>
      <c r="AG49" s="344" t="s">
        <v>36</v>
      </c>
      <c r="AH49" s="320"/>
      <c r="AI49" s="320"/>
      <c r="AJ49" s="320"/>
      <c r="AK49" s="341" t="s">
        <v>38</v>
      </c>
      <c r="AL49" s="340"/>
      <c r="AM49" s="345" t="s">
        <v>39</v>
      </c>
      <c r="AN49" s="340"/>
      <c r="AO49" s="346" t="s">
        <v>40</v>
      </c>
      <c r="AP49" s="340"/>
      <c r="AQ49" s="347" t="s">
        <v>40</v>
      </c>
      <c r="AS49" s="348" t="s">
        <v>41</v>
      </c>
      <c r="AT49" s="349"/>
      <c r="AU49" s="95" t="s">
        <v>42</v>
      </c>
      <c r="AV49" s="24" t="s">
        <v>43</v>
      </c>
      <c r="AW49" s="200" t="s">
        <v>31</v>
      </c>
      <c r="AX49" s="95" t="s">
        <v>44</v>
      </c>
      <c r="AY49" s="220"/>
      <c r="AZ49" s="95" t="s">
        <v>46</v>
      </c>
      <c r="BA49" s="96" t="s">
        <v>47</v>
      </c>
      <c r="BB49" s="222" t="s">
        <v>48</v>
      </c>
      <c r="BC49" s="96" t="s">
        <v>94</v>
      </c>
    </row>
    <row r="50" spans="1:55" x14ac:dyDescent="0.2">
      <c r="A50" s="90" t="s">
        <v>100</v>
      </c>
      <c r="B50" s="290"/>
      <c r="C50" s="90" t="s">
        <v>97</v>
      </c>
      <c r="D50" s="4"/>
      <c r="E50" s="121">
        <f>[1]!NPW</f>
        <v>7.1</v>
      </c>
      <c r="F50" s="4"/>
      <c r="G50" s="90"/>
      <c r="H50" s="86"/>
      <c r="I50" s="90"/>
      <c r="J50" s="4"/>
      <c r="K50" s="90"/>
      <c r="L50" s="86"/>
      <c r="M50" s="90"/>
      <c r="N50" s="4"/>
      <c r="O50" s="90"/>
      <c r="P50" s="86"/>
      <c r="Q50" s="90"/>
      <c r="R50" s="4"/>
      <c r="S50" s="90"/>
      <c r="T50" s="90"/>
      <c r="U50" s="88"/>
      <c r="V50" s="90"/>
      <c r="W50" s="88"/>
      <c r="X50" s="383">
        <v>-4.01</v>
      </c>
      <c r="Y50" s="384"/>
      <c r="Z50" s="385" t="s">
        <v>76</v>
      </c>
      <c r="AA50" s="126"/>
      <c r="AB50" s="126"/>
      <c r="AC50" s="126"/>
      <c r="AD50" s="126"/>
      <c r="AE50" s="383">
        <v>-0.51</v>
      </c>
      <c r="AF50" s="384"/>
      <c r="AG50" s="385" t="s">
        <v>76</v>
      </c>
      <c r="AH50" s="378"/>
      <c r="AI50" s="378"/>
      <c r="AJ50" s="126"/>
      <c r="AK50" s="127" t="e">
        <f>(X50-S50)/S50</f>
        <v>#DIV/0!</v>
      </c>
      <c r="AL50" s="128"/>
      <c r="AM50" s="140">
        <f>((+AX50+E50-AY50)/AY50)</f>
        <v>0.22203098106712565</v>
      </c>
      <c r="AN50" s="141"/>
      <c r="AO50" s="141">
        <f>((+AZ50+E50-BA50)/BA50)</f>
        <v>9.2307692307692257E-2</v>
      </c>
      <c r="AP50" s="141"/>
      <c r="AQ50" s="386">
        <f>((+BB50+E50-BC50)/BC50)</f>
        <v>-0.27643312101910833</v>
      </c>
      <c r="AR50" s="387"/>
      <c r="AS50" s="266">
        <f>AU50/E50</f>
        <v>0</v>
      </c>
      <c r="AT50" s="133"/>
      <c r="AU50" s="291">
        <v>0</v>
      </c>
      <c r="AV50" s="388"/>
      <c r="AW50" s="389"/>
      <c r="AX50" s="390"/>
      <c r="AY50" s="391">
        <v>5.81</v>
      </c>
      <c r="AZ50" s="390"/>
      <c r="BA50" s="391">
        <v>6.5</v>
      </c>
      <c r="BB50" s="390">
        <v>0</v>
      </c>
      <c r="BC50" s="391">
        <v>9.8125</v>
      </c>
    </row>
    <row r="51" spans="1:55" x14ac:dyDescent="0.2">
      <c r="C51" s="1"/>
      <c r="U51" s="1"/>
      <c r="W51" s="1"/>
      <c r="AL51" s="1"/>
      <c r="AM51" s="1"/>
      <c r="AN51" s="1"/>
      <c r="AO51" s="1"/>
      <c r="AP51" s="1"/>
      <c r="AU51" s="1"/>
      <c r="AV51" s="1"/>
      <c r="AW51" s="1"/>
    </row>
    <row r="52" spans="1:55" ht="10.5" customHeight="1" x14ac:dyDescent="0.2">
      <c r="A52" s="33"/>
      <c r="B52" s="33"/>
      <c r="C52" s="34"/>
      <c r="D52" s="33"/>
      <c r="E52" s="121"/>
      <c r="F52" s="33"/>
      <c r="G52" s="10"/>
      <c r="H52" s="36"/>
      <c r="I52" s="10"/>
      <c r="J52" s="65"/>
      <c r="K52" s="10"/>
      <c r="L52" s="10"/>
      <c r="M52" s="10"/>
      <c r="N52" s="33"/>
      <c r="O52" s="10"/>
      <c r="P52" s="36"/>
      <c r="Q52" s="10"/>
      <c r="R52" s="66"/>
      <c r="S52" s="10"/>
      <c r="T52" s="10"/>
      <c r="U52" s="10"/>
      <c r="V52" s="128"/>
      <c r="W52" s="128"/>
      <c r="X52" s="10"/>
      <c r="Y52" s="10"/>
      <c r="Z52" s="10"/>
      <c r="AA52" s="10"/>
      <c r="AB52" s="10"/>
      <c r="AC52" s="10"/>
      <c r="AD52" s="10"/>
      <c r="AE52" s="10"/>
      <c r="AF52" s="10"/>
      <c r="AG52" s="275"/>
      <c r="AH52" s="275"/>
      <c r="AI52" s="275"/>
      <c r="AJ52" s="10"/>
      <c r="AK52" s="128"/>
      <c r="AL52" s="128"/>
      <c r="AM52" s="128"/>
      <c r="AN52" s="128"/>
      <c r="AO52" s="128"/>
      <c r="AP52" s="128"/>
      <c r="AQ52" s="128"/>
      <c r="AR52" s="11"/>
      <c r="AS52" s="128"/>
      <c r="AT52" s="128"/>
      <c r="AU52" s="276"/>
      <c r="AV52" s="135"/>
      <c r="AW52" s="286"/>
      <c r="AX52" s="287"/>
      <c r="AY52" s="56"/>
      <c r="AZ52" s="268"/>
      <c r="BA52" s="225"/>
      <c r="BB52" s="225"/>
      <c r="BC52" s="225"/>
    </row>
    <row r="53" spans="1:55" ht="10.5" customHeight="1" x14ac:dyDescent="0.2">
      <c r="A53" s="33"/>
      <c r="B53" s="33"/>
      <c r="C53" s="34"/>
      <c r="D53" s="33"/>
      <c r="E53" s="121"/>
      <c r="F53" s="33"/>
      <c r="G53" s="10"/>
      <c r="H53" s="36"/>
      <c r="I53" s="10"/>
      <c r="J53" s="65"/>
      <c r="K53" s="10"/>
      <c r="L53" s="10"/>
      <c r="M53" s="10"/>
      <c r="N53" s="33"/>
      <c r="O53" s="10"/>
      <c r="P53" s="36"/>
      <c r="Q53" s="10"/>
      <c r="R53" s="66"/>
      <c r="S53" s="10"/>
      <c r="T53" s="10"/>
      <c r="U53" s="10"/>
      <c r="V53" s="128"/>
      <c r="W53" s="128"/>
      <c r="X53" s="10"/>
      <c r="Y53" s="10"/>
      <c r="Z53" s="10"/>
      <c r="AA53" s="10"/>
      <c r="AB53" s="10"/>
      <c r="AC53" s="10"/>
      <c r="AD53" s="10"/>
      <c r="AE53" s="10"/>
      <c r="AF53" s="10"/>
      <c r="AG53" s="275"/>
      <c r="AH53" s="275"/>
      <c r="AI53" s="275"/>
      <c r="AJ53" s="10"/>
      <c r="AK53" s="128"/>
      <c r="AL53" s="128"/>
      <c r="AM53" s="128"/>
      <c r="AN53" s="128"/>
      <c r="AO53" s="128"/>
      <c r="AP53" s="128"/>
      <c r="AQ53" s="128"/>
      <c r="AR53" s="11"/>
      <c r="AS53" s="128"/>
      <c r="AT53" s="128"/>
      <c r="AU53" s="276"/>
      <c r="AV53" s="135"/>
      <c r="AW53" s="286"/>
      <c r="AX53" s="287"/>
      <c r="AY53" s="56"/>
      <c r="AZ53" s="268"/>
      <c r="BA53" s="225"/>
      <c r="BB53" s="225"/>
      <c r="BC53" s="225"/>
    </row>
    <row r="54" spans="1:55" ht="9.9499999999999993" customHeight="1" x14ac:dyDescent="0.2">
      <c r="A54" s="272"/>
      <c r="B54" s="33"/>
      <c r="C54" s="34"/>
      <c r="D54" s="33"/>
      <c r="E54" s="33"/>
      <c r="F54" s="33"/>
      <c r="G54" s="65"/>
      <c r="H54" s="65"/>
      <c r="I54" s="65"/>
      <c r="J54" s="65"/>
      <c r="K54" s="65"/>
      <c r="L54" s="65"/>
      <c r="M54" s="65"/>
      <c r="N54" s="33"/>
      <c r="O54" s="65"/>
      <c r="P54" s="65"/>
      <c r="Q54" s="65"/>
      <c r="R54" s="65"/>
      <c r="S54" s="65"/>
      <c r="T54" s="65"/>
      <c r="U54" s="66"/>
      <c r="V54" s="38"/>
      <c r="W54" s="12"/>
      <c r="X54" s="251"/>
      <c r="Y54" s="65"/>
      <c r="Z54" s="65"/>
      <c r="AA54" s="65"/>
      <c r="AB54" s="65"/>
      <c r="AC54" s="65"/>
      <c r="AD54" s="65"/>
      <c r="AE54" s="251"/>
      <c r="AF54" s="65"/>
      <c r="AG54" s="189"/>
      <c r="AH54" s="189"/>
      <c r="AI54" s="189"/>
      <c r="AJ54" s="65"/>
      <c r="AK54" s="38"/>
      <c r="AL54" s="12"/>
      <c r="AM54" s="12"/>
      <c r="AN54" s="12"/>
      <c r="AO54" s="12"/>
      <c r="AP54" s="12"/>
      <c r="AQ54" s="38"/>
      <c r="AR54" s="29"/>
      <c r="AS54" s="29"/>
      <c r="AT54" s="29"/>
      <c r="AU54" s="145"/>
      <c r="AV54" s="146"/>
      <c r="AW54" s="204"/>
      <c r="AX54" s="11"/>
    </row>
    <row r="55" spans="1:55" ht="9.9499999999999993" customHeight="1" x14ac:dyDescent="0.2">
      <c r="A55" s="272"/>
      <c r="B55" s="33"/>
      <c r="C55" s="34"/>
      <c r="D55" s="33"/>
      <c r="E55" s="33"/>
      <c r="F55" s="33"/>
      <c r="G55" s="65"/>
      <c r="H55" s="65"/>
      <c r="I55" s="65"/>
      <c r="J55" s="65"/>
      <c r="K55" s="65"/>
      <c r="L55" s="65"/>
      <c r="M55" s="65"/>
      <c r="N55" s="33"/>
      <c r="O55" s="65"/>
      <c r="P55" s="65"/>
      <c r="Q55" s="65"/>
      <c r="R55" s="65"/>
      <c r="S55" s="65"/>
      <c r="T55" s="65"/>
      <c r="U55" s="66"/>
      <c r="V55" s="38"/>
      <c r="W55" s="12"/>
      <c r="X55" s="251"/>
      <c r="Y55" s="65"/>
      <c r="Z55" s="65"/>
      <c r="AA55" s="65"/>
      <c r="AB55" s="65"/>
      <c r="AC55" s="65"/>
      <c r="AD55" s="65"/>
      <c r="AE55" s="251"/>
      <c r="AF55" s="65"/>
      <c r="AG55" s="189"/>
      <c r="AH55" s="189"/>
      <c r="AI55" s="189"/>
      <c r="AJ55" s="65"/>
      <c r="AK55" s="38"/>
      <c r="AL55" s="12"/>
      <c r="AM55" s="12"/>
      <c r="AN55" s="12"/>
      <c r="AO55" s="12"/>
      <c r="AP55" s="12"/>
      <c r="AQ55" s="38"/>
      <c r="AR55" s="29"/>
      <c r="AS55" s="29"/>
      <c r="AT55" s="29"/>
      <c r="AU55" s="145"/>
      <c r="AV55" s="146"/>
      <c r="AW55" s="204"/>
      <c r="AX55" s="11"/>
    </row>
    <row r="56" spans="1:55" ht="9.9499999999999993" customHeight="1" x14ac:dyDescent="0.2">
      <c r="A56" s="272"/>
      <c r="B56" s="33"/>
      <c r="C56" s="34"/>
      <c r="D56" s="33"/>
      <c r="E56" s="33"/>
      <c r="F56" s="33"/>
      <c r="G56" s="65"/>
      <c r="H56" s="65"/>
      <c r="I56" s="65"/>
      <c r="J56" s="65"/>
      <c r="K56" s="65"/>
      <c r="L56" s="65"/>
      <c r="M56" s="65"/>
      <c r="N56" s="33"/>
      <c r="O56" s="65"/>
      <c r="P56" s="65"/>
      <c r="Q56" s="65"/>
      <c r="R56" s="65"/>
      <c r="S56" s="65"/>
      <c r="T56" s="65"/>
      <c r="U56" s="66"/>
      <c r="V56" s="38"/>
      <c r="W56" s="12"/>
      <c r="Y56" s="65"/>
      <c r="Z56" s="65"/>
      <c r="AA56" s="65"/>
      <c r="AB56" s="65"/>
      <c r="AC56" s="65"/>
      <c r="AD56" s="65"/>
      <c r="AE56" s="251"/>
      <c r="AF56" s="65"/>
      <c r="AG56" s="189"/>
      <c r="AH56" s="189"/>
      <c r="AI56" s="189"/>
      <c r="AJ56" s="65"/>
      <c r="AK56" s="38"/>
      <c r="AL56" s="12"/>
      <c r="AM56" s="12"/>
      <c r="AN56" s="12"/>
      <c r="AO56" s="12"/>
      <c r="AP56" s="12"/>
      <c r="AQ56" s="38"/>
      <c r="AR56" s="29"/>
      <c r="AS56" s="29"/>
      <c r="AT56" s="29"/>
      <c r="AU56" s="145"/>
      <c r="AV56" s="146"/>
      <c r="AW56" s="204"/>
      <c r="AX56" s="11"/>
    </row>
    <row r="57" spans="1:55" ht="9.9499999999999993" customHeight="1" x14ac:dyDescent="0.2">
      <c r="A57" s="272" t="s">
        <v>88</v>
      </c>
      <c r="B57" s="33"/>
      <c r="C57" s="34"/>
      <c r="D57" s="33"/>
      <c r="E57" s="33"/>
      <c r="F57" s="33"/>
      <c r="G57" s="65"/>
      <c r="H57" s="65"/>
      <c r="I57" s="65"/>
      <c r="J57" s="65"/>
      <c r="K57" s="65"/>
      <c r="L57" s="65"/>
      <c r="M57" s="65"/>
      <c r="N57" s="33"/>
      <c r="O57" s="65"/>
      <c r="P57" s="65"/>
      <c r="Q57" s="65"/>
      <c r="R57" s="65"/>
      <c r="S57" s="65"/>
      <c r="T57" s="65"/>
      <c r="U57" s="66"/>
      <c r="V57" s="38"/>
      <c r="W57" s="12"/>
      <c r="Y57" s="65"/>
      <c r="Z57" s="65"/>
      <c r="AA57" s="65"/>
      <c r="AB57" s="65"/>
      <c r="AC57" s="65"/>
      <c r="AD57" s="65"/>
      <c r="AE57" s="251"/>
      <c r="AF57" s="65"/>
      <c r="AG57" s="189"/>
      <c r="AH57" s="189"/>
      <c r="AI57" s="189"/>
      <c r="AJ57" s="65"/>
      <c r="AK57" s="38"/>
      <c r="AL57" s="12"/>
      <c r="AM57" s="12"/>
      <c r="AN57" s="12"/>
      <c r="AO57" s="12"/>
      <c r="AP57" s="12"/>
      <c r="AQ57" s="38"/>
      <c r="AR57" s="29"/>
      <c r="AS57" s="29"/>
      <c r="AT57" s="29"/>
      <c r="AU57" s="145"/>
      <c r="AV57" s="146"/>
      <c r="AW57" s="204"/>
      <c r="AX57" s="11"/>
    </row>
    <row r="58" spans="1:55" ht="9.9499999999999993" customHeight="1" x14ac:dyDescent="0.2">
      <c r="A58" s="272" t="s">
        <v>96</v>
      </c>
      <c r="B58" s="33"/>
      <c r="C58" s="34"/>
      <c r="D58" s="33"/>
      <c r="E58" s="33"/>
      <c r="F58" s="33"/>
      <c r="G58" s="65"/>
      <c r="H58" s="65"/>
      <c r="I58" s="65"/>
      <c r="J58" s="65"/>
      <c r="K58" s="65"/>
      <c r="L58" s="65"/>
      <c r="M58" s="65"/>
      <c r="N58" s="33"/>
      <c r="O58" s="65"/>
      <c r="P58" s="65"/>
      <c r="Q58" s="65"/>
      <c r="R58" s="65"/>
      <c r="S58" s="65"/>
      <c r="T58" s="65"/>
      <c r="U58" s="66"/>
      <c r="V58" s="38"/>
      <c r="W58" s="12"/>
      <c r="X58" s="65"/>
      <c r="Y58" s="65"/>
      <c r="Z58" s="65"/>
      <c r="AA58" s="65"/>
      <c r="AB58" s="65"/>
      <c r="AC58" s="65"/>
      <c r="AD58" s="65"/>
      <c r="AE58" s="65"/>
      <c r="AF58" s="65"/>
      <c r="AG58" s="189"/>
      <c r="AH58" s="189"/>
      <c r="AI58" s="189"/>
      <c r="AJ58" s="65"/>
      <c r="AK58" s="38"/>
      <c r="AL58" s="12"/>
      <c r="AM58" s="12"/>
      <c r="AN58" s="12"/>
      <c r="AO58" s="12"/>
      <c r="AP58" s="12"/>
      <c r="AQ58" s="38"/>
      <c r="AR58" s="29"/>
      <c r="AS58" s="29"/>
      <c r="AT58" s="29"/>
      <c r="AU58" s="145"/>
      <c r="AV58" s="146"/>
      <c r="AW58" s="204"/>
      <c r="AX58" s="11"/>
    </row>
    <row r="59" spans="1:55" ht="4.5" customHeight="1" x14ac:dyDescent="0.2">
      <c r="A59" s="144"/>
      <c r="B59" s="33"/>
      <c r="C59" s="34"/>
      <c r="D59" s="33"/>
      <c r="E59" s="33"/>
      <c r="F59" s="33"/>
      <c r="G59" s="65"/>
      <c r="H59" s="65"/>
      <c r="I59" s="65"/>
      <c r="J59" s="65"/>
      <c r="K59" s="65"/>
      <c r="L59" s="65"/>
      <c r="M59" s="65"/>
      <c r="N59" s="33"/>
      <c r="O59" s="65"/>
      <c r="P59" s="65"/>
      <c r="Q59" s="65"/>
      <c r="R59" s="65"/>
      <c r="S59" s="65"/>
      <c r="T59" s="65"/>
      <c r="U59" s="66"/>
      <c r="V59" s="38"/>
      <c r="W59" s="12"/>
      <c r="X59" s="65"/>
      <c r="Y59" s="65"/>
      <c r="Z59" s="65"/>
      <c r="AA59" s="65"/>
      <c r="AB59" s="65"/>
      <c r="AC59" s="65"/>
      <c r="AD59" s="65"/>
      <c r="AE59" s="65"/>
      <c r="AF59" s="65"/>
      <c r="AG59" s="189"/>
      <c r="AH59" s="189"/>
      <c r="AI59" s="189"/>
      <c r="AJ59" s="65"/>
      <c r="AK59" s="38"/>
      <c r="AL59" s="12"/>
      <c r="AM59" s="12"/>
      <c r="AN59" s="12"/>
      <c r="AO59" s="12"/>
      <c r="AP59" s="12"/>
      <c r="AQ59" s="38"/>
      <c r="AR59" s="29"/>
      <c r="AS59" s="29"/>
      <c r="AT59" s="29"/>
      <c r="AU59" s="145"/>
      <c r="AV59" s="146"/>
      <c r="AW59" s="204"/>
      <c r="AX59" s="11"/>
    </row>
    <row r="60" spans="1:55" ht="9.9499999999999993" customHeight="1" x14ac:dyDescent="0.2">
      <c r="A60" s="272"/>
      <c r="B60" s="33"/>
      <c r="C60" s="34"/>
      <c r="D60" s="33"/>
      <c r="E60" s="33"/>
      <c r="F60" s="33"/>
      <c r="G60" s="65"/>
      <c r="H60" s="65"/>
      <c r="I60" s="65"/>
      <c r="J60" s="65"/>
      <c r="K60" s="65"/>
      <c r="L60" s="65"/>
      <c r="M60" s="65"/>
      <c r="N60" s="33"/>
      <c r="O60" s="65"/>
      <c r="P60" s="65"/>
      <c r="Q60" s="65"/>
      <c r="R60" s="65"/>
      <c r="S60" s="65"/>
      <c r="T60" s="65"/>
      <c r="U60" s="66"/>
      <c r="V60" s="38"/>
      <c r="W60" s="12"/>
      <c r="X60" s="65"/>
      <c r="Y60" s="65"/>
      <c r="Z60" s="65"/>
      <c r="AA60" s="65"/>
      <c r="AB60" s="65"/>
      <c r="AC60" s="65"/>
      <c r="AD60" s="65"/>
      <c r="AE60" s="65"/>
      <c r="AF60" s="65"/>
      <c r="AG60" s="189"/>
      <c r="AH60" s="189"/>
      <c r="AI60" s="189"/>
      <c r="AJ60" s="65"/>
      <c r="AK60" s="38"/>
      <c r="AL60" s="12"/>
      <c r="AM60" s="12"/>
      <c r="AN60" s="12"/>
      <c r="AO60" s="12"/>
      <c r="AP60" s="12"/>
      <c r="AQ60" s="38"/>
      <c r="AR60" s="29"/>
      <c r="AS60" s="29"/>
      <c r="AT60" s="29"/>
      <c r="AU60" s="145"/>
      <c r="AV60" s="146"/>
      <c r="AW60" s="204"/>
      <c r="AX60" s="11"/>
    </row>
    <row r="61" spans="1:55" ht="9.9499999999999993" customHeight="1" x14ac:dyDescent="0.2">
      <c r="A61" s="272"/>
      <c r="B61" s="33"/>
      <c r="C61" s="34"/>
      <c r="D61" s="33"/>
      <c r="E61" s="33"/>
      <c r="F61" s="33"/>
      <c r="G61" s="65"/>
      <c r="H61" s="65"/>
      <c r="I61" s="65"/>
      <c r="J61" s="65"/>
      <c r="K61" s="65"/>
      <c r="L61" s="65"/>
      <c r="M61" s="65"/>
      <c r="N61" s="33"/>
      <c r="O61" s="65"/>
      <c r="P61" s="65"/>
      <c r="Q61" s="65"/>
      <c r="R61" s="65"/>
      <c r="S61" s="65"/>
      <c r="T61" s="65"/>
      <c r="U61" s="66"/>
      <c r="V61" s="38"/>
      <c r="W61" s="12"/>
      <c r="X61" s="65"/>
      <c r="Y61" s="65"/>
      <c r="Z61" s="65"/>
      <c r="AA61" s="65"/>
      <c r="AB61" s="65"/>
      <c r="AC61" s="65"/>
      <c r="AD61" s="65"/>
      <c r="AE61" s="65"/>
      <c r="AF61" s="65"/>
      <c r="AG61" s="189"/>
      <c r="AH61" s="189"/>
      <c r="AI61" s="189"/>
      <c r="AJ61" s="65"/>
      <c r="AK61" s="38"/>
      <c r="AL61" s="12"/>
      <c r="AM61" s="12"/>
      <c r="AN61" s="12"/>
      <c r="AO61" s="12"/>
      <c r="AP61" s="12"/>
      <c r="AQ61" s="38"/>
      <c r="AR61" s="29"/>
      <c r="AS61" s="29"/>
      <c r="AT61" s="29"/>
      <c r="AU61" s="145"/>
      <c r="AV61" s="146"/>
      <c r="AW61" s="204"/>
      <c r="AX61" s="11"/>
    </row>
    <row r="62" spans="1:55" ht="9.9499999999999993" customHeight="1" x14ac:dyDescent="0.2">
      <c r="A62" s="272"/>
      <c r="B62" s="33"/>
      <c r="C62" s="34"/>
      <c r="D62" s="33"/>
      <c r="E62" s="33"/>
      <c r="F62" s="33"/>
      <c r="G62" s="65"/>
      <c r="H62" s="65"/>
      <c r="I62" s="65"/>
      <c r="J62" s="65"/>
      <c r="K62" s="65"/>
      <c r="L62" s="65"/>
      <c r="M62" s="65"/>
      <c r="N62" s="33"/>
      <c r="O62" s="65"/>
      <c r="P62" s="65"/>
      <c r="Q62" s="65"/>
      <c r="R62" s="65"/>
      <c r="S62" s="65"/>
      <c r="T62" s="65"/>
      <c r="U62" s="66"/>
      <c r="V62" s="38"/>
      <c r="W62" s="12"/>
      <c r="X62" s="65"/>
      <c r="Y62" s="65"/>
      <c r="Z62" s="65"/>
      <c r="AA62" s="65"/>
      <c r="AB62" s="65"/>
      <c r="AC62" s="65"/>
      <c r="AD62" s="65"/>
      <c r="AE62" s="65"/>
      <c r="AF62" s="65"/>
      <c r="AG62" s="189"/>
      <c r="AH62" s="189"/>
      <c r="AI62" s="189"/>
      <c r="AJ62" s="65"/>
      <c r="AK62" s="38"/>
      <c r="AL62" s="12"/>
      <c r="AM62" s="12"/>
      <c r="AN62" s="12"/>
      <c r="AO62" s="12"/>
      <c r="AP62" s="12"/>
      <c r="AQ62" s="38"/>
      <c r="AR62" s="29"/>
      <c r="AS62" s="29"/>
      <c r="AT62" s="29"/>
      <c r="AU62" s="145"/>
      <c r="AV62" s="146"/>
      <c r="AW62" s="204"/>
      <c r="AX62" s="11"/>
    </row>
    <row r="63" spans="1:55" x14ac:dyDescent="0.2">
      <c r="B63" s="33"/>
      <c r="C63" s="34"/>
      <c r="D63" s="33"/>
      <c r="E63" s="33"/>
      <c r="F63" s="33"/>
      <c r="G63" s="65"/>
      <c r="H63" s="65"/>
      <c r="I63" s="65"/>
      <c r="J63" s="65"/>
      <c r="K63" s="65"/>
      <c r="L63" s="65"/>
      <c r="M63" s="65"/>
      <c r="N63" s="33"/>
      <c r="O63" s="65"/>
      <c r="P63" s="65"/>
      <c r="Q63" s="65"/>
      <c r="R63" s="65"/>
      <c r="S63" s="65"/>
      <c r="T63" s="65"/>
      <c r="U63" s="66"/>
      <c r="V63" s="38"/>
      <c r="W63" s="12"/>
      <c r="X63" s="65"/>
      <c r="Y63" s="65"/>
      <c r="Z63" s="65"/>
      <c r="AA63" s="65"/>
      <c r="AB63" s="65"/>
      <c r="AC63" s="65"/>
      <c r="AD63" s="65"/>
      <c r="AE63" s="65"/>
      <c r="AF63" s="65"/>
      <c r="AG63" s="189"/>
      <c r="AH63" s="189"/>
      <c r="AI63" s="189"/>
      <c r="AJ63" s="65"/>
      <c r="AK63" s="38"/>
      <c r="AL63" s="12"/>
      <c r="AM63" s="12"/>
      <c r="AN63" s="12"/>
      <c r="AO63" s="12"/>
      <c r="AP63" s="12"/>
      <c r="AQ63" s="38"/>
      <c r="AR63" s="29"/>
      <c r="AS63" s="29"/>
      <c r="AT63" s="29"/>
      <c r="AU63" s="145"/>
      <c r="AV63" s="146"/>
      <c r="AW63" s="204"/>
      <c r="AX63" s="11"/>
    </row>
    <row r="64" spans="1:55" x14ac:dyDescent="0.2">
      <c r="A64" s="144"/>
      <c r="B64" s="33"/>
      <c r="C64" s="34"/>
      <c r="D64" s="33"/>
      <c r="E64" s="33"/>
      <c r="F64" s="33"/>
      <c r="G64" s="65"/>
      <c r="H64" s="65"/>
      <c r="I64" s="65"/>
      <c r="J64" s="65"/>
      <c r="K64" s="65"/>
      <c r="L64" s="65"/>
      <c r="M64" s="65"/>
      <c r="N64" s="33"/>
      <c r="O64" s="65"/>
      <c r="P64" s="65"/>
      <c r="Q64" s="65"/>
      <c r="R64" s="65"/>
      <c r="S64" s="65"/>
      <c r="T64" s="65"/>
      <c r="U64" s="66"/>
      <c r="V64" s="38"/>
      <c r="W64" s="12"/>
      <c r="X64" s="65"/>
      <c r="Y64" s="65"/>
      <c r="Z64" s="65"/>
      <c r="AA64" s="65"/>
      <c r="AB64" s="65"/>
      <c r="AC64" s="65"/>
      <c r="AD64" s="65"/>
      <c r="AE64" s="65"/>
      <c r="AF64" s="65"/>
      <c r="AG64" s="189"/>
      <c r="AH64" s="189"/>
      <c r="AI64" s="189"/>
      <c r="AJ64" s="65"/>
      <c r="AK64" s="38"/>
      <c r="AL64" s="12"/>
      <c r="AM64" s="12"/>
      <c r="AN64" s="12"/>
      <c r="AO64" s="12"/>
      <c r="AP64" s="12"/>
      <c r="AQ64" s="38"/>
      <c r="AR64" s="29"/>
      <c r="AS64" s="29"/>
      <c r="AT64" s="29"/>
      <c r="AU64" s="145"/>
      <c r="AV64" s="146"/>
      <c r="AW64" s="204"/>
      <c r="AX64" s="11"/>
    </row>
    <row r="65" spans="1:50" ht="18" customHeight="1" x14ac:dyDescent="0.2">
      <c r="A65" s="120"/>
      <c r="B65" s="33"/>
      <c r="C65" s="34"/>
      <c r="D65" s="33"/>
      <c r="E65" s="33"/>
      <c r="F65" s="33"/>
      <c r="G65" s="65"/>
      <c r="H65" s="65"/>
      <c r="I65" s="65"/>
      <c r="J65" s="65"/>
      <c r="K65" s="65"/>
      <c r="L65" s="65"/>
      <c r="M65" s="65"/>
      <c r="N65" s="33"/>
      <c r="O65" s="65"/>
      <c r="P65" s="65"/>
      <c r="Q65" s="65"/>
      <c r="R65" s="65"/>
      <c r="S65" s="65"/>
      <c r="T65" s="65"/>
      <c r="U65" s="66"/>
      <c r="V65" s="38"/>
      <c r="W65" s="12"/>
      <c r="X65" s="65"/>
      <c r="Y65" s="65"/>
      <c r="Z65" s="195"/>
      <c r="AA65" s="65"/>
      <c r="AB65" s="65"/>
      <c r="AC65" s="65"/>
      <c r="AD65" s="65"/>
      <c r="AE65" s="65"/>
      <c r="AF65" s="65"/>
      <c r="AG65" s="189"/>
      <c r="AH65" s="189"/>
      <c r="AI65" s="189"/>
      <c r="AJ65" s="65"/>
      <c r="AK65" s="38"/>
      <c r="AL65" s="12"/>
      <c r="AM65" s="12"/>
      <c r="AN65" s="12"/>
      <c r="AO65" s="12"/>
      <c r="AP65" s="12"/>
      <c r="AQ65" s="38"/>
      <c r="AR65" s="29"/>
      <c r="AS65" s="29"/>
      <c r="AT65" s="29"/>
      <c r="AU65" s="145"/>
      <c r="AV65" s="146"/>
      <c r="AW65" s="204"/>
      <c r="AX65" s="11"/>
    </row>
    <row r="66" spans="1:50" ht="9.75" customHeight="1" x14ac:dyDescent="0.25">
      <c r="A66" s="53"/>
      <c r="B66" s="33"/>
      <c r="C66" s="34"/>
      <c r="D66" s="33"/>
      <c r="E66" s="33"/>
      <c r="F66" s="33"/>
      <c r="G66" s="65"/>
      <c r="H66" s="65"/>
      <c r="I66" s="65"/>
      <c r="J66" s="65"/>
      <c r="K66" s="65"/>
      <c r="L66" s="65"/>
      <c r="M66" s="65"/>
      <c r="N66" s="33"/>
      <c r="O66" s="65"/>
      <c r="P66" s="65"/>
      <c r="Q66" s="65"/>
      <c r="R66" s="65"/>
      <c r="S66" s="65"/>
      <c r="T66" s="66"/>
      <c r="U66" s="66"/>
      <c r="V66" s="12"/>
      <c r="W66" s="12"/>
      <c r="X66" s="66"/>
      <c r="Y66" s="66"/>
      <c r="Z66" s="65"/>
      <c r="AA66" s="65"/>
      <c r="AB66" s="65"/>
      <c r="AC66" s="65"/>
      <c r="AD66" s="65"/>
      <c r="AE66" s="66"/>
      <c r="AF66" s="66"/>
      <c r="AG66" s="65"/>
      <c r="AH66" s="65"/>
      <c r="AI66" s="65"/>
      <c r="AJ66" s="65"/>
      <c r="AK66" s="38"/>
      <c r="AL66" s="12"/>
      <c r="AM66" s="12"/>
      <c r="AN66" s="12"/>
      <c r="AO66" s="12"/>
      <c r="AP66" s="12"/>
      <c r="AQ66" s="38"/>
      <c r="AR66" s="29"/>
      <c r="AS66" s="29"/>
      <c r="AT66" s="29"/>
      <c r="AU66" s="145"/>
      <c r="AV66" s="146"/>
      <c r="AW66" s="204"/>
      <c r="AX66" s="11"/>
    </row>
    <row r="67" spans="1:50" ht="15.75" x14ac:dyDescent="0.25">
      <c r="A67" s="147" t="s">
        <v>5</v>
      </c>
      <c r="B67" s="148"/>
      <c r="C67" s="149"/>
      <c r="D67" s="74"/>
      <c r="E67" s="150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151" t="s">
        <v>6</v>
      </c>
      <c r="T67" s="187"/>
      <c r="U67" s="187"/>
      <c r="V67" s="187"/>
      <c r="W67" s="187"/>
      <c r="X67" s="151">
        <v>2001</v>
      </c>
      <c r="Y67" s="151"/>
      <c r="Z67" s="187"/>
      <c r="AA67" s="187"/>
      <c r="AB67" s="187"/>
      <c r="AC67" s="187"/>
      <c r="AD67" s="187"/>
      <c r="AE67" s="413" t="s">
        <v>124</v>
      </c>
      <c r="AF67" s="212"/>
      <c r="AG67" s="47"/>
      <c r="AH67" s="47"/>
      <c r="AK67" s="47"/>
      <c r="AL67" s="44"/>
      <c r="AM67" s="44"/>
      <c r="AN67" s="44"/>
      <c r="AO67" s="53"/>
      <c r="AP67" s="44"/>
      <c r="AQ67" s="53"/>
      <c r="AR67" s="53"/>
      <c r="AS67" s="419">
        <v>2000</v>
      </c>
      <c r="AT67" s="420"/>
      <c r="AU67" s="421"/>
      <c r="AW67" s="205"/>
    </row>
    <row r="68" spans="1:50" ht="12.75" customHeight="1" x14ac:dyDescent="0.25">
      <c r="A68" s="152" t="s">
        <v>7</v>
      </c>
      <c r="B68" s="184"/>
      <c r="C68" s="184"/>
      <c r="D68" s="184"/>
      <c r="E68" s="184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153" t="s">
        <v>8</v>
      </c>
      <c r="T68" s="44"/>
      <c r="U68" s="44"/>
      <c r="V68" s="44"/>
      <c r="W68" s="44"/>
      <c r="X68" s="153" t="s">
        <v>8</v>
      </c>
      <c r="Y68" s="153"/>
      <c r="Z68" s="44"/>
      <c r="AA68" s="44"/>
      <c r="AB68" s="44"/>
      <c r="AC68" s="44"/>
      <c r="AD68" s="44"/>
      <c r="AE68" s="154" t="s">
        <v>8</v>
      </c>
      <c r="AF68" s="153"/>
      <c r="AG68" s="47"/>
      <c r="AH68" s="47"/>
      <c r="AK68" s="47"/>
      <c r="AL68" s="44"/>
      <c r="AM68" s="44"/>
      <c r="AN68" s="44"/>
      <c r="AO68" s="48"/>
      <c r="AP68" s="44"/>
      <c r="AQ68" s="48"/>
      <c r="AR68" s="48"/>
      <c r="AS68" s="73" t="s">
        <v>26</v>
      </c>
      <c r="AT68" s="209"/>
      <c r="AU68" s="75"/>
    </row>
    <row r="69" spans="1:50" ht="16.5" thickBot="1" x14ac:dyDescent="0.3">
      <c r="A69" s="155" t="s">
        <v>9</v>
      </c>
      <c r="B69" s="183"/>
      <c r="C69" s="183"/>
      <c r="D69" s="183"/>
      <c r="E69" s="183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156">
        <v>2</v>
      </c>
      <c r="T69" s="44"/>
      <c r="U69" s="44"/>
      <c r="V69" s="44"/>
      <c r="W69" s="44"/>
      <c r="X69" s="217">
        <v>1.75</v>
      </c>
      <c r="Y69" s="185"/>
      <c r="Z69" s="44"/>
      <c r="AA69" s="44"/>
      <c r="AB69" s="44"/>
      <c r="AC69" s="44"/>
      <c r="AD69" s="44"/>
      <c r="AE69" s="414">
        <v>2</v>
      </c>
      <c r="AF69" s="186"/>
      <c r="AK69" s="47"/>
      <c r="AL69" s="44"/>
      <c r="AM69" s="84" t="s">
        <v>33</v>
      </c>
      <c r="AN69" s="4"/>
      <c r="AO69" s="84" t="s">
        <v>34</v>
      </c>
      <c r="AP69" s="1"/>
      <c r="AQ69" s="48"/>
      <c r="AR69" s="48"/>
      <c r="AS69" s="85" t="s">
        <v>85</v>
      </c>
      <c r="AT69" s="214"/>
      <c r="AU69" s="87" t="s">
        <v>36</v>
      </c>
    </row>
    <row r="70" spans="1:50" ht="16.5" thickBot="1" x14ac:dyDescent="0.3">
      <c r="A70" s="155" t="s">
        <v>110</v>
      </c>
      <c r="B70" s="183"/>
      <c r="C70" s="183"/>
      <c r="D70" s="183"/>
      <c r="E70" s="183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156"/>
      <c r="T70" s="44"/>
      <c r="U70" s="44"/>
      <c r="V70" s="44"/>
      <c r="W70" s="44"/>
      <c r="X70" s="186">
        <v>1.75</v>
      </c>
      <c r="Y70" s="186"/>
      <c r="Z70" s="44"/>
      <c r="AA70" s="44"/>
      <c r="AB70" s="44"/>
      <c r="AC70" s="44"/>
      <c r="AD70" s="44"/>
      <c r="AE70" s="157"/>
      <c r="AF70" s="186"/>
      <c r="AK70" s="47"/>
      <c r="AL70" s="44"/>
      <c r="AM70" s="97" t="s">
        <v>49</v>
      </c>
      <c r="AN70" s="98"/>
      <c r="AO70" s="99" t="s">
        <v>0</v>
      </c>
      <c r="AP70" s="1"/>
      <c r="AQ70" s="48"/>
      <c r="AR70" s="48"/>
      <c r="AS70" s="246">
        <v>1.47</v>
      </c>
      <c r="AT70" s="228"/>
      <c r="AU70" s="103">
        <f>M70/AS70</f>
        <v>0</v>
      </c>
    </row>
    <row r="71" spans="1:50" ht="15.75" x14ac:dyDescent="0.25">
      <c r="A71" s="155" t="s">
        <v>122</v>
      </c>
      <c r="B71" s="183"/>
      <c r="C71" s="183"/>
      <c r="D71" s="183"/>
      <c r="E71" s="183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156"/>
      <c r="T71" s="44"/>
      <c r="U71" s="44"/>
      <c r="V71" s="44"/>
      <c r="W71" s="44"/>
      <c r="X71" s="186">
        <v>1.8</v>
      </c>
      <c r="Y71" s="186"/>
      <c r="Z71" s="44"/>
      <c r="AA71" s="44"/>
      <c r="AB71" s="44"/>
      <c r="AC71" s="44"/>
      <c r="AD71" s="44"/>
      <c r="AE71" s="157"/>
      <c r="AF71" s="186"/>
      <c r="AK71" s="47"/>
      <c r="AL71" s="44"/>
      <c r="AM71" s="65"/>
      <c r="AN71" s="65"/>
      <c r="AO71" s="112"/>
      <c r="AP71" s="1"/>
      <c r="AQ71" s="48"/>
      <c r="AR71" s="48"/>
      <c r="AS71" s="114"/>
      <c r="AT71" s="215"/>
      <c r="AU71" s="116"/>
    </row>
    <row r="72" spans="1:50" ht="15.75" x14ac:dyDescent="0.25">
      <c r="A72" s="155" t="s">
        <v>62</v>
      </c>
      <c r="B72" s="183"/>
      <c r="C72" s="183"/>
      <c r="D72" s="183"/>
      <c r="E72" s="183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156">
        <v>2</v>
      </c>
      <c r="T72" s="44"/>
      <c r="U72" s="44"/>
      <c r="V72" s="44"/>
      <c r="W72" s="44"/>
      <c r="X72" s="186">
        <v>1.8</v>
      </c>
      <c r="Y72" s="186"/>
      <c r="Z72" s="44"/>
      <c r="AA72" s="44"/>
      <c r="AB72" s="44"/>
      <c r="AC72" s="44"/>
      <c r="AD72" s="44"/>
      <c r="AE72" s="157">
        <v>2.1</v>
      </c>
      <c r="AF72" s="186"/>
      <c r="AK72" s="47"/>
      <c r="AL72" s="44"/>
      <c r="AM72" s="120" t="s">
        <v>52</v>
      </c>
      <c r="AN72" s="65"/>
      <c r="AO72" s="112" t="s">
        <v>60</v>
      </c>
      <c r="AP72" s="1"/>
      <c r="AQ72" s="48"/>
      <c r="AR72" s="48"/>
      <c r="AS72" s="125">
        <v>56.82</v>
      </c>
      <c r="AT72" s="210"/>
      <c r="AU72" s="124">
        <f>M72/AS72</f>
        <v>0</v>
      </c>
    </row>
    <row r="73" spans="1:50" ht="15.75" x14ac:dyDescent="0.25">
      <c r="A73" s="155" t="s">
        <v>10</v>
      </c>
      <c r="B73" s="183"/>
      <c r="C73" s="183"/>
      <c r="D73" s="183"/>
      <c r="E73" s="183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156">
        <v>2</v>
      </c>
      <c r="T73" s="44"/>
      <c r="U73" s="44"/>
      <c r="V73" s="44"/>
      <c r="W73" s="44"/>
      <c r="X73" s="186">
        <v>1.78</v>
      </c>
      <c r="Y73" s="186"/>
      <c r="Z73" s="44"/>
      <c r="AA73" s="44"/>
      <c r="AB73" s="44"/>
      <c r="AC73" s="44"/>
      <c r="AD73" s="44"/>
      <c r="AE73" s="157">
        <v>2.0499999999999998</v>
      </c>
      <c r="AF73" s="186"/>
      <c r="AK73" s="47"/>
      <c r="AL73" s="44"/>
      <c r="AM73" s="120" t="s">
        <v>78</v>
      </c>
      <c r="AN73" s="65"/>
      <c r="AO73" s="112" t="s">
        <v>75</v>
      </c>
      <c r="AP73" s="1"/>
      <c r="AQ73" s="48"/>
      <c r="AR73" s="48"/>
      <c r="AS73" s="248" t="s">
        <v>76</v>
      </c>
      <c r="AT73" s="210"/>
      <c r="AU73" s="249" t="s">
        <v>77</v>
      </c>
    </row>
    <row r="74" spans="1:50" ht="15.75" x14ac:dyDescent="0.25">
      <c r="A74" s="155" t="s">
        <v>63</v>
      </c>
      <c r="B74" s="183"/>
      <c r="C74" s="183"/>
      <c r="D74" s="183"/>
      <c r="E74" s="183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156"/>
      <c r="T74" s="44"/>
      <c r="U74" s="44"/>
      <c r="V74" s="44"/>
      <c r="W74" s="44"/>
      <c r="X74" s="274">
        <v>1.8</v>
      </c>
      <c r="Y74" s="186"/>
      <c r="Z74" s="44"/>
      <c r="AA74" s="44"/>
      <c r="AB74" s="44"/>
      <c r="AC74" s="44"/>
      <c r="AD74" s="44"/>
      <c r="AE74" s="415">
        <v>2.2000000000000002</v>
      </c>
      <c r="AF74" s="186"/>
      <c r="AK74" s="47"/>
      <c r="AL74" s="44"/>
      <c r="AM74" s="65"/>
      <c r="AN74" s="65"/>
      <c r="AO74" s="112"/>
      <c r="AP74" s="1"/>
      <c r="AQ74" s="48"/>
      <c r="AR74" s="48"/>
      <c r="AS74" s="125"/>
      <c r="AT74" s="210"/>
      <c r="AU74" s="31"/>
    </row>
    <row r="75" spans="1:50" ht="15.75" x14ac:dyDescent="0.25">
      <c r="A75" s="155" t="s">
        <v>66</v>
      </c>
      <c r="B75" s="183"/>
      <c r="C75" s="183"/>
      <c r="D75" s="183"/>
      <c r="E75" s="183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156"/>
      <c r="T75" s="158"/>
      <c r="U75" s="44"/>
      <c r="V75" s="44"/>
      <c r="W75" s="44"/>
      <c r="X75" s="186">
        <v>1.82</v>
      </c>
      <c r="Y75" s="186"/>
      <c r="Z75" s="158"/>
      <c r="AA75" s="158"/>
      <c r="AB75" s="158"/>
      <c r="AC75" s="158"/>
      <c r="AD75" s="158"/>
      <c r="AE75" s="157">
        <v>2.15</v>
      </c>
      <c r="AF75" s="186"/>
      <c r="AK75" s="47"/>
      <c r="AL75" s="44"/>
      <c r="AM75" s="269" t="s">
        <v>84</v>
      </c>
      <c r="AN75" s="65"/>
      <c r="AO75" s="112"/>
      <c r="AP75" s="1"/>
      <c r="AQ75" s="48"/>
      <c r="AR75" s="48"/>
      <c r="AS75" s="125"/>
      <c r="AT75" s="210"/>
      <c r="AU75" s="31"/>
    </row>
    <row r="76" spans="1:50" ht="15.75" x14ac:dyDescent="0.25">
      <c r="A76" s="155" t="s">
        <v>59</v>
      </c>
      <c r="B76" s="183"/>
      <c r="C76" s="183"/>
      <c r="D76" s="183"/>
      <c r="E76" s="183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156">
        <v>2</v>
      </c>
      <c r="T76" s="158"/>
      <c r="U76" s="44"/>
      <c r="V76" s="44"/>
      <c r="W76" s="44"/>
      <c r="X76" s="186">
        <v>1.77</v>
      </c>
      <c r="Y76" s="186"/>
      <c r="Z76" s="158"/>
      <c r="AA76" s="158"/>
      <c r="AB76" s="158"/>
      <c r="AC76" s="158"/>
      <c r="AD76" s="158"/>
      <c r="AE76" s="157">
        <v>2.0499999999999998</v>
      </c>
      <c r="AF76" s="186"/>
      <c r="AK76" s="47"/>
      <c r="AL76" s="44"/>
      <c r="AM76" s="65" t="s">
        <v>107</v>
      </c>
      <c r="AN76" s="359"/>
      <c r="AO76" s="130" t="s">
        <v>67</v>
      </c>
      <c r="AP76" s="1"/>
      <c r="AQ76" s="48"/>
      <c r="AR76" s="48"/>
      <c r="AS76" s="125">
        <v>1.46</v>
      </c>
      <c r="AT76" s="210"/>
      <c r="AU76" s="124">
        <f t="shared" ref="AU76:AU86" si="16">M76/AS76</f>
        <v>0</v>
      </c>
    </row>
    <row r="77" spans="1:50" s="6" customFormat="1" ht="15.75" x14ac:dyDescent="0.25">
      <c r="A77" s="160" t="s">
        <v>11</v>
      </c>
      <c r="B77" s="183"/>
      <c r="C77" s="183"/>
      <c r="D77" s="183"/>
      <c r="E77" s="183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156">
        <v>2</v>
      </c>
      <c r="T77" s="161"/>
      <c r="U77" s="162"/>
      <c r="V77" s="162"/>
      <c r="W77" s="162"/>
      <c r="X77" s="186">
        <v>1.8</v>
      </c>
      <c r="Y77" s="186"/>
      <c r="Z77" s="161"/>
      <c r="AA77" s="161"/>
      <c r="AB77" s="161"/>
      <c r="AC77" s="161"/>
      <c r="AD77" s="161"/>
      <c r="AE77" s="157"/>
      <c r="AF77" s="186"/>
      <c r="AK77" s="163"/>
      <c r="AL77" s="162"/>
      <c r="AM77" s="120" t="s">
        <v>69</v>
      </c>
      <c r="AN77" s="359"/>
      <c r="AO77" s="130" t="s">
        <v>70</v>
      </c>
      <c r="AQ77" s="45"/>
      <c r="AR77" s="45"/>
      <c r="AS77" s="125">
        <v>3.3330000000000002</v>
      </c>
      <c r="AT77" s="210"/>
      <c r="AU77" s="124">
        <f t="shared" si="16"/>
        <v>0</v>
      </c>
      <c r="AV77" s="19"/>
      <c r="AW77" s="206"/>
    </row>
    <row r="78" spans="1:50" s="6" customFormat="1" ht="15.75" x14ac:dyDescent="0.25">
      <c r="A78" s="160" t="s">
        <v>95</v>
      </c>
      <c r="B78" s="183"/>
      <c r="C78" s="183"/>
      <c r="D78" s="183"/>
      <c r="E78" s="183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156"/>
      <c r="T78" s="161"/>
      <c r="U78" s="162"/>
      <c r="V78" s="162"/>
      <c r="W78" s="162"/>
      <c r="X78" s="186">
        <v>1.78</v>
      </c>
      <c r="Y78" s="186"/>
      <c r="Z78" s="161"/>
      <c r="AA78" s="161"/>
      <c r="AB78" s="161"/>
      <c r="AC78" s="161"/>
      <c r="AD78" s="161"/>
      <c r="AE78" s="157">
        <v>2.14</v>
      </c>
      <c r="AF78" s="186"/>
      <c r="AK78" s="163"/>
      <c r="AL78" s="162"/>
      <c r="AM78" s="120" t="s">
        <v>53</v>
      </c>
      <c r="AN78" s="359"/>
      <c r="AO78" s="130" t="s">
        <v>1</v>
      </c>
      <c r="AQ78" s="45"/>
      <c r="AR78" s="45"/>
      <c r="AS78" s="125">
        <v>2.1</v>
      </c>
      <c r="AT78" s="210"/>
      <c r="AU78" s="124">
        <f t="shared" si="16"/>
        <v>0</v>
      </c>
      <c r="AV78" s="19"/>
      <c r="AW78" s="206"/>
    </row>
    <row r="79" spans="1:50" s="6" customFormat="1" ht="15.75" x14ac:dyDescent="0.25">
      <c r="A79" s="160" t="s">
        <v>61</v>
      </c>
      <c r="B79" s="183"/>
      <c r="C79" s="183"/>
      <c r="D79" s="183"/>
      <c r="E79" s="183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156"/>
      <c r="T79" s="161"/>
      <c r="U79" s="162"/>
      <c r="V79" s="162"/>
      <c r="W79" s="162"/>
      <c r="X79" s="186">
        <v>1.77</v>
      </c>
      <c r="Y79" s="186"/>
      <c r="Z79" s="161"/>
      <c r="AA79" s="161">
        <v>0</v>
      </c>
      <c r="AB79" s="161"/>
      <c r="AC79" s="161"/>
      <c r="AD79" s="161"/>
      <c r="AE79" s="157">
        <v>2.08</v>
      </c>
      <c r="AF79" s="186"/>
      <c r="AK79" s="163"/>
      <c r="AL79" s="162"/>
      <c r="AM79" s="120" t="s">
        <v>108</v>
      </c>
      <c r="AN79" s="359"/>
      <c r="AO79" s="130" t="s">
        <v>54</v>
      </c>
      <c r="AQ79" s="45"/>
      <c r="AR79" s="45"/>
      <c r="AS79" s="125">
        <v>1.43</v>
      </c>
      <c r="AT79" s="210"/>
      <c r="AU79" s="124">
        <f t="shared" si="16"/>
        <v>0</v>
      </c>
      <c r="AV79" s="19"/>
      <c r="AW79" s="206"/>
    </row>
    <row r="80" spans="1:50" s="6" customFormat="1" ht="15.75" x14ac:dyDescent="0.25">
      <c r="A80" s="160" t="s">
        <v>12</v>
      </c>
      <c r="B80" s="183"/>
      <c r="C80" s="183"/>
      <c r="D80" s="183"/>
      <c r="E80" s="183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156"/>
      <c r="T80" s="161"/>
      <c r="U80" s="162"/>
      <c r="V80" s="162"/>
      <c r="W80" s="162"/>
      <c r="X80" s="186">
        <v>1.8</v>
      </c>
      <c r="Y80" s="186"/>
      <c r="Z80" s="161"/>
      <c r="AA80" s="161"/>
      <c r="AB80" s="161"/>
      <c r="AC80" s="161"/>
      <c r="AD80" s="161"/>
      <c r="AE80" s="157">
        <v>2.1</v>
      </c>
      <c r="AF80" s="186"/>
      <c r="AK80" s="163"/>
      <c r="AL80" s="162"/>
      <c r="AM80" s="120" t="s">
        <v>55</v>
      </c>
      <c r="AN80" s="34"/>
      <c r="AO80" s="130" t="s">
        <v>2</v>
      </c>
      <c r="AQ80" s="45"/>
      <c r="AR80" s="45"/>
      <c r="AS80" s="125">
        <v>2.69</v>
      </c>
      <c r="AT80" s="210"/>
      <c r="AU80" s="124">
        <f t="shared" si="16"/>
        <v>0</v>
      </c>
      <c r="AV80" s="19"/>
      <c r="AW80" s="206"/>
    </row>
    <row r="81" spans="1:49" s="6" customFormat="1" ht="15.75" x14ac:dyDescent="0.25">
      <c r="A81" s="160" t="s">
        <v>13</v>
      </c>
      <c r="B81" s="183"/>
      <c r="C81" s="183"/>
      <c r="D81" s="183"/>
      <c r="E81" s="183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156">
        <v>2</v>
      </c>
      <c r="T81" s="161"/>
      <c r="U81" s="162"/>
      <c r="V81" s="162"/>
      <c r="W81" s="162"/>
      <c r="X81" s="186">
        <v>1.8</v>
      </c>
      <c r="Y81" s="186"/>
      <c r="Z81" s="161"/>
      <c r="AA81" s="161"/>
      <c r="AB81" s="161"/>
      <c r="AC81" s="161"/>
      <c r="AD81" s="161"/>
      <c r="AE81" s="157">
        <v>2.15</v>
      </c>
      <c r="AF81" s="186"/>
      <c r="AK81" s="163"/>
      <c r="AL81" s="162"/>
      <c r="AM81" s="120" t="s">
        <v>64</v>
      </c>
      <c r="AN81" s="34"/>
      <c r="AO81" s="130" t="s">
        <v>65</v>
      </c>
      <c r="AQ81" s="45"/>
      <c r="AR81" s="45"/>
      <c r="AS81" s="125">
        <v>1.28</v>
      </c>
      <c r="AT81" s="210"/>
      <c r="AU81" s="124">
        <f t="shared" si="16"/>
        <v>0</v>
      </c>
      <c r="AV81" s="19"/>
      <c r="AW81" s="206"/>
    </row>
    <row r="82" spans="1:49" ht="15.75" x14ac:dyDescent="0.25">
      <c r="A82" s="160" t="s">
        <v>14</v>
      </c>
      <c r="B82" s="183"/>
      <c r="C82" s="183"/>
      <c r="D82" s="183"/>
      <c r="E82" s="183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156">
        <v>1.98</v>
      </c>
      <c r="T82" s="158"/>
      <c r="U82" s="164"/>
      <c r="V82" s="164"/>
      <c r="W82" s="164"/>
      <c r="X82" s="186">
        <v>1.8</v>
      </c>
      <c r="Y82" s="186"/>
      <c r="Z82" s="158"/>
      <c r="AA82" s="158"/>
      <c r="AB82" s="158"/>
      <c r="AC82" s="158"/>
      <c r="AD82" s="158"/>
      <c r="AE82" s="157">
        <v>2.15</v>
      </c>
      <c r="AF82" s="186"/>
      <c r="AK82" s="165"/>
      <c r="AL82" s="164"/>
      <c r="AM82" s="120" t="s">
        <v>99</v>
      </c>
      <c r="AN82" s="290"/>
      <c r="AO82" s="112" t="s">
        <v>98</v>
      </c>
      <c r="AP82" s="1"/>
      <c r="AQ82" s="48"/>
      <c r="AR82" s="48"/>
      <c r="AS82" s="125">
        <v>1.1000000000000001</v>
      </c>
      <c r="AT82" s="210"/>
      <c r="AU82" s="124">
        <f t="shared" si="16"/>
        <v>0</v>
      </c>
      <c r="AV82" s="2"/>
      <c r="AW82" s="207"/>
    </row>
    <row r="83" spans="1:49" ht="15.75" x14ac:dyDescent="0.25">
      <c r="A83" s="160" t="s">
        <v>15</v>
      </c>
      <c r="B83" s="183"/>
      <c r="C83" s="183"/>
      <c r="D83" s="183"/>
      <c r="E83" s="183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156">
        <v>2.0099999999999998</v>
      </c>
      <c r="T83" s="158"/>
      <c r="U83" s="164"/>
      <c r="V83" s="164"/>
      <c r="W83" s="164"/>
      <c r="X83" s="186">
        <v>1.8</v>
      </c>
      <c r="Y83" s="186"/>
      <c r="Z83" s="158"/>
      <c r="AA83" s="158"/>
      <c r="AB83" s="158"/>
      <c r="AC83" s="158"/>
      <c r="AD83" s="158"/>
      <c r="AE83" s="157">
        <v>2.1</v>
      </c>
      <c r="AF83" s="186"/>
      <c r="AK83" s="165"/>
      <c r="AL83" s="164"/>
      <c r="AM83" s="65" t="s">
        <v>57</v>
      </c>
      <c r="AN83" s="65"/>
      <c r="AO83" s="130" t="s">
        <v>58</v>
      </c>
      <c r="AP83" s="1"/>
      <c r="AQ83" s="48"/>
      <c r="AR83" s="48"/>
      <c r="AS83" s="125">
        <v>2.5299999999999998</v>
      </c>
      <c r="AT83" s="210"/>
      <c r="AU83" s="124">
        <f t="shared" si="16"/>
        <v>0</v>
      </c>
      <c r="AV83" s="2"/>
      <c r="AW83" s="207"/>
    </row>
    <row r="84" spans="1:49" ht="15.75" x14ac:dyDescent="0.25">
      <c r="A84" s="160" t="s">
        <v>91</v>
      </c>
      <c r="B84" s="183"/>
      <c r="C84" s="183"/>
      <c r="D84" s="183"/>
      <c r="E84" s="183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156"/>
      <c r="T84" s="158"/>
      <c r="U84" s="164"/>
      <c r="V84" s="164"/>
      <c r="W84" s="164"/>
      <c r="X84" s="186">
        <v>1.8</v>
      </c>
      <c r="Y84" s="186"/>
      <c r="Z84" s="158"/>
      <c r="AA84" s="158"/>
      <c r="AB84" s="158"/>
      <c r="AC84" s="158"/>
      <c r="AD84" s="158"/>
      <c r="AE84" s="157">
        <v>2.0499999999999998</v>
      </c>
      <c r="AF84" s="186"/>
      <c r="AK84" s="165"/>
      <c r="AL84" s="164"/>
      <c r="AM84" s="289" t="s">
        <v>120</v>
      </c>
      <c r="AN84" s="290"/>
      <c r="AO84" s="90" t="s">
        <v>119</v>
      </c>
      <c r="AP84" s="1"/>
      <c r="AQ84" s="48"/>
      <c r="AR84" s="48"/>
      <c r="AS84" s="125">
        <v>0.98</v>
      </c>
      <c r="AT84" s="210"/>
      <c r="AU84" s="124">
        <f t="shared" si="16"/>
        <v>0</v>
      </c>
      <c r="AV84" s="2"/>
      <c r="AW84" s="207"/>
    </row>
    <row r="85" spans="1:49" ht="15.75" x14ac:dyDescent="0.25">
      <c r="A85" s="160"/>
      <c r="B85" s="183"/>
      <c r="C85" s="183"/>
      <c r="D85" s="183"/>
      <c r="E85" s="183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156">
        <v>2</v>
      </c>
      <c r="T85" s="158"/>
      <c r="U85" s="164"/>
      <c r="V85" s="164"/>
      <c r="W85" s="164"/>
      <c r="X85" s="186"/>
      <c r="Y85" s="186"/>
      <c r="Z85" s="158"/>
      <c r="AA85" s="158"/>
      <c r="AB85" s="158"/>
      <c r="AC85" s="158"/>
      <c r="AD85" s="158"/>
      <c r="AE85" s="157"/>
      <c r="AF85" s="186"/>
      <c r="AK85" s="165"/>
      <c r="AL85" s="164"/>
      <c r="AM85" s="120" t="s">
        <v>56</v>
      </c>
      <c r="AN85" s="65"/>
      <c r="AO85" s="130" t="s">
        <v>3</v>
      </c>
      <c r="AP85" s="1"/>
      <c r="AQ85" s="48"/>
      <c r="AR85" s="48"/>
      <c r="AS85" s="125">
        <v>0.83</v>
      </c>
      <c r="AT85" s="210"/>
      <c r="AU85" s="124">
        <f t="shared" si="16"/>
        <v>0</v>
      </c>
      <c r="AV85" s="2"/>
      <c r="AW85" s="207"/>
    </row>
    <row r="86" spans="1:49" ht="15.75" x14ac:dyDescent="0.25">
      <c r="A86" s="160" t="s">
        <v>79</v>
      </c>
      <c r="B86" s="183"/>
      <c r="C86" s="183"/>
      <c r="D86" s="183"/>
      <c r="E86" s="183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156"/>
      <c r="T86" s="158"/>
      <c r="U86" s="164"/>
      <c r="V86" s="164"/>
      <c r="W86" s="164"/>
      <c r="X86" s="186">
        <v>1.82</v>
      </c>
      <c r="Y86" s="186"/>
      <c r="Z86" s="158"/>
      <c r="AA86" s="158"/>
      <c r="AB86" s="158"/>
      <c r="AC86" s="158"/>
      <c r="AD86" s="158"/>
      <c r="AE86" s="157">
        <v>2.2000000000000002</v>
      </c>
      <c r="AF86" s="186"/>
      <c r="AK86" s="165"/>
      <c r="AL86" s="164"/>
      <c r="AM86" s="120" t="s">
        <v>86</v>
      </c>
      <c r="AN86" s="65"/>
      <c r="AO86" s="130" t="s">
        <v>4</v>
      </c>
      <c r="AP86" s="1"/>
      <c r="AQ86" s="48"/>
      <c r="AR86" s="48"/>
      <c r="AS86" s="125">
        <v>1.72</v>
      </c>
      <c r="AT86" s="210"/>
      <c r="AU86" s="124">
        <f t="shared" si="16"/>
        <v>0</v>
      </c>
      <c r="AV86" s="2"/>
      <c r="AW86" s="207"/>
    </row>
    <row r="87" spans="1:49" ht="15.75" x14ac:dyDescent="0.25">
      <c r="A87" s="355" t="s">
        <v>102</v>
      </c>
      <c r="B87" s="183"/>
      <c r="C87" s="183"/>
      <c r="D87" s="183"/>
      <c r="E87" s="183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156">
        <v>2</v>
      </c>
      <c r="T87" s="158"/>
      <c r="U87" s="164"/>
      <c r="V87" s="164"/>
      <c r="W87" s="164"/>
      <c r="X87" s="186">
        <v>1.8</v>
      </c>
      <c r="Y87" s="186"/>
      <c r="Z87" s="158"/>
      <c r="AA87" s="158"/>
      <c r="AB87" s="158"/>
      <c r="AC87" s="158"/>
      <c r="AD87" s="158"/>
      <c r="AE87" s="157">
        <v>2.1</v>
      </c>
      <c r="AF87" s="186"/>
      <c r="AK87" s="165"/>
      <c r="AL87" s="164"/>
      <c r="AM87" s="33"/>
      <c r="AN87" s="33"/>
      <c r="AO87" s="34"/>
      <c r="AP87" s="1"/>
      <c r="AQ87" s="48"/>
      <c r="AR87" s="48"/>
      <c r="AS87" s="35"/>
      <c r="AT87" s="10"/>
      <c r="AU87" s="31"/>
      <c r="AV87" s="2"/>
      <c r="AW87" s="207"/>
    </row>
    <row r="88" spans="1:49" ht="15.75" x14ac:dyDescent="0.25">
      <c r="A88" s="166"/>
      <c r="B88" s="183"/>
      <c r="C88" s="183"/>
      <c r="D88" s="183"/>
      <c r="E88" s="183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156"/>
      <c r="T88" s="158"/>
      <c r="U88" s="164"/>
      <c r="V88" s="164"/>
      <c r="W88" s="164"/>
      <c r="X88" s="186"/>
      <c r="Y88" s="186"/>
      <c r="Z88" s="158"/>
      <c r="AA88" s="158"/>
      <c r="AB88" s="158"/>
      <c r="AC88" s="158"/>
      <c r="AD88" s="158"/>
      <c r="AE88" s="157"/>
      <c r="AF88" s="186"/>
      <c r="AK88" s="165"/>
      <c r="AL88" s="164"/>
      <c r="AM88" s="120" t="s">
        <v>93</v>
      </c>
      <c r="AN88" s="65"/>
      <c r="AO88" s="112"/>
      <c r="AP88" s="1"/>
      <c r="AQ88" s="48"/>
      <c r="AR88" s="48"/>
      <c r="AS88" s="194"/>
      <c r="AT88" s="216"/>
      <c r="AU88" s="138">
        <f>AVERAGE(AU76:AU86)</f>
        <v>0</v>
      </c>
      <c r="AV88" s="146"/>
      <c r="AW88" s="204"/>
    </row>
    <row r="89" spans="1:49" ht="15.75" x14ac:dyDescent="0.25">
      <c r="A89" s="167" t="s">
        <v>16</v>
      </c>
      <c r="B89" s="168"/>
      <c r="C89" s="168"/>
      <c r="D89" s="168"/>
      <c r="E89" s="168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88">
        <f>AVERAGE(S69:S86)</f>
        <v>1.9988888888888892</v>
      </c>
      <c r="T89" s="170"/>
      <c r="U89" s="171"/>
      <c r="V89" s="171"/>
      <c r="W89" s="171"/>
      <c r="X89" s="192">
        <f>AVERAGE(X69:X87)</f>
        <v>1.7911111111111113</v>
      </c>
      <c r="Y89" s="192"/>
      <c r="Z89" s="170"/>
      <c r="AA89" s="170"/>
      <c r="AB89" s="170"/>
      <c r="AC89" s="170"/>
      <c r="AD89" s="170"/>
      <c r="AE89" s="250">
        <f>AVERAGE(AE69:AE87)</f>
        <v>2.1080000000000001</v>
      </c>
      <c r="AF89" s="186"/>
      <c r="AG89" s="159"/>
      <c r="AH89" s="159"/>
      <c r="AI89" s="159"/>
      <c r="AJ89" s="159"/>
      <c r="AK89" s="165"/>
      <c r="AL89" s="164"/>
      <c r="AM89" s="164"/>
      <c r="AN89" s="46"/>
      <c r="AO89" s="46"/>
      <c r="AP89" s="46"/>
      <c r="AQ89" s="48"/>
      <c r="AR89" s="48"/>
      <c r="AS89" s="48"/>
      <c r="AU89" s="145"/>
      <c r="AV89" s="146"/>
      <c r="AW89" s="204"/>
    </row>
    <row r="90" spans="1:49" ht="15.75" x14ac:dyDescent="0.25">
      <c r="C90" s="1"/>
      <c r="U90" s="1"/>
      <c r="W90" s="1"/>
      <c r="AF90" s="186"/>
      <c r="AG90" s="159"/>
      <c r="AH90" s="159"/>
      <c r="AI90" s="159"/>
      <c r="AJ90" s="159"/>
      <c r="AK90" s="165"/>
      <c r="AL90" s="164"/>
      <c r="AM90" s="164"/>
      <c r="AN90" s="46"/>
      <c r="AO90" s="46"/>
      <c r="AP90" s="46"/>
      <c r="AQ90" s="48"/>
      <c r="AR90" s="48"/>
      <c r="AS90" s="48"/>
      <c r="AU90" s="145"/>
      <c r="AV90" s="146"/>
      <c r="AW90" s="204"/>
    </row>
    <row r="91" spans="1:49" ht="15.75" x14ac:dyDescent="0.25">
      <c r="A91" s="4"/>
      <c r="C91" s="1"/>
      <c r="U91" s="1"/>
      <c r="W91" s="1"/>
      <c r="AF91" s="186"/>
      <c r="AG91" s="159"/>
      <c r="AH91" s="159"/>
      <c r="AI91" s="159"/>
      <c r="AJ91" s="159"/>
      <c r="AK91" s="165"/>
      <c r="AL91" s="164"/>
      <c r="AM91" s="164"/>
      <c r="AN91" s="46"/>
      <c r="AO91" s="46"/>
      <c r="AP91" s="46"/>
      <c r="AQ91" s="48"/>
      <c r="AR91" s="48"/>
      <c r="AS91" s="48"/>
      <c r="AU91" s="145"/>
      <c r="AV91" s="146"/>
      <c r="AW91" s="204"/>
    </row>
    <row r="92" spans="1:49" ht="15.75" x14ac:dyDescent="0.25">
      <c r="A92" s="4"/>
      <c r="B92" s="4"/>
      <c r="C92" s="17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3"/>
      <c r="T92" s="173"/>
      <c r="U92" s="174"/>
      <c r="V92" s="175"/>
      <c r="W92" s="174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5"/>
      <c r="AL92" s="174"/>
      <c r="AM92" s="174"/>
      <c r="AU92" s="145"/>
      <c r="AV92" s="146"/>
      <c r="AW92" s="204"/>
    </row>
    <row r="93" spans="1:49" ht="15.75" x14ac:dyDescent="0.25">
      <c r="A93" s="176"/>
      <c r="B93" s="4"/>
      <c r="C93" s="17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73"/>
      <c r="T93" s="173"/>
      <c r="U93" s="174"/>
      <c r="V93" s="175"/>
      <c r="W93" s="174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5"/>
      <c r="AL93" s="174"/>
      <c r="AM93" s="174"/>
    </row>
    <row r="94" spans="1:49" ht="15.75" x14ac:dyDescent="0.25">
      <c r="B94" s="4"/>
      <c r="C94" s="17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4"/>
      <c r="V94" s="175"/>
      <c r="W94" s="17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175"/>
      <c r="AL94" s="174"/>
      <c r="AM94" s="174"/>
    </row>
    <row r="95" spans="1:49" ht="15.75" x14ac:dyDescent="0.25">
      <c r="A95" s="4"/>
      <c r="B95" s="4"/>
      <c r="C95" s="17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74"/>
      <c r="V95" s="175"/>
      <c r="W95" s="17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175"/>
      <c r="AL95" s="174"/>
      <c r="AM95" s="174"/>
    </row>
    <row r="96" spans="1:49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</sheetData>
  <mergeCells count="7">
    <mergeCell ref="AS67:AU67"/>
    <mergeCell ref="X47:Z47"/>
    <mergeCell ref="AE47:AG47"/>
    <mergeCell ref="X4:Z4"/>
    <mergeCell ref="AE4:AG4"/>
    <mergeCell ref="X34:Z34"/>
    <mergeCell ref="AE34:AG34"/>
  </mergeCells>
  <phoneticPr fontId="41" type="noConversion"/>
  <printOptions horizontalCentered="1" verticalCentered="1"/>
  <pageMargins left="0.12" right="0" top="0" bottom="0" header="0.5" footer="0"/>
  <pageSetup scale="63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2001-04-20T20:51:06Z</cp:lastPrinted>
  <dcterms:created xsi:type="dcterms:W3CDTF">1997-07-25T21:14:12Z</dcterms:created>
  <dcterms:modified xsi:type="dcterms:W3CDTF">2023-09-17T16:49:24Z</dcterms:modified>
</cp:coreProperties>
</file>