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F5BF5D-1BFA-4629-B132-AA527379DA00}" xr6:coauthVersionLast="47" xr6:coauthVersionMax="47" xr10:uidLastSave="{00000000-0000-0000-0000-000000000000}"/>
  <bookViews>
    <workbookView xWindow="-120" yWindow="-120" windowWidth="38640" windowHeight="15720" tabRatio="686" activeTab="1"/>
    <workbookView xWindow="-120" yWindow="-120" windowWidth="38640" windowHeight="15720" tabRatio="895" activeTab="1"/>
    <workbookView xWindow="-120" yWindow="-120" windowWidth="38640" windowHeight="15720" activeTab="1"/>
    <workbookView xWindow="-120" yWindow="-120" windowWidth="38640" windowHeight="15720" tabRatio="601" firstSheet="28" activeTab="32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Amoco!$A$4:$D$40</definedName>
    <definedName name="_xlnm.Print_Area" localSheetId="18">'Amoco Abo'!$A$6:$F$43</definedName>
    <definedName name="_xlnm.Print_Area" localSheetId="0">'by type_area'!$A$2:$M$81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9">'Red C'!$A$2:$F$43</definedName>
    <definedName name="_xlnm.Print_Area" localSheetId="5">SoCal!$A$2:$F$41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6" i="80"/>
  <c r="K46" i="80"/>
  <c r="J47" i="80"/>
  <c r="J48" i="80"/>
  <c r="B55" i="80"/>
  <c r="C55" i="80"/>
  <c r="D55" i="80"/>
  <c r="E55" i="80"/>
  <c r="F55" i="80"/>
  <c r="B56" i="80"/>
  <c r="C56" i="80"/>
  <c r="D56" i="80"/>
  <c r="E56" i="80"/>
  <c r="F56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B62" i="80"/>
  <c r="C62" i="80"/>
  <c r="D62" i="80"/>
  <c r="E62" i="80"/>
  <c r="F62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B76" i="80"/>
  <c r="C76" i="80"/>
  <c r="D76" i="80"/>
  <c r="E76" i="80"/>
  <c r="B79" i="80"/>
  <c r="B80" i="80"/>
  <c r="A118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D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12" i="20"/>
  <c r="B13" i="20"/>
  <c r="B14" i="20"/>
  <c r="B15" i="20"/>
  <c r="B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C56" i="20"/>
  <c r="I56" i="20"/>
  <c r="D5" i="11"/>
  <c r="H5" i="11"/>
  <c r="D6" i="11"/>
  <c r="H6" i="11"/>
  <c r="D7" i="11"/>
  <c r="H7" i="11"/>
  <c r="D8" i="11"/>
  <c r="H8" i="11"/>
  <c r="AB8" i="11"/>
  <c r="AC8" i="11"/>
  <c r="AF8" i="11"/>
  <c r="AI8" i="11"/>
  <c r="AL8" i="11"/>
  <c r="AM8" i="11"/>
  <c r="AN8" i="11"/>
  <c r="AO8" i="11"/>
  <c r="AP8" i="11"/>
  <c r="D9" i="11"/>
  <c r="H9" i="11"/>
  <c r="AC9" i="11"/>
  <c r="AF9" i="11"/>
  <c r="AI9" i="11"/>
  <c r="AL9" i="11"/>
  <c r="AM9" i="11"/>
  <c r="AN9" i="11"/>
  <c r="AO9" i="11"/>
  <c r="AP9" i="11"/>
  <c r="D10" i="11"/>
  <c r="H10" i="11"/>
  <c r="AC10" i="11"/>
  <c r="AF10" i="11"/>
  <c r="AI10" i="11"/>
  <c r="AL10" i="11"/>
  <c r="AM10" i="11"/>
  <c r="AN10" i="11"/>
  <c r="AO10" i="11"/>
  <c r="AP10" i="11"/>
  <c r="D11" i="11"/>
  <c r="H11" i="11"/>
  <c r="AC11" i="11"/>
  <c r="AF11" i="11"/>
  <c r="AI11" i="11"/>
  <c r="AL11" i="11"/>
  <c r="AM11" i="11"/>
  <c r="AN11" i="11"/>
  <c r="AO11" i="11"/>
  <c r="AP11" i="11"/>
  <c r="D12" i="11"/>
  <c r="H12" i="11"/>
  <c r="AC12" i="11"/>
  <c r="AF12" i="11"/>
  <c r="AI12" i="11"/>
  <c r="AL12" i="11"/>
  <c r="AM12" i="11"/>
  <c r="AN12" i="11"/>
  <c r="AO12" i="11"/>
  <c r="AP12" i="11"/>
  <c r="D13" i="11"/>
  <c r="H13" i="11"/>
  <c r="AC13" i="11"/>
  <c r="AF13" i="11"/>
  <c r="AI13" i="11"/>
  <c r="AL13" i="11"/>
  <c r="AM13" i="11"/>
  <c r="AN13" i="11"/>
  <c r="AO13" i="11"/>
  <c r="AP13" i="11"/>
  <c r="D14" i="11"/>
  <c r="H14" i="11"/>
  <c r="AC14" i="11"/>
  <c r="AF14" i="11"/>
  <c r="AI14" i="11"/>
  <c r="AL14" i="11"/>
  <c r="AM14" i="11"/>
  <c r="AN14" i="11"/>
  <c r="AO14" i="11"/>
  <c r="AP14" i="11"/>
  <c r="D15" i="11"/>
  <c r="H15" i="11"/>
  <c r="AC15" i="11"/>
  <c r="AF15" i="11"/>
  <c r="AI15" i="11"/>
  <c r="AL15" i="11"/>
  <c r="AM15" i="11"/>
  <c r="AN15" i="11"/>
  <c r="AO15" i="11"/>
  <c r="AP15" i="11"/>
  <c r="D16" i="11"/>
  <c r="H16" i="11"/>
  <c r="AA16" i="11"/>
  <c r="AC16" i="11"/>
  <c r="AF16" i="11"/>
  <c r="AI16" i="11"/>
  <c r="AL16" i="11"/>
  <c r="AM16" i="11"/>
  <c r="AN16" i="11"/>
  <c r="AO16" i="11"/>
  <c r="AP16" i="11"/>
  <c r="D17" i="11"/>
  <c r="H17" i="11"/>
  <c r="AC17" i="11"/>
  <c r="AF17" i="11"/>
  <c r="AI17" i="11"/>
  <c r="AL17" i="11"/>
  <c r="AM17" i="11"/>
  <c r="AN17" i="11"/>
  <c r="AO17" i="11"/>
  <c r="AP17" i="11"/>
  <c r="D18" i="11"/>
  <c r="H18" i="11"/>
  <c r="AC18" i="11"/>
  <c r="AF18" i="11"/>
  <c r="AI18" i="11"/>
  <c r="AL18" i="11"/>
  <c r="AM18" i="11"/>
  <c r="AN18" i="11"/>
  <c r="AO18" i="11"/>
  <c r="AP18" i="11"/>
  <c r="D19" i="11"/>
  <c r="H19" i="11"/>
  <c r="AC19" i="11"/>
  <c r="AF19" i="11"/>
  <c r="AI19" i="11"/>
  <c r="AL19" i="11"/>
  <c r="AM19" i="11"/>
  <c r="AN19" i="11"/>
  <c r="AO19" i="11"/>
  <c r="AP19" i="11"/>
  <c r="D20" i="11"/>
  <c r="H20" i="11"/>
  <c r="AC20" i="11"/>
  <c r="AE20" i="11"/>
  <c r="AF20" i="11"/>
  <c r="AI20" i="11"/>
  <c r="AL20" i="11"/>
  <c r="AM20" i="11"/>
  <c r="AN20" i="11"/>
  <c r="AO20" i="11"/>
  <c r="AP20" i="11"/>
  <c r="D21" i="11"/>
  <c r="H21" i="11"/>
  <c r="AC21" i="11"/>
  <c r="AF21" i="11"/>
  <c r="AI21" i="11"/>
  <c r="AL21" i="11"/>
  <c r="AM21" i="11"/>
  <c r="AN21" i="11"/>
  <c r="AO21" i="11"/>
  <c r="AP21" i="11"/>
  <c r="D22" i="11"/>
  <c r="H22" i="11"/>
  <c r="AC22" i="11"/>
  <c r="AF22" i="11"/>
  <c r="AI22" i="11"/>
  <c r="AL22" i="11"/>
  <c r="AM22" i="11"/>
  <c r="AN22" i="11"/>
  <c r="AO22" i="11"/>
  <c r="AP22" i="11"/>
  <c r="D23" i="11"/>
  <c r="H23" i="11"/>
  <c r="AC23" i="11"/>
  <c r="AF23" i="11"/>
  <c r="AI23" i="11"/>
  <c r="AL23" i="11"/>
  <c r="AM23" i="11"/>
  <c r="AN23" i="11"/>
  <c r="AO23" i="11"/>
  <c r="AP23" i="11"/>
  <c r="D24" i="11"/>
  <c r="H24" i="11"/>
  <c r="AC24" i="11"/>
  <c r="AF24" i="11"/>
  <c r="AI24" i="11"/>
  <c r="AL24" i="11"/>
  <c r="AM24" i="11"/>
  <c r="AN24" i="11"/>
  <c r="AO24" i="11"/>
  <c r="AP24" i="11"/>
  <c r="D25" i="11"/>
  <c r="H25" i="11"/>
  <c r="AC25" i="11"/>
  <c r="AF25" i="11"/>
  <c r="AI25" i="11"/>
  <c r="AL25" i="11"/>
  <c r="AM25" i="11"/>
  <c r="AN25" i="11"/>
  <c r="AO25" i="11"/>
  <c r="AP25" i="11"/>
  <c r="D26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F9" i="22"/>
  <c r="F10" i="22"/>
  <c r="F11" i="22"/>
  <c r="F12" i="22"/>
  <c r="F13" i="22"/>
  <c r="F14" i="22"/>
  <c r="F15" i="22"/>
  <c r="D16" i="22"/>
  <c r="F16" i="22"/>
  <c r="F17" i="22"/>
  <c r="D18" i="22"/>
  <c r="F18" i="22"/>
  <c r="D19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D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<sst xmlns="http://schemas.openxmlformats.org/spreadsheetml/2006/main" count="668" uniqueCount="206">
  <si>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</si>
  <si>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</si>
  <si>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</si>
  <si>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</si>
  <si>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</si>
  <si>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</si>
  <si>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</si>
  <si>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</si>
  <si>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</si>
  <si>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</si>
  <si>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</si>
  <si>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</si>
  <si>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</si>
  <si>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</si>
  <si>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</si>
  <si>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</si>
  <si>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</si>
  <si>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</si>
  <si>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</si>
  <si>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</si>
  <si>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</si>
  <si>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</si>
  <si>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</si>
  <si>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</si>
  <si>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</si>
  <si>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</si>
  <si>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</si>
  <si>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</si>
  <si>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</si>
  <si>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</si>
  <si>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</si>
  <si>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</si>
  <si>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</si>
  <si>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</si>
  <si>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</si>
  <si>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</si>
  <si>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</si>
  <si>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</si>
  <si>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</si>
  <si>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</si>
  <si>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</si>
  <si>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</si>
  <si>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</si>
  <si>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</si>
  <si>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</si>
  <si>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</si>
  <si>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</si>
  <si>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</si>
  <si>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</si>
  <si>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</si>
  <si>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</si>
  <si>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</si>
  <si>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</si>
  <si>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</si>
  <si>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</si>
  <si>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</si>
  <si>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</si>
  <si>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</si>
  <si>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</si>
  <si>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</si>
  <si>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</si>
  <si>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</si>
  <si>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</si>
  <si>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</si>
  <si>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</si>
  <si>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</si>
  <si>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</si>
  <si>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</si>
  <si>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</si>
  <si>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</si>
  <si>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</si>
  <si>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</si>
  <si>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</si>
  <si>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</si>
  <si>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</si>
  <si>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</si>
  <si>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</si>
  <si>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</si>
  <si>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</si>
  <si>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</si>
  <si>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</si>
  <si>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</si>
  <si>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</si>
  <si>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</si>
  <si>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</si>
  <si>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</si>
  <si>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</si>
  <si>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</si>
  <si>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</si>
  <si>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</si>
  <si>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</si>
  <si>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</si>
  <si>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</si>
  <si>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</si>
  <si>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</si>
  <si>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</si>
  <si>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</si>
  <si>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</si>
  <si>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</si>
  <si>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</si>
  <si>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</si>
  <si>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</si>
  <si>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</si>
  <si>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</si>
  <si>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</si>
  <si>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</si>
  <si>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</si>
  <si>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</si>
  <si>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</si>
  <si>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</si>
  <si>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</si>
  <si>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</si>
  <si>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</si>
  <si>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</si>
  <si>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</si>
  <si>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</si>
  <si>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</si>
  <si>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</si>
  <si>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</si>
  <si>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</si>
  <si>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</si>
  <si>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</si>
  <si>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</si>
  <si>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</si>
  <si>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</si>
  <si>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</si>
  <si>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</si>
  <si>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</si>
  <si>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</si>
  <si>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</si>
  <si>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</si>
  <si>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</si>
  <si>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</si>
  <si>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</si>
  <si>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</si>
  <si>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</si>
  <si>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</si>
  <si>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</si>
  <si>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</si>
  <si>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</si>
  <si>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</si>
  <si>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</si>
  <si>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</si>
  <si>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</si>
  <si>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</si>
  <si>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</si>
  <si>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</si>
  <si>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</si>
  <si>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</si>
  <si>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</si>
  <si>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</si>
  <si>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</si>
  <si>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</si>
  <si>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</si>
  <si>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</si>
  <si>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</si>
  <si>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</si>
  <si>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</si>
  <si>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</si>
  <si>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</si>
  <si>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</si>
  <si>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</si>
  <si>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</si>
  <si>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</si>
  <si>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</si>
  <si>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</si>
  <si>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</si>
  <si>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</si>
  <si>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</si>
  <si>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</si>
  <si>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</si>
  <si>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</si>
  <si>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</si>
  <si>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</si>
  <si>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</si>
  <si>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</si>
  <si>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</si>
  <si>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</si>
  <si>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</si>
  <si>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</si>
  <si>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</si>
  <si>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</si>
  <si>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</si>
  <si>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</si>
  <si>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</si>
  <si>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</si>
  <si>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</si>
  <si>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</si>
  <si>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</si>
  <si>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</si>
  <si>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</si>
  <si>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</si>
  <si>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</si>
  <si>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</si>
  <si>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</si>
  <si>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</si>
  <si>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</si>
  <si>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</si>
  <si>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</si>
  <si>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</si>
  <si>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</si>
  <si>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</si>
  <si>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>if changed to volumetric the volume would be 61,000 mmbtus</t>
  </si>
  <si>
    <t xml:space="preserve">    Amoco Abo Rec</t>
  </si>
  <si>
    <t xml:space="preserve">   Amoco Abo fuel del</t>
  </si>
  <si>
    <t xml:space="preserve">     Florida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</si>
</sst>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5" fontId="22" fillId="0" borderId="0" xfId="1" applyNumberFormat="1" applyFont="1"/>
    <xf numFmtId="7" fontId="38" fillId="0" borderId="1" xfId="1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9" fillId="0" borderId="0" xfId="0" applyNumberFormat="1" applyFont="1"/>
    <xf numFmtId="37" fontId="39" fillId="0" borderId="0" xfId="1" applyNumberFormat="1" applyFont="1"/>
    <xf numFmtId="0" fontId="39" fillId="0" borderId="0" xfId="0" applyFont="1"/>
    <xf numFmtId="0" fontId="39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166" fontId="3" fillId="3" borderId="0" xfId="1" applyNumberFormat="1" applyFont="1" applyFill="1" applyBorder="1"/>
    <xf numFmtId="166" fontId="25" fillId="5" borderId="1" xfId="1" applyNumberFormat="1" applyFont="1" applyFill="1" applyBorder="1"/>
    <xf numFmtId="5" fontId="22" fillId="5" borderId="0" xfId="1" applyNumberFormat="1" applyFont="1" applyFill="1"/>
    <xf numFmtId="37" fontId="25" fillId="5" borderId="0" xfId="1" applyNumberFormat="1" applyFont="1" applyFill="1" applyBorder="1"/>
    <xf numFmtId="37" fontId="25" fillId="5" borderId="0" xfId="1" applyNumberFormat="1" applyFont="1" applyFill="1"/>
    <xf numFmtId="5" fontId="22" fillId="5" borderId="0" xfId="0" applyNumberFormat="1" applyFont="1" applyFill="1"/>
    <xf numFmtId="5" fontId="25" fillId="5" borderId="0" xfId="1" applyNumberFormat="1" applyFont="1" applyFill="1" applyAlignment="1"/>
    <xf numFmtId="166" fontId="25" fillId="5" borderId="0" xfId="1" applyNumberFormat="1" applyFont="1" applyFill="1" applyBorder="1"/>
    <xf numFmtId="5" fontId="25" fillId="5" borderId="0" xfId="1" applyNumberFormat="1" applyFont="1" applyFill="1"/>
    <xf numFmtId="5" fontId="25" fillId="5" borderId="1" xfId="1" applyNumberFormat="1" applyFont="1" applyFill="1" applyBorder="1"/>
    <xf numFmtId="166" fontId="22" fillId="5" borderId="0" xfId="1" applyNumberFormat="1" applyFont="1" applyFill="1"/>
    <xf numFmtId="166" fontId="25" fillId="5" borderId="0" xfId="1" applyNumberFormat="1" applyFont="1" applyFill="1"/>
    <xf numFmtId="5" fontId="9" fillId="5" borderId="0" xfId="1" applyNumberFormat="1" applyFont="1" applyFill="1"/>
    <xf numFmtId="44" fontId="25" fillId="5" borderId="0" xfId="2" applyFont="1" applyFill="1"/>
    <xf numFmtId="7" fontId="25" fillId="5" borderId="1" xfId="0" applyNumberFormat="1" applyFont="1" applyFill="1" applyBorder="1"/>
    <xf numFmtId="7" fontId="38" fillId="5" borderId="1" xfId="1" applyNumberFormat="1" applyFont="1" applyFill="1" applyBorder="1"/>
    <xf numFmtId="5" fontId="25" fillId="5" borderId="1" xfId="0" applyNumberFormat="1" applyFont="1" applyFill="1" applyBorder="1"/>
    <xf numFmtId="192" fontId="25" fillId="5" borderId="0" xfId="0" applyNumberFormat="1" applyFont="1" applyFill="1"/>
    <xf numFmtId="5" fontId="25" fillId="5" borderId="0" xfId="0" applyNumberFormat="1" applyFont="1" applyFill="1" applyBorder="1"/>
    <xf numFmtId="7" fontId="25" fillId="5" borderId="0" xfId="0" applyNumberFormat="1" applyFont="1" applyFill="1"/>
    <xf numFmtId="166" fontId="9" fillId="5" borderId="0" xfId="1" applyNumberFormat="1" applyFont="1" applyFill="1"/>
    <xf numFmtId="5" fontId="3" fillId="5" borderId="0" xfId="1" applyNumberFormat="1" applyFont="1" applyFill="1"/>
    <xf numFmtId="7" fontId="3" fillId="5" borderId="0" xfId="0" applyNumberFormat="1" applyFont="1" applyFill="1"/>
    <xf numFmtId="5" fontId="25" fillId="5" borderId="0" xfId="0" applyNumberFormat="1" applyFont="1" applyFill="1"/>
    <xf numFmtId="5" fontId="36" fillId="5" borderId="1" xfId="0" applyNumberFormat="1" applyFont="1" applyFill="1" applyBorder="1"/>
    <xf numFmtId="5" fontId="25" fillId="5" borderId="0" xfId="0" applyNumberFormat="1" applyFont="1" applyFill="1" applyAlignment="1">
      <alignment horizontal="left" indent="2"/>
    </xf>
    <xf numFmtId="166" fontId="3" fillId="6" borderId="0" xfId="1" applyNumberFormat="1" applyFont="1" applyFill="1"/>
    <xf numFmtId="5" fontId="22" fillId="6" borderId="0" xfId="1" applyNumberFormat="1" applyFont="1" applyFill="1"/>
    <xf numFmtId="166" fontId="9" fillId="6" borderId="0" xfId="1" applyNumberFormat="1" applyFont="1" applyFill="1"/>
    <xf numFmtId="5" fontId="25" fillId="6" borderId="1" xfId="0" applyNumberFormat="1" applyFont="1" applyFill="1" applyBorder="1"/>
    <xf numFmtId="166" fontId="22" fillId="6" borderId="0" xfId="1" applyNumberFormat="1" applyFont="1" applyFill="1"/>
    <xf numFmtId="166" fontId="25" fillId="6" borderId="1" xfId="0" applyNumberFormat="1" applyFont="1" applyFill="1" applyBorder="1"/>
    <xf numFmtId="5" fontId="36" fillId="6" borderId="1" xfId="0" applyNumberFormat="1" applyFont="1" applyFill="1" applyBorder="1"/>
    <xf numFmtId="5" fontId="9" fillId="6" borderId="0" xfId="1" applyNumberFormat="1" applyFont="1" applyFill="1"/>
    <xf numFmtId="0" fontId="34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7" fontId="27" fillId="5" borderId="0" xfId="1" applyNumberFormat="1" applyFont="1" applyFill="1"/>
    <xf numFmtId="5" fontId="11" fillId="0" borderId="0" xfId="2" applyNumberFormat="1" applyFont="1"/>
    <xf numFmtId="166" fontId="11" fillId="0" borderId="0" xfId="1" applyNumberFormat="1" applyFont="1" applyFill="1" applyAlignment="1"/>
    <xf numFmtId="166" fontId="27" fillId="5" borderId="0" xfId="1" applyNumberFormat="1" applyFont="1" applyFill="1"/>
    <xf numFmtId="166" fontId="11" fillId="3" borderId="0" xfId="1" applyNumberFormat="1" applyFont="1" applyFill="1" applyAlignment="1"/>
    <xf numFmtId="5" fontId="9" fillId="0" borderId="1" xfId="0" applyNumberFormat="1" applyFont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9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901"/>
    </sheetNames>
    <sheetDataSet>
      <sheetData sheetId="0">
        <row r="39">
          <cell r="H39">
            <v>2.0299999999999998</v>
          </cell>
          <cell r="K39">
            <v>1.82</v>
          </cell>
          <cell r="M39">
            <v>1.96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topLeftCell="A62" workbookViewId="3">
      <selection activeCell="D11" sqref="D11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9.85546875" bestFit="1" customWidth="1"/>
    <col min="5" max="5" width="10.7109375" bestFit="1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0.42578125" bestFit="1" customWidth="1"/>
    <col min="13" max="13" width="34.42578125" customWidth="1"/>
  </cols>
  <sheetData>
    <row r="1" spans="1:32" ht="15" x14ac:dyDescent="0.25">
      <c r="A1" s="365"/>
    </row>
    <row r="2" spans="1:32" ht="12.95" customHeight="1" x14ac:dyDescent="0.2">
      <c r="A2" s="34" t="s">
        <v>143</v>
      </c>
      <c r="D2" s="7"/>
      <c r="I2" s="413" t="s">
        <v>79</v>
      </c>
      <c r="J2" s="416"/>
      <c r="K2" s="32"/>
    </row>
    <row r="3" spans="1:32" ht="12.95" customHeight="1" x14ac:dyDescent="0.2">
      <c r="D3" s="7"/>
      <c r="I3" s="414" t="s">
        <v>30</v>
      </c>
      <c r="J3" s="417">
        <f>+summary!H3</f>
        <v>1.82</v>
      </c>
      <c r="K3" s="434">
        <f ca="1">NOW()</f>
        <v>37158.744002083331</v>
      </c>
    </row>
    <row r="4" spans="1:32" ht="12.95" customHeight="1" x14ac:dyDescent="0.2">
      <c r="A4" s="34" t="s">
        <v>149</v>
      </c>
      <c r="C4" s="34" t="s">
        <v>5</v>
      </c>
      <c r="D4" s="7"/>
      <c r="I4" s="415" t="s">
        <v>31</v>
      </c>
      <c r="J4" s="417">
        <f>+summary!H4</f>
        <v>1.96</v>
      </c>
      <c r="K4" s="32"/>
    </row>
    <row r="5" spans="1:32" ht="12.95" customHeight="1" x14ac:dyDescent="0.2">
      <c r="D5" s="7"/>
      <c r="I5" s="414" t="s">
        <v>118</v>
      </c>
      <c r="J5" s="417">
        <f>+summary!H5</f>
        <v>2.0299999999999998</v>
      </c>
      <c r="K5" s="32"/>
    </row>
    <row r="6" spans="1:32" ht="12" customHeight="1" x14ac:dyDescent="0.2"/>
    <row r="7" spans="1:32" ht="12.95" customHeight="1" x14ac:dyDescent="0.2">
      <c r="A7" s="432" t="s">
        <v>176</v>
      </c>
      <c r="B7" s="433"/>
      <c r="AD7" s="32"/>
      <c r="AE7" s="32"/>
      <c r="AF7" s="32"/>
    </row>
    <row r="8" spans="1:32" ht="15.95" customHeight="1" outlineLevel="2" x14ac:dyDescent="0.2">
      <c r="A8" s="32"/>
      <c r="B8" s="47"/>
      <c r="C8" s="430" t="s">
        <v>174</v>
      </c>
      <c r="D8" s="12" t="s">
        <v>153</v>
      </c>
      <c r="E8" s="12" t="s">
        <v>162</v>
      </c>
      <c r="F8" s="2" t="s">
        <v>152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96" t="s">
        <v>90</v>
      </c>
      <c r="B9" s="422" t="s">
        <v>160</v>
      </c>
      <c r="C9" s="431" t="s">
        <v>175</v>
      </c>
      <c r="D9" s="462" t="s">
        <v>0</v>
      </c>
      <c r="E9" s="39" t="s">
        <v>161</v>
      </c>
      <c r="F9" s="39" t="s">
        <v>150</v>
      </c>
      <c r="G9" s="420" t="s">
        <v>156</v>
      </c>
      <c r="H9" s="397" t="s">
        <v>102</v>
      </c>
      <c r="I9" s="396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96" t="s">
        <v>166</v>
      </c>
    </row>
    <row r="12" spans="1:32" ht="15.95" customHeight="1" outlineLevel="1" x14ac:dyDescent="0.2">
      <c r="A12" s="206" t="s">
        <v>130</v>
      </c>
      <c r="B12" s="372">
        <f>+Calpine!D41</f>
        <v>99866.06</v>
      </c>
      <c r="C12" s="399">
        <f>+B12/$J$4</f>
        <v>50952.071428571428</v>
      </c>
      <c r="D12" s="14">
        <f>+Calpine!D47</f>
        <v>139768</v>
      </c>
      <c r="E12" s="70">
        <f>+C12-D12</f>
        <v>-88815.92857142858</v>
      </c>
      <c r="F12" s="394">
        <f>+Calpine!A41</f>
        <v>37157</v>
      </c>
      <c r="G12" s="205"/>
      <c r="H12" s="206" t="s">
        <v>100</v>
      </c>
      <c r="I12" s="378"/>
      <c r="J12" s="70"/>
      <c r="K12" s="32"/>
    </row>
    <row r="13" spans="1:32" ht="15.95" customHeight="1" outlineLevel="2" x14ac:dyDescent="0.2">
      <c r="A13" s="32" t="s">
        <v>142</v>
      </c>
      <c r="B13" s="372">
        <f>+'Citizens-Griffith'!D41</f>
        <v>-58137.479999999996</v>
      </c>
      <c r="C13" s="398">
        <f>+B13/$J$4</f>
        <v>-29661.979591836734</v>
      </c>
      <c r="D13" s="14">
        <f>+'Citizens-Griffith'!D48</f>
        <v>-27272</v>
      </c>
      <c r="E13" s="70">
        <f>+C13-D13</f>
        <v>-2389.9795918367345</v>
      </c>
      <c r="F13" s="394">
        <f>+'Citizens-Griffith'!A41</f>
        <v>37157</v>
      </c>
      <c r="G13" s="205" t="s">
        <v>159</v>
      </c>
      <c r="H13" s="32" t="s">
        <v>100</v>
      </c>
      <c r="I13" s="32"/>
      <c r="J13" s="32"/>
      <c r="K13" s="32"/>
    </row>
    <row r="14" spans="1:32" ht="15.95" customHeight="1" outlineLevel="2" x14ac:dyDescent="0.2">
      <c r="A14" s="32" t="s">
        <v>136</v>
      </c>
      <c r="B14" s="372">
        <f>+'NS Steel'!D41</f>
        <v>-443027.86</v>
      </c>
      <c r="C14" s="398">
        <f>+B14/$J$4</f>
        <v>-226034.62244897959</v>
      </c>
      <c r="D14" s="14">
        <f>+'NS Steel'!D50</f>
        <v>-88747</v>
      </c>
      <c r="E14" s="70">
        <f>+C14-D14</f>
        <v>-137287.62244897959</v>
      </c>
      <c r="F14" s="395">
        <f>+'NS Steel'!A41</f>
        <v>37156</v>
      </c>
      <c r="G14" s="205" t="s">
        <v>159</v>
      </c>
      <c r="H14" s="32" t="s">
        <v>101</v>
      </c>
      <c r="I14" s="32" t="s">
        <v>197</v>
      </c>
      <c r="J14" s="32"/>
      <c r="K14" s="32"/>
    </row>
    <row r="15" spans="1:32" ht="15.95" customHeight="1" outlineLevel="1" x14ac:dyDescent="0.2">
      <c r="A15" s="206" t="s">
        <v>138</v>
      </c>
      <c r="B15" s="375">
        <f>+Citizens!D18</f>
        <v>-611739.05000000005</v>
      </c>
      <c r="C15" s="400">
        <f>+B15/$J$4</f>
        <v>-312111.76020408166</v>
      </c>
      <c r="D15" s="376">
        <f>+Citizens!D24</f>
        <v>-77659</v>
      </c>
      <c r="E15" s="72">
        <f>+C15-D15</f>
        <v>-234452.76020408166</v>
      </c>
      <c r="F15" s="394">
        <f>+Citizens!A18</f>
        <v>37156</v>
      </c>
      <c r="G15" s="205"/>
      <c r="H15" s="206" t="s">
        <v>100</v>
      </c>
      <c r="I15" s="454" t="s">
        <v>196</v>
      </c>
      <c r="J15" s="32"/>
      <c r="K15" s="32"/>
      <c r="T15" s="267"/>
    </row>
    <row r="16" spans="1:32" ht="15.95" customHeight="1" outlineLevel="2" x14ac:dyDescent="0.2">
      <c r="A16" s="153" t="s">
        <v>167</v>
      </c>
      <c r="B16" s="418">
        <f>SUBTOTAL(9,B12:B15)</f>
        <v>-1013038.3300000001</v>
      </c>
      <c r="C16" s="425">
        <f>SUBTOTAL(9,C12:C15)</f>
        <v>-516856.29081632651</v>
      </c>
      <c r="D16" s="426">
        <f>SUBTOTAL(9,D12:D15)</f>
        <v>-53910</v>
      </c>
      <c r="E16" s="427">
        <f>SUBTOTAL(9,E12:E15)</f>
        <v>-462946.29081632657</v>
      </c>
      <c r="F16" s="394"/>
      <c r="G16" s="205"/>
      <c r="H16" s="206"/>
      <c r="I16" s="378"/>
      <c r="J16" s="32"/>
      <c r="K16" s="32"/>
      <c r="T16" s="267"/>
    </row>
    <row r="17" spans="1:20" ht="12.95" customHeight="1" outlineLevel="2" x14ac:dyDescent="0.2">
      <c r="G17" s="7"/>
    </row>
    <row r="18" spans="1:20" ht="15.95" customHeight="1" outlineLevel="2" x14ac:dyDescent="0.2">
      <c r="A18" s="429" t="s">
        <v>58</v>
      </c>
      <c r="G18" s="7"/>
    </row>
    <row r="19" spans="1:20" ht="15.95" customHeight="1" outlineLevel="2" x14ac:dyDescent="0.2">
      <c r="A19" s="32" t="s">
        <v>72</v>
      </c>
      <c r="B19" s="373">
        <f>+transcol!$D$43</f>
        <v>34184.129999999997</v>
      </c>
      <c r="C19" s="398">
        <f>+B19/$J$4</f>
        <v>17440.882653061224</v>
      </c>
      <c r="D19" s="14">
        <f>+transcol!D50</f>
        <v>-39922</v>
      </c>
      <c r="E19" s="70">
        <f>+C19-D19</f>
        <v>57362.882653061228</v>
      </c>
      <c r="F19" s="395">
        <f>+transcol!A43</f>
        <v>37156</v>
      </c>
      <c r="G19" s="205" t="s">
        <v>158</v>
      </c>
      <c r="H19" s="32" t="s">
        <v>116</v>
      </c>
      <c r="I19" s="32"/>
      <c r="J19" s="32"/>
      <c r="K19" s="32"/>
      <c r="T19" s="267"/>
    </row>
    <row r="20" spans="1:20" ht="15.95" customHeight="1" outlineLevel="2" x14ac:dyDescent="0.2">
      <c r="A20" s="206" t="s">
        <v>96</v>
      </c>
      <c r="B20" s="375">
        <f>+burlington!D42</f>
        <v>3707.34</v>
      </c>
      <c r="C20" s="402">
        <f>+B20/$J$3</f>
        <v>2037</v>
      </c>
      <c r="D20" s="376">
        <f>+burlington!D49</f>
        <v>2037</v>
      </c>
      <c r="E20" s="72">
        <f>+C20-D20</f>
        <v>0</v>
      </c>
      <c r="F20" s="394">
        <f>+burlington!A42</f>
        <v>37156</v>
      </c>
      <c r="G20" s="205" t="s">
        <v>159</v>
      </c>
      <c r="H20" s="32" t="s">
        <v>114</v>
      </c>
      <c r="I20" s="32" t="s">
        <v>147</v>
      </c>
      <c r="J20" s="32"/>
      <c r="K20" s="32"/>
    </row>
    <row r="21" spans="1:20" ht="15.95" customHeight="1" outlineLevel="2" x14ac:dyDescent="0.2">
      <c r="A21" s="153" t="s">
        <v>169</v>
      </c>
      <c r="B21" s="418">
        <f>SUBTOTAL(9,B19:B20)</f>
        <v>37891.47</v>
      </c>
      <c r="C21" s="419">
        <f>SUBTOTAL(9,C19:C20)</f>
        <v>19477.882653061224</v>
      </c>
      <c r="D21" s="426">
        <f>SUBTOTAL(9,D19:D20)</f>
        <v>-37885</v>
      </c>
      <c r="E21" s="427">
        <f>SUBTOTAL(9,E19:E20)</f>
        <v>57362.882653061228</v>
      </c>
      <c r="F21" s="394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396" t="s">
        <v>170</v>
      </c>
      <c r="B23" s="458"/>
      <c r="C23" s="459"/>
      <c r="D23" s="460"/>
      <c r="E23" s="460"/>
      <c r="F23" s="460"/>
      <c r="G23" s="461"/>
      <c r="H23" s="460"/>
      <c r="I23" s="460"/>
    </row>
    <row r="24" spans="1:20" ht="15.95" customHeight="1" outlineLevel="2" x14ac:dyDescent="0.2">
      <c r="A24" s="206" t="s">
        <v>88</v>
      </c>
      <c r="B24" s="372">
        <f>+NNG!$D$24</f>
        <v>450705.56</v>
      </c>
      <c r="C24" s="398">
        <f t="shared" ref="C24:C35" si="0">+B24/$J$4</f>
        <v>229951.81632653062</v>
      </c>
      <c r="D24" s="14">
        <f>+NNG!D34</f>
        <v>-3958</v>
      </c>
      <c r="E24" s="70">
        <f t="shared" ref="E24:E37" si="1">+C24-D24</f>
        <v>233909.81632653062</v>
      </c>
      <c r="F24" s="394">
        <f>+NNG!A24</f>
        <v>37156</v>
      </c>
      <c r="G24" s="421" t="s">
        <v>157</v>
      </c>
      <c r="H24" s="206" t="s">
        <v>101</v>
      </c>
      <c r="I24" s="32"/>
      <c r="J24" s="32"/>
      <c r="K24" s="32"/>
    </row>
    <row r="25" spans="1:20" ht="15.95" customHeight="1" outlineLevel="2" x14ac:dyDescent="0.2">
      <c r="A25" s="32" t="s">
        <v>81</v>
      </c>
      <c r="B25" s="372">
        <f>+Conoco!$F$41</f>
        <v>397931.69</v>
      </c>
      <c r="C25" s="398">
        <f t="shared" si="0"/>
        <v>203026.37244897959</v>
      </c>
      <c r="D25" s="14">
        <f>+Conoco!D48</f>
        <v>-3976</v>
      </c>
      <c r="E25" s="70">
        <f t="shared" si="1"/>
        <v>207002.37244897959</v>
      </c>
      <c r="F25" s="394">
        <f>+Conoco!A41</f>
        <v>37157</v>
      </c>
      <c r="G25" s="205" t="s">
        <v>159</v>
      </c>
      <c r="H25" s="32" t="s">
        <v>114</v>
      </c>
      <c r="I25" s="32" t="s">
        <v>192</v>
      </c>
      <c r="J25" s="32"/>
      <c r="K25" s="32"/>
    </row>
    <row r="26" spans="1:20" ht="15.95" customHeight="1" outlineLevel="2" x14ac:dyDescent="0.2">
      <c r="A26" s="32" t="s">
        <v>3</v>
      </c>
      <c r="B26" s="372">
        <f>+'Amoco Abo'!$F$43</f>
        <v>404595.13999999996</v>
      </c>
      <c r="C26" s="398">
        <f t="shared" si="0"/>
        <v>206426.09183673467</v>
      </c>
      <c r="D26" s="14">
        <f>+'Amoco Abo'!D49</f>
        <v>-253009</v>
      </c>
      <c r="E26" s="70">
        <f t="shared" si="1"/>
        <v>459435.09183673467</v>
      </c>
      <c r="F26" s="395">
        <f>+'Amoco Abo'!A43</f>
        <v>37156</v>
      </c>
      <c r="G26" s="205" t="s">
        <v>158</v>
      </c>
      <c r="H26" s="32" t="s">
        <v>116</v>
      </c>
      <c r="I26" s="32" t="s">
        <v>193</v>
      </c>
      <c r="J26" s="32"/>
      <c r="K26" s="32"/>
    </row>
    <row r="27" spans="1:20" ht="15.95" customHeight="1" outlineLevel="2" x14ac:dyDescent="0.2">
      <c r="A27" s="32" t="s">
        <v>108</v>
      </c>
      <c r="B27" s="372">
        <f>+KN_Westar!F41</f>
        <v>457324.94</v>
      </c>
      <c r="C27" s="398">
        <f t="shared" si="0"/>
        <v>233329.05102040817</v>
      </c>
      <c r="D27" s="14">
        <f>+KN_Westar!D48</f>
        <v>22799</v>
      </c>
      <c r="E27" s="70">
        <f t="shared" si="1"/>
        <v>210530.05102040817</v>
      </c>
      <c r="F27" s="395">
        <f>+KN_Westar!A41</f>
        <v>37149</v>
      </c>
      <c r="G27" s="205" t="s">
        <v>159</v>
      </c>
      <c r="H27" s="32" t="s">
        <v>101</v>
      </c>
      <c r="I27" s="32"/>
      <c r="J27" s="32"/>
      <c r="K27" s="32"/>
    </row>
    <row r="28" spans="1:20" ht="15.95" customHeight="1" outlineLevel="2" x14ac:dyDescent="0.2">
      <c r="A28" s="32" t="s">
        <v>129</v>
      </c>
      <c r="B28" s="372">
        <f>+DEFS!F53</f>
        <v>-138016.5400000005</v>
      </c>
      <c r="C28" s="399">
        <f t="shared" si="0"/>
        <v>-70416.602040816579</v>
      </c>
      <c r="D28" s="14">
        <f>+DEFS!M53</f>
        <v>257661</v>
      </c>
      <c r="E28" s="70">
        <f t="shared" si="1"/>
        <v>-328077.60204081656</v>
      </c>
      <c r="F28" s="395">
        <f>+DEFS!A40</f>
        <v>37156</v>
      </c>
      <c r="G28" s="205" t="s">
        <v>158</v>
      </c>
      <c r="H28" s="32" t="s">
        <v>101</v>
      </c>
      <c r="I28" s="32" t="s">
        <v>119</v>
      </c>
      <c r="J28" s="32"/>
      <c r="K28" s="32"/>
    </row>
    <row r="29" spans="1:20" ht="15.95" customHeight="1" outlineLevel="2" x14ac:dyDescent="0.2">
      <c r="A29" s="32" t="s">
        <v>111</v>
      </c>
      <c r="B29" s="372">
        <f>+CIG!D43</f>
        <v>392148.28</v>
      </c>
      <c r="C29" s="398">
        <f t="shared" si="0"/>
        <v>200075.6530612245</v>
      </c>
      <c r="D29" s="14">
        <f>+CIG!D49</f>
        <v>21580</v>
      </c>
      <c r="E29" s="70">
        <f t="shared" si="1"/>
        <v>178495.6530612245</v>
      </c>
      <c r="F29" s="395">
        <f>+CIG!A43</f>
        <v>37156</v>
      </c>
      <c r="G29" s="205" t="s">
        <v>159</v>
      </c>
      <c r="H29" s="32" t="s">
        <v>114</v>
      </c>
      <c r="I29" s="32" t="s">
        <v>201</v>
      </c>
      <c r="J29" s="32"/>
      <c r="K29" s="32"/>
    </row>
    <row r="30" spans="1:20" ht="18" customHeight="1" outlineLevel="1" x14ac:dyDescent="0.2">
      <c r="A30" s="32" t="s">
        <v>2</v>
      </c>
      <c r="B30" s="372">
        <f>+mewborne!$J$43</f>
        <v>357730.67</v>
      </c>
      <c r="C30" s="398">
        <f t="shared" si="0"/>
        <v>182515.64795918367</v>
      </c>
      <c r="D30" s="14">
        <f>+mewborne!D49</f>
        <v>143063</v>
      </c>
      <c r="E30" s="70">
        <f t="shared" si="1"/>
        <v>39452.647959183669</v>
      </c>
      <c r="F30" s="395">
        <f>+mewborne!A43</f>
        <v>37156</v>
      </c>
      <c r="G30" s="205" t="s">
        <v>159</v>
      </c>
      <c r="H30" s="32" t="s">
        <v>100</v>
      </c>
      <c r="I30" s="32"/>
      <c r="J30" s="32"/>
      <c r="K30" s="32"/>
    </row>
    <row r="31" spans="1:20" ht="18" customHeight="1" x14ac:dyDescent="0.2">
      <c r="A31" s="32" t="s">
        <v>151</v>
      </c>
      <c r="B31" s="372">
        <f>+PGETX!$H$39</f>
        <v>457833.26</v>
      </c>
      <c r="C31" s="398">
        <f t="shared" si="0"/>
        <v>233588.39795918367</v>
      </c>
      <c r="D31" s="14">
        <f>+PGETX!E48</f>
        <v>110137</v>
      </c>
      <c r="E31" s="70">
        <f t="shared" si="1"/>
        <v>123451.39795918367</v>
      </c>
      <c r="F31" s="395">
        <f>+PGETX!E39</f>
        <v>37157</v>
      </c>
      <c r="G31" s="205" t="s">
        <v>157</v>
      </c>
      <c r="H31" s="32" t="s">
        <v>103</v>
      </c>
      <c r="I31" s="32" t="s">
        <v>195</v>
      </c>
      <c r="J31" s="32"/>
      <c r="K31" s="32"/>
    </row>
    <row r="32" spans="1:20" ht="17.100000000000001" customHeight="1" x14ac:dyDescent="0.2">
      <c r="A32" s="32" t="s">
        <v>83</v>
      </c>
      <c r="B32" s="372">
        <f>+PNM!$D$23</f>
        <v>228605.31</v>
      </c>
      <c r="C32" s="398">
        <f t="shared" si="0"/>
        <v>116635.36224489796</v>
      </c>
      <c r="D32" s="14">
        <f>+PNM!D30</f>
        <v>57836</v>
      </c>
      <c r="E32" s="70">
        <f t="shared" si="1"/>
        <v>58799.362244897959</v>
      </c>
      <c r="F32" s="395">
        <f>+PNM!A23</f>
        <v>37156</v>
      </c>
      <c r="G32" s="205" t="s">
        <v>158</v>
      </c>
      <c r="H32" s="32" t="s">
        <v>116</v>
      </c>
      <c r="I32" s="32"/>
      <c r="J32" s="32"/>
      <c r="K32" s="32"/>
    </row>
    <row r="33" spans="1:12" ht="17.100000000000001" customHeight="1" x14ac:dyDescent="0.2">
      <c r="A33" s="32" t="s">
        <v>104</v>
      </c>
      <c r="B33" s="372">
        <f>+EOG!J41</f>
        <v>56367.64</v>
      </c>
      <c r="C33" s="398">
        <f t="shared" si="0"/>
        <v>28759</v>
      </c>
      <c r="D33" s="14">
        <f>+EOG!D48</f>
        <v>-98459</v>
      </c>
      <c r="E33" s="70">
        <f t="shared" si="1"/>
        <v>127218</v>
      </c>
      <c r="F33" s="394">
        <f>+EOG!A41</f>
        <v>37156</v>
      </c>
      <c r="G33" s="205" t="s">
        <v>159</v>
      </c>
      <c r="H33" s="32" t="s">
        <v>103</v>
      </c>
      <c r="I33" s="32"/>
      <c r="J33" s="32"/>
      <c r="K33" s="32"/>
    </row>
    <row r="34" spans="1:12" ht="17.100000000000001" customHeight="1" x14ac:dyDescent="0.2">
      <c r="A34" s="32" t="s">
        <v>134</v>
      </c>
      <c r="B34" s="372">
        <f>+SidR!D41</f>
        <v>30842.25</v>
      </c>
      <c r="C34" s="398">
        <f t="shared" si="0"/>
        <v>15735.841836734695</v>
      </c>
      <c r="D34" s="14">
        <f>+SidR!D48</f>
        <v>13079</v>
      </c>
      <c r="E34" s="70">
        <f t="shared" si="1"/>
        <v>2656.8418367346949</v>
      </c>
      <c r="F34" s="395">
        <f>+SidR!A41</f>
        <v>37156</v>
      </c>
      <c r="G34" s="205" t="s">
        <v>157</v>
      </c>
      <c r="H34" s="32" t="s">
        <v>103</v>
      </c>
      <c r="I34" s="32"/>
      <c r="J34" s="32"/>
      <c r="K34" s="32"/>
    </row>
    <row r="35" spans="1:12" ht="17.100000000000001" customHeight="1" x14ac:dyDescent="0.2">
      <c r="A35" s="32" t="s">
        <v>110</v>
      </c>
      <c r="B35" s="372">
        <f>+Continental!F43</f>
        <v>5737.33</v>
      </c>
      <c r="C35" s="399">
        <f t="shared" si="0"/>
        <v>2927.2091836734694</v>
      </c>
      <c r="D35" s="14">
        <f>+Continental!D50</f>
        <v>-13387</v>
      </c>
      <c r="E35" s="70">
        <f t="shared" si="1"/>
        <v>16314.209183673469</v>
      </c>
      <c r="F35" s="395">
        <f>+Continental!A43</f>
        <v>37156</v>
      </c>
      <c r="G35" s="205" t="s">
        <v>159</v>
      </c>
      <c r="H35" s="32" t="s">
        <v>116</v>
      </c>
      <c r="I35" s="32"/>
      <c r="J35" s="32"/>
      <c r="K35" s="32"/>
    </row>
    <row r="36" spans="1:12" ht="17.100000000000001" customHeight="1" x14ac:dyDescent="0.2">
      <c r="A36" s="32" t="s">
        <v>132</v>
      </c>
      <c r="B36" s="372">
        <f>+EPFS!D41</f>
        <v>-42264.86</v>
      </c>
      <c r="C36" s="399">
        <f>+B36/$J$5</f>
        <v>-20820.128078817736</v>
      </c>
      <c r="D36" s="14">
        <f>+EPFS!D47</f>
        <v>-4442</v>
      </c>
      <c r="E36" s="70">
        <f t="shared" si="1"/>
        <v>-16378.128078817736</v>
      </c>
      <c r="F36" s="394">
        <f>+EPFS!A41</f>
        <v>37157</v>
      </c>
      <c r="G36" s="205" t="s">
        <v>158</v>
      </c>
      <c r="H36" s="32" t="s">
        <v>103</v>
      </c>
      <c r="I36" s="32"/>
      <c r="J36" s="32"/>
      <c r="K36" s="32"/>
    </row>
    <row r="37" spans="1:12" ht="17.100000000000001" customHeight="1" x14ac:dyDescent="0.2">
      <c r="A37" s="206" t="s">
        <v>80</v>
      </c>
      <c r="B37" s="375">
        <f>+Agave!$D$24</f>
        <v>132443.06999999998</v>
      </c>
      <c r="C37" s="400">
        <f>+B37/$J$4</f>
        <v>67572.994897959172</v>
      </c>
      <c r="D37" s="376">
        <f>+Agave!D31</f>
        <v>33126</v>
      </c>
      <c r="E37" s="72">
        <f t="shared" si="1"/>
        <v>34446.994897959172</v>
      </c>
      <c r="F37" s="394">
        <f>+Agave!A24</f>
        <v>37156</v>
      </c>
      <c r="G37" s="205" t="s">
        <v>198</v>
      </c>
      <c r="H37" s="206" t="s">
        <v>103</v>
      </c>
      <c r="I37" s="32"/>
      <c r="J37" s="32"/>
      <c r="K37" s="32"/>
    </row>
    <row r="38" spans="1:12" ht="17.100000000000001" customHeight="1" x14ac:dyDescent="0.2">
      <c r="A38" s="153" t="s">
        <v>172</v>
      </c>
      <c r="B38" s="418">
        <f>SUBTOTAL(9,B24:B37)</f>
        <v>3191983.7399999993</v>
      </c>
      <c r="C38" s="425">
        <f>SUBTOTAL(9,C24:C37)</f>
        <v>1629306.7086558761</v>
      </c>
      <c r="D38" s="426">
        <f>SUBTOTAL(9,D24:D37)</f>
        <v>282050</v>
      </c>
      <c r="E38" s="427">
        <f>SUBTOTAL(9,E24:E37)</f>
        <v>1347256.7086558756</v>
      </c>
      <c r="F38" s="394"/>
      <c r="G38" s="379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173</v>
      </c>
      <c r="B40" s="418">
        <f>SUBTOTAL(9,B12:B37)</f>
        <v>2216836.8799999994</v>
      </c>
      <c r="C40" s="425">
        <f>SUBTOTAL(9,C12:C37)</f>
        <v>1131928.3004926108</v>
      </c>
      <c r="D40" s="426">
        <f>SUBTOTAL(9,D12:D37)</f>
        <v>190255</v>
      </c>
      <c r="E40" s="427">
        <f>SUBTOTAL(9,E12:E37)</f>
        <v>941673.30049261055</v>
      </c>
      <c r="F40" s="394"/>
      <c r="G40" s="206"/>
      <c r="H40" s="32"/>
      <c r="I40" s="206"/>
      <c r="J40" s="32"/>
      <c r="K40" s="32"/>
      <c r="L40" s="32"/>
    </row>
    <row r="41" spans="1:12" ht="12.95" customHeight="1" x14ac:dyDescent="0.2">
      <c r="A41" s="206"/>
      <c r="B41" s="372"/>
      <c r="C41" s="398"/>
      <c r="D41" s="398"/>
      <c r="E41" s="398"/>
      <c r="F41" s="379"/>
      <c r="G41" s="32"/>
      <c r="I41" s="32"/>
      <c r="J41" s="32"/>
      <c r="K41" s="32"/>
      <c r="L41" s="32"/>
    </row>
    <row r="42" spans="1:12" ht="14.1" customHeight="1" x14ac:dyDescent="0.2"/>
    <row r="43" spans="1:12" ht="12.95" customHeight="1" x14ac:dyDescent="0.2"/>
    <row r="44" spans="1:12" ht="13.5" customHeight="1" x14ac:dyDescent="0.2"/>
    <row r="45" spans="1:12" ht="13.5" customHeight="1" outlineLevel="2" x14ac:dyDescent="0.2">
      <c r="A45" s="34" t="s">
        <v>143</v>
      </c>
      <c r="D45" s="7"/>
      <c r="I45" s="413" t="s">
        <v>79</v>
      </c>
      <c r="J45" s="416"/>
      <c r="K45" s="32"/>
    </row>
    <row r="46" spans="1:12" ht="13.5" customHeight="1" outlineLevel="2" x14ac:dyDescent="0.2">
      <c r="D46" s="7"/>
      <c r="I46" s="414" t="s">
        <v>30</v>
      </c>
      <c r="J46" s="417">
        <f>+J3</f>
        <v>1.82</v>
      </c>
      <c r="K46" s="434">
        <f ca="1">NOW()</f>
        <v>37158.744002083331</v>
      </c>
    </row>
    <row r="47" spans="1:12" ht="13.5" customHeight="1" outlineLevel="2" x14ac:dyDescent="0.2">
      <c r="A47" s="34" t="s">
        <v>149</v>
      </c>
      <c r="C47" s="34" t="s">
        <v>5</v>
      </c>
      <c r="D47" s="7"/>
      <c r="I47" s="415" t="s">
        <v>31</v>
      </c>
      <c r="J47" s="417">
        <f>+J4</f>
        <v>1.96</v>
      </c>
      <c r="K47" s="32"/>
    </row>
    <row r="48" spans="1:12" ht="13.5" customHeight="1" outlineLevel="1" x14ac:dyDescent="0.2">
      <c r="D48" s="7"/>
      <c r="I48" s="414" t="s">
        <v>118</v>
      </c>
      <c r="J48" s="417">
        <f>+J5</f>
        <v>2.0299999999999998</v>
      </c>
      <c r="K48" s="32"/>
    </row>
    <row r="49" spans="1:19" ht="13.5" customHeight="1" outlineLevel="2" x14ac:dyDescent="0.2"/>
    <row r="50" spans="1:19" ht="13.5" customHeight="1" outlineLevel="2" x14ac:dyDescent="0.2">
      <c r="A50" s="432" t="s">
        <v>177</v>
      </c>
      <c r="B50" s="433"/>
    </row>
    <row r="51" spans="1:19" ht="13.5" customHeight="1" outlineLevel="2" x14ac:dyDescent="0.2">
      <c r="A51" s="32"/>
      <c r="C51" s="435" t="s">
        <v>163</v>
      </c>
      <c r="D51" s="12" t="s">
        <v>180</v>
      </c>
      <c r="E51" s="12" t="s">
        <v>182</v>
      </c>
      <c r="F51" s="2" t="s">
        <v>152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">
      <c r="A52" s="396" t="s">
        <v>90</v>
      </c>
      <c r="B52" s="431" t="s">
        <v>0</v>
      </c>
      <c r="C52" s="408" t="s">
        <v>179</v>
      </c>
      <c r="D52" s="39" t="s">
        <v>181</v>
      </c>
      <c r="E52" s="39" t="s">
        <v>183</v>
      </c>
      <c r="F52" s="39" t="s">
        <v>150</v>
      </c>
      <c r="G52" s="420" t="s">
        <v>156</v>
      </c>
      <c r="H52" s="397" t="s">
        <v>102</v>
      </c>
      <c r="I52" s="396" t="s">
        <v>99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">
      <c r="B53" s="296"/>
      <c r="C53" s="252"/>
    </row>
    <row r="54" spans="1:19" ht="13.5" customHeight="1" outlineLevel="1" x14ac:dyDescent="0.2">
      <c r="A54" s="396" t="s">
        <v>166</v>
      </c>
      <c r="B54" s="296"/>
      <c r="C54" s="252"/>
    </row>
    <row r="55" spans="1:19" ht="13.5" customHeight="1" outlineLevel="2" x14ac:dyDescent="0.2">
      <c r="A55" s="32" t="s">
        <v>95</v>
      </c>
      <c r="B55" s="398">
        <f>+Mojave!D40</f>
        <v>154297</v>
      </c>
      <c r="C55" s="372">
        <f>+B55*$J$4</f>
        <v>302422.12</v>
      </c>
      <c r="D55" s="47">
        <f>+Mojave!D47</f>
        <v>131073.68</v>
      </c>
      <c r="E55" s="47">
        <f>+C55-D55</f>
        <v>171348.44</v>
      </c>
      <c r="F55" s="395">
        <f>+Mojave!A40</f>
        <v>37157</v>
      </c>
      <c r="H55" s="32" t="s">
        <v>101</v>
      </c>
      <c r="I55" s="32" t="s">
        <v>186</v>
      </c>
      <c r="J55" s="32"/>
      <c r="K55" s="32"/>
    </row>
    <row r="56" spans="1:19" ht="15" customHeight="1" outlineLevel="2" x14ac:dyDescent="0.2">
      <c r="A56" s="32" t="s">
        <v>33</v>
      </c>
      <c r="B56" s="399">
        <f>+SoCal!F40</f>
        <v>300521</v>
      </c>
      <c r="C56" s="372">
        <f>+B56*$J$4</f>
        <v>589021.16</v>
      </c>
      <c r="D56" s="47">
        <f>+SoCal!D47</f>
        <v>757920.48</v>
      </c>
      <c r="E56" s="47">
        <f>+C56-D56</f>
        <v>-168899.31999999995</v>
      </c>
      <c r="F56" s="395">
        <f>+SoCal!A40</f>
        <v>37157</v>
      </c>
      <c r="H56" s="32" t="s">
        <v>103</v>
      </c>
      <c r="I56" s="32"/>
      <c r="J56" s="32"/>
      <c r="K56" s="32"/>
    </row>
    <row r="57" spans="1:19" ht="15" customHeight="1" outlineLevel="2" x14ac:dyDescent="0.2">
      <c r="A57" s="32" t="s">
        <v>199</v>
      </c>
      <c r="B57" s="398">
        <f>+'El Paso'!C39</f>
        <v>64244</v>
      </c>
      <c r="C57" s="372">
        <f>+B57*$J$4</f>
        <v>125918.23999999999</v>
      </c>
      <c r="D57" s="47">
        <f>+'El Paso'!C46</f>
        <v>-1583010.01</v>
      </c>
      <c r="E57" s="47">
        <f>+C57-D57</f>
        <v>1708928.25</v>
      </c>
      <c r="F57" s="395">
        <f>+'El Paso'!A39</f>
        <v>37156</v>
      </c>
      <c r="G57" s="455"/>
      <c r="H57" s="32" t="s">
        <v>101</v>
      </c>
      <c r="I57" s="32" t="s">
        <v>190</v>
      </c>
      <c r="J57" s="32"/>
      <c r="K57" s="32"/>
    </row>
    <row r="58" spans="1:19" ht="15" customHeight="1" outlineLevel="1" x14ac:dyDescent="0.2">
      <c r="A58" s="32" t="s">
        <v>115</v>
      </c>
      <c r="B58" s="400">
        <f>+'PG&amp;E'!D40</f>
        <v>69727</v>
      </c>
      <c r="C58" s="375">
        <f>+B58*$J$4</f>
        <v>136664.91999999998</v>
      </c>
      <c r="D58" s="375">
        <f>+'PG&amp;E'!D47</f>
        <v>-53122.400000000001</v>
      </c>
      <c r="E58" s="375">
        <f>+C58-D58</f>
        <v>189787.31999999998</v>
      </c>
      <c r="F58" s="395">
        <f>+'PG&amp;E'!A40</f>
        <v>37157</v>
      </c>
      <c r="H58" s="32" t="s">
        <v>103</v>
      </c>
      <c r="I58" s="32"/>
      <c r="J58" s="32"/>
      <c r="K58" s="32"/>
    </row>
    <row r="59" spans="1:19" ht="15" customHeight="1" x14ac:dyDescent="0.2">
      <c r="A59" s="2" t="s">
        <v>167</v>
      </c>
      <c r="B59" s="425">
        <f>SUBTOTAL(9,B55:B58)</f>
        <v>588789</v>
      </c>
      <c r="C59" s="418">
        <f>SUBTOTAL(9,C55:C58)</f>
        <v>1154026.44</v>
      </c>
      <c r="D59" s="418">
        <f>SUBTOTAL(9,D55:D58)</f>
        <v>-747138.25000000012</v>
      </c>
      <c r="E59" s="418">
        <f>SUBTOTAL(9,E55:E58)</f>
        <v>1901164.6900000002</v>
      </c>
      <c r="F59" s="395"/>
      <c r="G59" s="205"/>
      <c r="H59" s="32"/>
      <c r="I59" s="32"/>
      <c r="J59" s="32"/>
      <c r="K59" s="32"/>
    </row>
    <row r="60" spans="1:19" ht="12.95" customHeight="1" x14ac:dyDescent="0.2">
      <c r="B60" s="296"/>
      <c r="C60" s="252"/>
      <c r="G60" s="205"/>
    </row>
    <row r="61" spans="1:19" ht="15" customHeight="1" x14ac:dyDescent="0.2">
      <c r="A61" s="396" t="s">
        <v>58</v>
      </c>
      <c r="B61" s="296"/>
      <c r="C61" s="252"/>
      <c r="G61" s="205"/>
    </row>
    <row r="62" spans="1:19" x14ac:dyDescent="0.2">
      <c r="A62" s="206" t="s">
        <v>29</v>
      </c>
      <c r="B62" s="398">
        <f>+williams!J40</f>
        <v>242260</v>
      </c>
      <c r="C62" s="372">
        <f>+B62*$J$3</f>
        <v>440913.2</v>
      </c>
      <c r="D62" s="47">
        <f>+williams!D48</f>
        <v>1227941.3899999999</v>
      </c>
      <c r="E62" s="47">
        <f>+C62-D62</f>
        <v>-787028.19</v>
      </c>
      <c r="F62" s="394">
        <f>+williams!A40</f>
        <v>37157</v>
      </c>
      <c r="G62" s="205" t="s">
        <v>158</v>
      </c>
      <c r="H62" s="206" t="s">
        <v>148</v>
      </c>
      <c r="I62" s="32" t="s">
        <v>189</v>
      </c>
      <c r="J62" s="32"/>
      <c r="K62" s="32"/>
    </row>
    <row r="63" spans="1:19" x14ac:dyDescent="0.2">
      <c r="A63" s="32" t="s">
        <v>24</v>
      </c>
      <c r="B63" s="398">
        <f>+'Red C'!F43</f>
        <v>158875</v>
      </c>
      <c r="C63" s="373">
        <f>+B63*J3</f>
        <v>289152.5</v>
      </c>
      <c r="D63" s="202">
        <f>+'Red C'!D52</f>
        <v>707998.47000000009</v>
      </c>
      <c r="E63" s="47">
        <f>+C63-D63</f>
        <v>-418845.97000000009</v>
      </c>
      <c r="F63" s="394">
        <f>+'Red C'!B43</f>
        <v>37156</v>
      </c>
      <c r="G63" s="205" t="s">
        <v>158</v>
      </c>
      <c r="H63" s="32" t="s">
        <v>116</v>
      </c>
      <c r="I63" s="32" t="s">
        <v>187</v>
      </c>
      <c r="J63" s="32"/>
      <c r="K63" s="32"/>
    </row>
    <row r="64" spans="1:19" x14ac:dyDescent="0.2">
      <c r="A64" s="32" t="s">
        <v>6</v>
      </c>
      <c r="B64" s="398">
        <f>+Amoco!D40</f>
        <v>56428</v>
      </c>
      <c r="C64" s="372">
        <f>+B64*$J$3</f>
        <v>102698.96</v>
      </c>
      <c r="D64" s="47">
        <f>+Amoco!D47</f>
        <v>439991.16</v>
      </c>
      <c r="E64" s="47">
        <f>+C64-D64</f>
        <v>-337292.19999999995</v>
      </c>
      <c r="F64" s="395">
        <f>+Amoco!A40</f>
        <v>37157</v>
      </c>
      <c r="G64" s="205" t="s">
        <v>158</v>
      </c>
      <c r="H64" s="32" t="s">
        <v>116</v>
      </c>
      <c r="I64" s="32" t="s">
        <v>188</v>
      </c>
      <c r="J64" s="32"/>
      <c r="K64" s="32"/>
    </row>
    <row r="65" spans="1:12" x14ac:dyDescent="0.2">
      <c r="A65" s="32" t="s">
        <v>200</v>
      </c>
      <c r="B65" s="398">
        <f>+'El Paso'!E39</f>
        <v>-79233</v>
      </c>
      <c r="C65" s="372">
        <f>+B65*$J$3</f>
        <v>-144204.06</v>
      </c>
      <c r="D65" s="47">
        <f>+'El Paso'!F46</f>
        <v>-664622.47</v>
      </c>
      <c r="E65" s="47">
        <f>+C65-D65</f>
        <v>520418.41</v>
      </c>
      <c r="F65" s="395">
        <f>+'El Paso'!A39</f>
        <v>37156</v>
      </c>
      <c r="G65" s="455"/>
      <c r="H65" s="32" t="s">
        <v>101</v>
      </c>
      <c r="I65" s="32" t="s">
        <v>190</v>
      </c>
      <c r="J65" s="32"/>
      <c r="K65" s="32"/>
    </row>
    <row r="66" spans="1:12" x14ac:dyDescent="0.2">
      <c r="A66" s="32" t="s">
        <v>1</v>
      </c>
      <c r="B66" s="400">
        <f>+NW!$F$41</f>
        <v>53394</v>
      </c>
      <c r="C66" s="375">
        <f>+B66*$J$3</f>
        <v>97177.08</v>
      </c>
      <c r="D66" s="375">
        <f>+NW!E49</f>
        <v>-344626.68</v>
      </c>
      <c r="E66" s="375">
        <f>+C66-D66</f>
        <v>441803.76</v>
      </c>
      <c r="F66" s="394">
        <f>+NW!B41</f>
        <v>37156</v>
      </c>
      <c r="G66" s="205" t="s">
        <v>158</v>
      </c>
      <c r="H66" s="32" t="s">
        <v>116</v>
      </c>
      <c r="I66" s="32"/>
      <c r="J66" s="32"/>
      <c r="K66" s="32"/>
    </row>
    <row r="67" spans="1:12" x14ac:dyDescent="0.2">
      <c r="A67" s="32" t="s">
        <v>168</v>
      </c>
      <c r="B67" s="425">
        <f>SUBTOTAL(9,B62:B66)</f>
        <v>431724</v>
      </c>
      <c r="C67" s="418">
        <f>SUBTOTAL(9,C62:C66)</f>
        <v>785737.67999999982</v>
      </c>
      <c r="D67" s="418">
        <f>SUBTOTAL(9,D62:D66)</f>
        <v>1366681.87</v>
      </c>
      <c r="E67" s="418">
        <f>SUBTOTAL(9,E62:E66)</f>
        <v>-580944.19000000018</v>
      </c>
      <c r="F67" s="394"/>
      <c r="G67" s="205"/>
      <c r="H67" s="32"/>
      <c r="I67" s="32"/>
      <c r="J67" s="32"/>
      <c r="K67" s="32"/>
    </row>
    <row r="68" spans="1:12" x14ac:dyDescent="0.2">
      <c r="B68" s="296"/>
      <c r="C68" s="252"/>
      <c r="G68" s="205"/>
    </row>
    <row r="69" spans="1:12" x14ac:dyDescent="0.2">
      <c r="A69" s="396" t="s">
        <v>170</v>
      </c>
      <c r="B69" s="296"/>
      <c r="C69" s="252"/>
      <c r="G69" s="205"/>
    </row>
    <row r="70" spans="1:12" x14ac:dyDescent="0.2">
      <c r="A70" s="32" t="s">
        <v>89</v>
      </c>
      <c r="B70" s="398">
        <f>+NGPL!F38</f>
        <v>118207</v>
      </c>
      <c r="C70" s="372">
        <f>+B70*$J$4</f>
        <v>231685.72</v>
      </c>
      <c r="D70" s="47">
        <f>+NGPL!D45</f>
        <v>314156.71000000002</v>
      </c>
      <c r="E70" s="47">
        <f>+C70-D70</f>
        <v>-82470.99000000002</v>
      </c>
      <c r="F70" s="395">
        <f>+NGPL!A38</f>
        <v>37156</v>
      </c>
      <c r="G70" s="205"/>
      <c r="H70" s="32" t="s">
        <v>116</v>
      </c>
      <c r="I70" s="32"/>
      <c r="J70" s="32"/>
      <c r="K70" s="32"/>
    </row>
    <row r="71" spans="1:12" x14ac:dyDescent="0.2">
      <c r="A71" s="32" t="s">
        <v>145</v>
      </c>
      <c r="B71" s="398">
        <f>+PEPL!D41</f>
        <v>-9941</v>
      </c>
      <c r="C71" s="373">
        <f>+B71*$J$4</f>
        <v>-19484.36</v>
      </c>
      <c r="D71" s="47">
        <f>+PEPL!D47</f>
        <v>149995.97</v>
      </c>
      <c r="E71" s="47">
        <f>+C71-D71</f>
        <v>-169480.33000000002</v>
      </c>
      <c r="F71" s="395">
        <f>+PEPL!A41</f>
        <v>37156</v>
      </c>
      <c r="H71" s="32" t="s">
        <v>101</v>
      </c>
      <c r="I71" s="32" t="s">
        <v>144</v>
      </c>
      <c r="J71" s="32"/>
      <c r="K71" s="32"/>
    </row>
    <row r="72" spans="1:12" x14ac:dyDescent="0.2">
      <c r="A72" s="32" t="s">
        <v>7</v>
      </c>
      <c r="B72" s="399">
        <f>+Oasis!D40</f>
        <v>51897</v>
      </c>
      <c r="C72" s="372">
        <f>+B72*$J$4</f>
        <v>101718.12</v>
      </c>
      <c r="D72" s="47">
        <f>+Oasis!D47</f>
        <v>-244206.13</v>
      </c>
      <c r="E72" s="47">
        <f>+C72-D72</f>
        <v>345924.25</v>
      </c>
      <c r="F72" s="395">
        <f>+Oasis!B40</f>
        <v>37156</v>
      </c>
      <c r="H72" s="32" t="s">
        <v>103</v>
      </c>
      <c r="I72" s="32"/>
      <c r="J72" s="32"/>
      <c r="K72" s="32"/>
    </row>
    <row r="73" spans="1:12" x14ac:dyDescent="0.2">
      <c r="A73" s="32" t="s">
        <v>32</v>
      </c>
      <c r="B73" s="402">
        <f>+Lonestar!F42</f>
        <v>72634</v>
      </c>
      <c r="C73" s="375">
        <f>+B73*$J$4</f>
        <v>142362.63999999998</v>
      </c>
      <c r="D73" s="375">
        <f>+Lonestar!D49</f>
        <v>70867.62999999999</v>
      </c>
      <c r="E73" s="375">
        <f>+C73-D73</f>
        <v>71495.009999999995</v>
      </c>
      <c r="F73" s="394">
        <f>+Lonestar!B42</f>
        <v>37157</v>
      </c>
      <c r="H73" s="32" t="s">
        <v>103</v>
      </c>
      <c r="I73" s="32"/>
      <c r="J73" s="32"/>
      <c r="K73" s="32"/>
    </row>
    <row r="74" spans="1:12" x14ac:dyDescent="0.2">
      <c r="A74" s="2" t="s">
        <v>171</v>
      </c>
      <c r="B74" s="419">
        <f>SUBTOTAL(9,B70:B73)</f>
        <v>232797</v>
      </c>
      <c r="C74" s="418">
        <f>SUBTOTAL(9,C70:C73)</f>
        <v>456282.12</v>
      </c>
      <c r="D74" s="418">
        <f>SUBTOTAL(9,D70:D73)</f>
        <v>290814.18000000005</v>
      </c>
      <c r="E74" s="418">
        <f>SUBTOTAL(9,E70:E73)</f>
        <v>165467.93999999994</v>
      </c>
      <c r="F74" s="394"/>
      <c r="H74" s="32"/>
      <c r="I74" s="32"/>
      <c r="J74" s="32"/>
      <c r="K74" s="32"/>
    </row>
    <row r="75" spans="1:12" x14ac:dyDescent="0.2">
      <c r="B75" s="296"/>
      <c r="C75" s="252"/>
    </row>
    <row r="76" spans="1:12" x14ac:dyDescent="0.2">
      <c r="A76" s="2" t="s">
        <v>178</v>
      </c>
      <c r="B76" s="419">
        <f>SUBTOTAL(9,B55:B73)</f>
        <v>1253310</v>
      </c>
      <c r="C76" s="418">
        <f>SUBTOTAL(9,C55:C73)</f>
        <v>2396046.2400000002</v>
      </c>
      <c r="D76" s="418">
        <f>SUBTOTAL(9,D55:D73)</f>
        <v>910357.79999999981</v>
      </c>
      <c r="E76" s="418">
        <f>SUBTOTAL(9,E55:E73)</f>
        <v>1485688.4400000002</v>
      </c>
      <c r="F76" s="394"/>
      <c r="H76" s="32"/>
      <c r="I76" s="32"/>
      <c r="J76" s="32"/>
      <c r="K76" s="32"/>
    </row>
    <row r="77" spans="1:12" x14ac:dyDescent="0.2">
      <c r="A77" s="32"/>
      <c r="B77" s="372"/>
      <c r="C77" s="399"/>
      <c r="D77" s="372"/>
      <c r="E77" s="372"/>
      <c r="F77" s="394"/>
      <c r="H77" s="32"/>
      <c r="I77" s="32"/>
      <c r="J77" s="32"/>
      <c r="K77" s="32"/>
    </row>
    <row r="78" spans="1:12" x14ac:dyDescent="0.2">
      <c r="A78" s="32"/>
      <c r="B78" s="375"/>
      <c r="C78" s="398"/>
      <c r="D78" s="304"/>
      <c r="E78" s="304"/>
      <c r="F78" s="394"/>
      <c r="G78" s="32"/>
      <c r="I78" s="32"/>
      <c r="J78" s="32"/>
      <c r="K78" s="32"/>
      <c r="L78" s="32"/>
    </row>
    <row r="79" spans="1:12" ht="13.5" thickBot="1" x14ac:dyDescent="0.25">
      <c r="A79" s="2" t="s">
        <v>184</v>
      </c>
      <c r="B79" s="428">
        <f>+C76+B40</f>
        <v>4612883.1199999992</v>
      </c>
      <c r="C79" s="208"/>
      <c r="D79" s="372"/>
      <c r="E79" s="372"/>
      <c r="F79" s="379"/>
      <c r="H79" s="32"/>
      <c r="I79" s="32"/>
      <c r="J79" s="32"/>
      <c r="K79" s="32"/>
    </row>
    <row r="80" spans="1:12" ht="13.5" thickTop="1" x14ac:dyDescent="0.2">
      <c r="A80" s="2" t="s">
        <v>185</v>
      </c>
      <c r="B80" s="14">
        <f>+B76+C40</f>
        <v>2385238.3004926108</v>
      </c>
      <c r="C80" s="401"/>
      <c r="D80" s="457"/>
      <c r="E80" s="304"/>
      <c r="F80" s="379"/>
      <c r="G80" s="32"/>
      <c r="H80" s="32"/>
      <c r="I80" s="32"/>
      <c r="J80" s="32"/>
    </row>
    <row r="81" spans="1:10" x14ac:dyDescent="0.2">
      <c r="A81" s="32"/>
      <c r="B81" s="47"/>
      <c r="C81" s="403"/>
      <c r="D81" s="304"/>
      <c r="E81" s="304"/>
      <c r="F81" s="206"/>
      <c r="G81" s="32"/>
      <c r="H81" s="32"/>
      <c r="I81" s="32"/>
      <c r="J81" s="32"/>
    </row>
    <row r="82" spans="1:10" x14ac:dyDescent="0.2">
      <c r="A82" s="32"/>
      <c r="B82" s="47"/>
      <c r="C82" s="69"/>
      <c r="E82" s="32"/>
      <c r="F82" s="32"/>
      <c r="G82" s="32"/>
      <c r="H82" s="32"/>
      <c r="I82" s="32"/>
    </row>
    <row r="83" spans="1:10" x14ac:dyDescent="0.2">
      <c r="A83" s="32"/>
      <c r="B83" s="47"/>
      <c r="C83" s="69"/>
      <c r="D83" s="32"/>
      <c r="E83" s="32"/>
      <c r="F83" s="32"/>
      <c r="G83" s="32"/>
      <c r="H83" s="32"/>
    </row>
    <row r="84" spans="1:10" x14ac:dyDescent="0.2">
      <c r="A84" s="32"/>
      <c r="B84" s="202"/>
      <c r="C84" s="305"/>
      <c r="D84" s="16"/>
      <c r="E84" s="32"/>
      <c r="F84" s="32"/>
      <c r="G84" s="32"/>
      <c r="H84" s="32"/>
    </row>
    <row r="90" spans="1:10" x14ac:dyDescent="0.2">
      <c r="A90" s="32"/>
      <c r="B90" s="202"/>
      <c r="C90" s="69"/>
      <c r="D90" s="70"/>
      <c r="E90" s="32"/>
      <c r="F90" s="32"/>
      <c r="G90" s="32"/>
      <c r="H90" s="32"/>
    </row>
    <row r="91" spans="1:10" x14ac:dyDescent="0.2">
      <c r="A91" s="32"/>
      <c r="B91" s="47"/>
      <c r="C91" s="14"/>
      <c r="D91" s="32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202"/>
      <c r="C93" s="14"/>
      <c r="D93" s="70"/>
      <c r="E93" s="32"/>
      <c r="F93" s="32"/>
      <c r="G93" s="32"/>
      <c r="H93" s="32"/>
    </row>
    <row r="94" spans="1:10" x14ac:dyDescent="0.2">
      <c r="A94" s="32"/>
      <c r="B94" s="202"/>
      <c r="C94" s="69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32"/>
      <c r="E95" s="32"/>
      <c r="F95" s="32"/>
      <c r="G95" s="32"/>
      <c r="H95" s="32"/>
    </row>
    <row r="96" spans="1:10" x14ac:dyDescent="0.2">
      <c r="A96" s="32"/>
      <c r="B96" s="202"/>
      <c r="C96" s="392"/>
      <c r="D96" s="32"/>
      <c r="E96" s="32"/>
      <c r="F96" s="32"/>
      <c r="G96" s="32"/>
      <c r="H96" s="32"/>
    </row>
    <row r="97" spans="1:8" x14ac:dyDescent="0.2">
      <c r="A97" s="32"/>
      <c r="B97" s="47"/>
      <c r="C97" s="69"/>
      <c r="D97" s="32"/>
      <c r="E97" s="32"/>
      <c r="F97" s="32"/>
      <c r="G97" s="32"/>
      <c r="H97" s="32"/>
    </row>
    <row r="98" spans="1:8" x14ac:dyDescent="0.2">
      <c r="A98" s="32"/>
      <c r="B98" s="47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>
        <v>300</v>
      </c>
      <c r="B116" s="47"/>
      <c r="D116" s="32"/>
      <c r="E116" s="32"/>
      <c r="F116" s="32"/>
      <c r="G116" s="32"/>
      <c r="H116" s="32"/>
    </row>
    <row r="117" spans="1:8" x14ac:dyDescent="0.2">
      <c r="A117" s="32">
        <v>35</v>
      </c>
      <c r="B117" s="47"/>
      <c r="D117" s="32"/>
      <c r="E117" s="32"/>
      <c r="F117" s="32"/>
      <c r="G117" s="32"/>
      <c r="H117" s="32"/>
    </row>
    <row r="118" spans="1:8" x14ac:dyDescent="0.2">
      <c r="A118" s="32">
        <f>+A117*A116</f>
        <v>10500</v>
      </c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C122" s="69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4" workbookViewId="3">
      <selection activeCell="B35" sqref="B35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156920</v>
      </c>
      <c r="C8" s="11">
        <v>156264</v>
      </c>
      <c r="D8" s="11">
        <v>12722</v>
      </c>
      <c r="E8" s="11">
        <v>12532</v>
      </c>
      <c r="F8" s="11">
        <f>+C8-B8+E8-D8</f>
        <v>-846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157223</v>
      </c>
      <c r="C9" s="11">
        <v>156534</v>
      </c>
      <c r="D9" s="11">
        <v>12253</v>
      </c>
      <c r="E9" s="11">
        <v>12532</v>
      </c>
      <c r="F9" s="11">
        <f t="shared" ref="F9:F39" si="5">+C9-B9+E9-D9</f>
        <v>-410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156228</v>
      </c>
      <c r="C10" s="11">
        <v>156410</v>
      </c>
      <c r="D10" s="11">
        <v>12192</v>
      </c>
      <c r="E10" s="11">
        <v>12532</v>
      </c>
      <c r="F10" s="11">
        <f t="shared" si="5"/>
        <v>522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155862</v>
      </c>
      <c r="C11" s="11">
        <v>155803</v>
      </c>
      <c r="D11" s="11">
        <v>11658</v>
      </c>
      <c r="E11" s="11">
        <v>12532</v>
      </c>
      <c r="F11" s="11">
        <f t="shared" si="5"/>
        <v>815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154865</v>
      </c>
      <c r="C12" s="11">
        <v>157530</v>
      </c>
      <c r="D12" s="11">
        <v>12566</v>
      </c>
      <c r="E12" s="11">
        <v>12532</v>
      </c>
      <c r="F12" s="11">
        <f t="shared" si="5"/>
        <v>2631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148827</v>
      </c>
      <c r="C13" s="11">
        <v>147740</v>
      </c>
      <c r="D13" s="11">
        <v>12616</v>
      </c>
      <c r="E13" s="11">
        <v>12532</v>
      </c>
      <c r="F13" s="11">
        <f t="shared" si="5"/>
        <v>-1171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145224</v>
      </c>
      <c r="C14" s="11">
        <v>145066</v>
      </c>
      <c r="D14" s="11">
        <v>12571</v>
      </c>
      <c r="E14" s="11">
        <v>12532</v>
      </c>
      <c r="F14" s="11">
        <f t="shared" si="5"/>
        <v>-197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146908</v>
      </c>
      <c r="C15" s="11">
        <v>145190</v>
      </c>
      <c r="D15" s="11">
        <v>12491</v>
      </c>
      <c r="E15" s="11">
        <v>12532</v>
      </c>
      <c r="F15" s="11">
        <f t="shared" si="5"/>
        <v>-1677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146501</v>
      </c>
      <c r="C16" s="11">
        <v>145042</v>
      </c>
      <c r="D16" s="11">
        <v>12628</v>
      </c>
      <c r="E16" s="11">
        <v>12532</v>
      </c>
      <c r="F16" s="11">
        <f t="shared" si="5"/>
        <v>-1555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139093</v>
      </c>
      <c r="C17" s="11">
        <v>135297</v>
      </c>
      <c r="D17" s="11">
        <v>11965</v>
      </c>
      <c r="E17" s="11">
        <v>12532</v>
      </c>
      <c r="F17" s="11">
        <f t="shared" si="5"/>
        <v>-3229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144157</v>
      </c>
      <c r="C18" s="11">
        <v>143840</v>
      </c>
      <c r="D18" s="11">
        <v>12730</v>
      </c>
      <c r="E18" s="11">
        <v>12532</v>
      </c>
      <c r="F18" s="11">
        <f t="shared" si="5"/>
        <v>-515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145319</v>
      </c>
      <c r="C19" s="11">
        <v>145809</v>
      </c>
      <c r="D19" s="11">
        <v>12726</v>
      </c>
      <c r="E19" s="11">
        <v>12532</v>
      </c>
      <c r="F19" s="11">
        <f t="shared" si="5"/>
        <v>296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141553</v>
      </c>
      <c r="C20" s="11">
        <v>138752</v>
      </c>
      <c r="D20" s="11">
        <v>11868</v>
      </c>
      <c r="E20" s="11">
        <v>12195</v>
      </c>
      <c r="F20" s="11">
        <f t="shared" si="5"/>
        <v>-2474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08">
        <v>141129</v>
      </c>
      <c r="C21" s="11">
        <v>141949</v>
      </c>
      <c r="D21" s="11">
        <v>13102</v>
      </c>
      <c r="E21" s="11">
        <v>12532</v>
      </c>
      <c r="F21" s="11">
        <f t="shared" si="5"/>
        <v>250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08">
        <v>146143</v>
      </c>
      <c r="C22" s="11">
        <v>145535</v>
      </c>
      <c r="D22" s="11">
        <v>9007</v>
      </c>
      <c r="E22" s="11">
        <v>8228</v>
      </c>
      <c r="F22" s="11">
        <f t="shared" si="5"/>
        <v>-1387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08">
        <v>145717</v>
      </c>
      <c r="C23" s="11">
        <v>146585</v>
      </c>
      <c r="D23" s="11">
        <v>12640</v>
      </c>
      <c r="E23" s="11">
        <v>12532</v>
      </c>
      <c r="F23" s="11">
        <f t="shared" si="5"/>
        <v>760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08">
        <v>145779</v>
      </c>
      <c r="C24" s="11">
        <v>145684</v>
      </c>
      <c r="D24" s="11">
        <v>12632</v>
      </c>
      <c r="E24" s="11">
        <v>8732</v>
      </c>
      <c r="F24" s="11">
        <f t="shared" si="5"/>
        <v>-3995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51</v>
      </c>
      <c r="B25" s="108">
        <v>145400</v>
      </c>
      <c r="C25" s="11">
        <v>145482</v>
      </c>
      <c r="D25" s="11">
        <v>9142</v>
      </c>
      <c r="E25" s="11">
        <v>12532</v>
      </c>
      <c r="F25" s="11">
        <f t="shared" si="5"/>
        <v>3472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08">
        <v>145820</v>
      </c>
      <c r="C26" s="11">
        <v>145820</v>
      </c>
      <c r="D26" s="11">
        <v>12639</v>
      </c>
      <c r="E26" s="11">
        <v>12532</v>
      </c>
      <c r="F26" s="11">
        <f t="shared" si="5"/>
        <v>-107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08">
        <v>122386</v>
      </c>
      <c r="C27" s="11">
        <v>142860</v>
      </c>
      <c r="D27" s="11">
        <v>12636</v>
      </c>
      <c r="E27" s="11">
        <v>12532</v>
      </c>
      <c r="F27" s="11">
        <f t="shared" si="5"/>
        <v>20370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464">
        <v>140045</v>
      </c>
      <c r="C28" s="150">
        <v>140239</v>
      </c>
      <c r="D28" s="150">
        <v>11572</v>
      </c>
      <c r="E28" s="150">
        <v>12532</v>
      </c>
      <c r="F28" s="11">
        <f t="shared" si="5"/>
        <v>1154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464">
        <v>143859</v>
      </c>
      <c r="C29" s="150">
        <v>145682</v>
      </c>
      <c r="D29" s="150">
        <v>11265</v>
      </c>
      <c r="E29" s="150">
        <v>12532</v>
      </c>
      <c r="F29" s="11">
        <f t="shared" si="5"/>
        <v>3090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17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3214958</v>
      </c>
      <c r="C39" s="150">
        <f>SUM(C8:C38)</f>
        <v>3229113</v>
      </c>
      <c r="D39" s="150">
        <f>SUM(D8:D38)</f>
        <v>265621</v>
      </c>
      <c r="E39" s="150">
        <f>SUM(E8:E38)</f>
        <v>267263</v>
      </c>
      <c r="F39" s="11">
        <f t="shared" si="5"/>
        <v>15797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37134</v>
      </c>
      <c r="C42" s="153"/>
      <c r="D42" s="153"/>
      <c r="E42" s="153"/>
      <c r="F42" s="471">
        <v>143078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37156</v>
      </c>
      <c r="C43" s="142"/>
      <c r="D43" s="142"/>
      <c r="E43" s="142"/>
      <c r="F43" s="150">
        <f>+F42+F39</f>
        <v>158875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24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164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37134</v>
      </c>
      <c r="B50" s="32"/>
      <c r="C50" s="32"/>
      <c r="D50" s="466">
        <v>679247.93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37156</v>
      </c>
      <c r="B51" s="32"/>
      <c r="C51" s="32"/>
      <c r="D51" s="405">
        <f>+F39*'by type_area'!J3</f>
        <v>28750.54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707998.47000000009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0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0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0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0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8" workbookViewId="3">
      <selection activeCell="C50" sqref="C50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-142080</v>
      </c>
      <c r="C5" s="24">
        <v>-142462</v>
      </c>
      <c r="D5" s="24">
        <f>+C5-B5</f>
        <v>-382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-138699</v>
      </c>
      <c r="C6" s="51">
        <v>-136853</v>
      </c>
      <c r="D6" s="24">
        <f t="shared" ref="D6:D36" si="0">+C6-B6</f>
        <v>1846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-135130</v>
      </c>
      <c r="C7" s="51">
        <v>-133387</v>
      </c>
      <c r="D7" s="24">
        <f t="shared" si="0"/>
        <v>1743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-125244</v>
      </c>
      <c r="C8" s="51">
        <v>-125558</v>
      </c>
      <c r="D8" s="24">
        <f t="shared" si="0"/>
        <v>-314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-106895</v>
      </c>
      <c r="C9" s="24">
        <v>-107400</v>
      </c>
      <c r="D9" s="24">
        <f t="shared" si="0"/>
        <v>-505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-115168</v>
      </c>
      <c r="C10" s="24">
        <v>-114773</v>
      </c>
      <c r="D10" s="24">
        <f t="shared" si="0"/>
        <v>395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-98089</v>
      </c>
      <c r="C11" s="24">
        <v>-97774</v>
      </c>
      <c r="D11" s="24">
        <f t="shared" si="0"/>
        <v>315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-101801</v>
      </c>
      <c r="C12" s="51">
        <v>-102186</v>
      </c>
      <c r="D12" s="24">
        <f t="shared" si="0"/>
        <v>-385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-101660</v>
      </c>
      <c r="C13" s="24">
        <v>-102186</v>
      </c>
      <c r="D13" s="24">
        <f t="shared" si="0"/>
        <v>-526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-102426</v>
      </c>
      <c r="C14" s="24">
        <v>-102249</v>
      </c>
      <c r="D14" s="24">
        <f t="shared" si="0"/>
        <v>177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-84075</v>
      </c>
      <c r="C15" s="24">
        <v>-83302</v>
      </c>
      <c r="D15" s="24">
        <f t="shared" si="0"/>
        <v>773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-93592</v>
      </c>
      <c r="C16" s="24">
        <v>-91846</v>
      </c>
      <c r="D16" s="24">
        <f t="shared" si="0"/>
        <v>1746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-134859</v>
      </c>
      <c r="C17" s="24">
        <v>-133317</v>
      </c>
      <c r="D17" s="24">
        <f t="shared" si="0"/>
        <v>1542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-107262</v>
      </c>
      <c r="C18" s="24">
        <v>-102870</v>
      </c>
      <c r="D18" s="24">
        <f t="shared" si="0"/>
        <v>4392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-87749</v>
      </c>
      <c r="C19" s="24">
        <v>-87755</v>
      </c>
      <c r="D19" s="24">
        <f t="shared" si="0"/>
        <v>-6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-86408</v>
      </c>
      <c r="C20" s="24">
        <v>-86483</v>
      </c>
      <c r="D20" s="24">
        <f t="shared" si="0"/>
        <v>-75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-89993</v>
      </c>
      <c r="C21" s="24">
        <v>-87845</v>
      </c>
      <c r="D21" s="24">
        <f t="shared" si="0"/>
        <v>2148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-96590</v>
      </c>
      <c r="C22" s="24">
        <v>-99476</v>
      </c>
      <c r="D22" s="24">
        <f t="shared" si="0"/>
        <v>-2886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-82421</v>
      </c>
      <c r="C23" s="24">
        <v>-85614</v>
      </c>
      <c r="D23" s="24">
        <f t="shared" si="0"/>
        <v>-3193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-91217</v>
      </c>
      <c r="C24" s="24">
        <v>-96115</v>
      </c>
      <c r="D24" s="24">
        <f t="shared" si="0"/>
        <v>-4898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-79481</v>
      </c>
      <c r="C25" s="24">
        <v>-77780</v>
      </c>
      <c r="D25" s="24">
        <f t="shared" si="0"/>
        <v>1701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-94780</v>
      </c>
      <c r="C26" s="24">
        <v>-94044</v>
      </c>
      <c r="D26" s="24">
        <f t="shared" si="0"/>
        <v>736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-2295619</v>
      </c>
      <c r="C36" s="24">
        <f>SUM(C5:C35)</f>
        <v>-2291275</v>
      </c>
      <c r="D36" s="24">
        <f t="shared" si="0"/>
        <v>4344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37134</v>
      </c>
      <c r="C38" s="24"/>
      <c r="D38" s="465">
        <v>47553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37156</v>
      </c>
      <c r="C40" s="24"/>
      <c r="D40" s="195">
        <f>+D36+D38</f>
        <v>51897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155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37134</v>
      </c>
      <c r="B45" s="32"/>
      <c r="C45" s="32"/>
      <c r="D45" s="466">
        <v>-252720.37</v>
      </c>
    </row>
    <row r="46" spans="1:65" x14ac:dyDescent="0.2">
      <c r="A46" s="49">
        <f>+B40</f>
        <v>37156</v>
      </c>
      <c r="B46" s="32"/>
      <c r="C46" s="32"/>
      <c r="D46" s="405">
        <f>+D36*'by type_area'!J4</f>
        <v>8514.24</v>
      </c>
    </row>
    <row r="47" spans="1:65" x14ac:dyDescent="0.2">
      <c r="A47" s="32"/>
      <c r="B47" s="32"/>
      <c r="C47" s="32"/>
      <c r="D47" s="202">
        <f>+D46+D45</f>
        <v>-244206.13</v>
      </c>
    </row>
    <row r="48" spans="1:65" x14ac:dyDescent="0.2">
      <c r="B48"/>
      <c r="C48"/>
      <c r="D48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C18" sqref="C18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50</v>
      </c>
    </row>
    <row r="5" spans="1:13" x14ac:dyDescent="0.2">
      <c r="A5" s="87">
        <v>56339</v>
      </c>
      <c r="B5" s="90">
        <v>751234</v>
      </c>
      <c r="C5" s="90">
        <v>716145</v>
      </c>
      <c r="D5" s="90">
        <f>+C5-B5</f>
        <v>-35089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530700</v>
      </c>
      <c r="C7" s="90">
        <v>701084</v>
      </c>
      <c r="D7" s="90">
        <f t="shared" si="0"/>
        <v>170384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426504</v>
      </c>
      <c r="C8" s="90">
        <v>544501</v>
      </c>
      <c r="D8" s="90">
        <f t="shared" si="0"/>
        <v>117997</v>
      </c>
      <c r="E8" s="285"/>
      <c r="F8" s="283"/>
    </row>
    <row r="9" spans="1:13" x14ac:dyDescent="0.2">
      <c r="A9" s="87">
        <v>500293</v>
      </c>
      <c r="B9" s="90">
        <v>298198</v>
      </c>
      <c r="C9" s="90">
        <v>408652</v>
      </c>
      <c r="D9" s="90">
        <f t="shared" si="0"/>
        <v>110454</v>
      </c>
      <c r="E9" s="285"/>
      <c r="F9" s="283"/>
    </row>
    <row r="10" spans="1:13" x14ac:dyDescent="0.2">
      <c r="A10" s="87">
        <v>500302</v>
      </c>
      <c r="B10" s="319"/>
      <c r="C10" s="319">
        <v>8415</v>
      </c>
      <c r="D10" s="90">
        <f t="shared" si="0"/>
        <v>8415</v>
      </c>
      <c r="E10" s="285"/>
      <c r="F10" s="283"/>
    </row>
    <row r="11" spans="1:13" x14ac:dyDescent="0.2">
      <c r="A11" s="87">
        <v>500303</v>
      </c>
      <c r="B11" s="319">
        <v>158793</v>
      </c>
      <c r="C11" s="90">
        <v>233399</v>
      </c>
      <c r="D11" s="90">
        <f t="shared" si="0"/>
        <v>74606</v>
      </c>
      <c r="E11" s="285"/>
      <c r="F11" s="283"/>
    </row>
    <row r="12" spans="1:13" x14ac:dyDescent="0.2">
      <c r="A12" s="91">
        <v>500305</v>
      </c>
      <c r="B12" s="319">
        <v>766891</v>
      </c>
      <c r="C12" s="90">
        <v>926518</v>
      </c>
      <c r="D12" s="90">
        <f t="shared" si="0"/>
        <v>159627</v>
      </c>
      <c r="E12" s="286"/>
      <c r="F12" s="283"/>
    </row>
    <row r="13" spans="1:13" x14ac:dyDescent="0.2">
      <c r="A13" s="87">
        <v>500307</v>
      </c>
      <c r="B13" s="319">
        <v>37665</v>
      </c>
      <c r="C13" s="90">
        <v>28583</v>
      </c>
      <c r="D13" s="90">
        <f t="shared" si="0"/>
        <v>-9082</v>
      </c>
      <c r="E13" s="285"/>
      <c r="F13" s="283"/>
    </row>
    <row r="14" spans="1:13" x14ac:dyDescent="0.2">
      <c r="A14" s="87">
        <v>500313</v>
      </c>
      <c r="B14" s="90"/>
      <c r="C14" s="319">
        <v>1359</v>
      </c>
      <c r="D14" s="90">
        <f t="shared" si="0"/>
        <v>1359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488663</v>
      </c>
      <c r="C16" s="90"/>
      <c r="D16" s="90">
        <f t="shared" si="0"/>
        <v>-488663</v>
      </c>
      <c r="E16" s="285"/>
      <c r="F16" s="283"/>
    </row>
    <row r="17" spans="1:6" x14ac:dyDescent="0.2">
      <c r="A17" s="87">
        <v>500657</v>
      </c>
      <c r="B17" s="335">
        <v>107446</v>
      </c>
      <c r="C17" s="88">
        <v>68400</v>
      </c>
      <c r="D17" s="94">
        <f t="shared" si="0"/>
        <v>-39046</v>
      </c>
      <c r="E17" s="285"/>
      <c r="F17" s="283"/>
    </row>
    <row r="18" spans="1:6" x14ac:dyDescent="0.2">
      <c r="A18" s="87"/>
      <c r="B18" s="88"/>
      <c r="C18" s="88"/>
      <c r="D18" s="88">
        <f>SUM(D5:D17)</f>
        <v>70962</v>
      </c>
      <c r="E18" s="285"/>
      <c r="F18" s="283"/>
    </row>
    <row r="19" spans="1:6" x14ac:dyDescent="0.2">
      <c r="A19" s="87" t="s">
        <v>82</v>
      </c>
      <c r="B19" s="88"/>
      <c r="C19" s="88"/>
      <c r="D19" s="95">
        <f>+summary!H4</f>
        <v>1.96</v>
      </c>
      <c r="E19" s="287"/>
      <c r="F19" s="283"/>
    </row>
    <row r="20" spans="1:6" x14ac:dyDescent="0.2">
      <c r="A20" s="87"/>
      <c r="B20" s="88"/>
      <c r="C20" s="88"/>
      <c r="D20" s="96">
        <f>+D19*D18</f>
        <v>139085.51999999999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37134</v>
      </c>
      <c r="B22" s="88"/>
      <c r="C22" s="88"/>
      <c r="D22" s="479">
        <v>-6642.45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37156</v>
      </c>
      <c r="B24" s="88"/>
      <c r="C24" s="88"/>
      <c r="D24" s="334">
        <f>+D22+D20</f>
        <v>132443.06999999998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154</v>
      </c>
      <c r="B28" s="32"/>
      <c r="C28" s="32"/>
      <c r="D28" s="32"/>
    </row>
    <row r="29" spans="1:6" x14ac:dyDescent="0.2">
      <c r="A29" s="49">
        <f>+A22</f>
        <v>37134</v>
      </c>
      <c r="B29" s="32"/>
      <c r="C29" s="32"/>
      <c r="D29" s="474">
        <v>-37836</v>
      </c>
    </row>
    <row r="30" spans="1:6" x14ac:dyDescent="0.2">
      <c r="A30" s="49">
        <f>+A24</f>
        <v>37156</v>
      </c>
      <c r="B30" s="32"/>
      <c r="C30" s="32"/>
      <c r="D30" s="376">
        <f>+D18</f>
        <v>70962</v>
      </c>
    </row>
    <row r="31" spans="1:6" x14ac:dyDescent="0.2">
      <c r="A31" s="32"/>
      <c r="B31" s="32"/>
      <c r="C31" s="32"/>
      <c r="D31" s="14">
        <f>+D30+D29</f>
        <v>33126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2" workbookViewId="3">
      <selection activeCell="D27" sqref="D27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41"/>
      <c r="J2" s="2"/>
      <c r="K2" s="2"/>
      <c r="L2" s="104"/>
      <c r="M2" s="143" t="s">
        <v>194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41" t="s">
        <v>40</v>
      </c>
      <c r="I3" s="4" t="s">
        <v>20</v>
      </c>
      <c r="J3" s="4" t="s">
        <v>21</v>
      </c>
      <c r="K3" s="439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28554</v>
      </c>
      <c r="C4" s="11">
        <v>33234</v>
      </c>
      <c r="D4" s="11">
        <v>33359</v>
      </c>
      <c r="E4" s="11">
        <v>35317</v>
      </c>
      <c r="F4" s="25">
        <f>+E4+C4-D4-B4</f>
        <v>6638</v>
      </c>
      <c r="G4" s="25"/>
      <c r="H4" s="441"/>
      <c r="I4" s="14"/>
      <c r="J4" s="14"/>
      <c r="K4" s="14">
        <f t="shared" ref="K4:K9" si="0">+J4-I4</f>
        <v>0</v>
      </c>
      <c r="L4" s="387"/>
      <c r="M4" s="75">
        <f t="shared" ref="M4:M9" si="1">+L4*K4</f>
        <v>0</v>
      </c>
    </row>
    <row r="5" spans="1:14" x14ac:dyDescent="0.2">
      <c r="A5" s="41">
        <v>2</v>
      </c>
      <c r="B5" s="11">
        <v>15625</v>
      </c>
      <c r="C5" s="11">
        <v>16488</v>
      </c>
      <c r="D5" s="11">
        <v>35760</v>
      </c>
      <c r="E5" s="11">
        <v>37983</v>
      </c>
      <c r="F5" s="25">
        <f t="shared" ref="F5:F34" si="2">+E5+C5-D5-B5</f>
        <v>3086</v>
      </c>
      <c r="G5" s="25"/>
      <c r="H5" s="44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87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28573</v>
      </c>
      <c r="C6" s="11">
        <v>29845</v>
      </c>
      <c r="D6" s="11">
        <v>33221</v>
      </c>
      <c r="E6" s="11">
        <v>34952</v>
      </c>
      <c r="F6" s="25">
        <f t="shared" si="2"/>
        <v>3003</v>
      </c>
      <c r="G6" s="25"/>
      <c r="H6" s="44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87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25755</v>
      </c>
      <c r="C7" s="11">
        <v>30000</v>
      </c>
      <c r="D7" s="11">
        <v>32149</v>
      </c>
      <c r="E7" s="11">
        <v>33000</v>
      </c>
      <c r="F7" s="25">
        <f t="shared" si="2"/>
        <v>5096</v>
      </c>
      <c r="G7" s="25"/>
      <c r="H7" s="44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87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28748</v>
      </c>
      <c r="C8" s="11">
        <v>27000</v>
      </c>
      <c r="D8" s="11">
        <v>29943</v>
      </c>
      <c r="E8" s="11">
        <v>29000</v>
      </c>
      <c r="F8" s="25">
        <f t="shared" si="2"/>
        <v>-2691</v>
      </c>
      <c r="G8" s="25"/>
      <c r="H8" s="44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87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29619</v>
      </c>
      <c r="C9" s="11">
        <v>28499</v>
      </c>
      <c r="D9" s="11">
        <v>29027</v>
      </c>
      <c r="E9" s="11">
        <v>27500</v>
      </c>
      <c r="F9" s="25">
        <f t="shared" si="2"/>
        <v>-2647</v>
      </c>
      <c r="G9" s="25"/>
      <c r="H9" s="44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87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30828</v>
      </c>
      <c r="C10" s="11">
        <v>25000</v>
      </c>
      <c r="D10" s="129">
        <v>31950</v>
      </c>
      <c r="E10" s="11">
        <v>30999</v>
      </c>
      <c r="F10" s="25">
        <f t="shared" si="2"/>
        <v>-6779</v>
      </c>
      <c r="G10" s="25"/>
      <c r="H10" s="441"/>
      <c r="I10" s="14"/>
      <c r="J10" s="14"/>
      <c r="K10" s="14"/>
      <c r="L10" s="387"/>
      <c r="M10" s="15"/>
      <c r="N10" s="15">
        <f>SUM(N5:N9)</f>
        <v>489002.35</v>
      </c>
    </row>
    <row r="11" spans="1:14" x14ac:dyDescent="0.2">
      <c r="A11" s="41">
        <v>8</v>
      </c>
      <c r="B11" s="11">
        <v>30687</v>
      </c>
      <c r="C11" s="11">
        <v>23000</v>
      </c>
      <c r="D11" s="11">
        <v>32614</v>
      </c>
      <c r="E11" s="11">
        <v>32999</v>
      </c>
      <c r="F11" s="25">
        <f t="shared" si="2"/>
        <v>-7302</v>
      </c>
      <c r="G11" s="25"/>
      <c r="H11" s="441"/>
      <c r="I11" s="14"/>
      <c r="J11" s="14"/>
      <c r="K11" s="15"/>
      <c r="L11" s="387"/>
      <c r="M11" s="15"/>
      <c r="N11" s="15">
        <f>SUM(M5:M9)</f>
        <v>489002.35000000003</v>
      </c>
    </row>
    <row r="12" spans="1:14" x14ac:dyDescent="0.2">
      <c r="A12" s="41">
        <v>9</v>
      </c>
      <c r="B12" s="11">
        <v>29910</v>
      </c>
      <c r="C12" s="11">
        <v>23000</v>
      </c>
      <c r="D12" s="11">
        <v>32422</v>
      </c>
      <c r="E12" s="11">
        <v>32999</v>
      </c>
      <c r="F12" s="25">
        <f t="shared" si="2"/>
        <v>-6333</v>
      </c>
      <c r="G12" s="25"/>
      <c r="H12" s="441"/>
      <c r="I12" s="24"/>
      <c r="J12" s="24"/>
      <c r="K12" s="110"/>
      <c r="L12" s="443"/>
      <c r="M12" s="110"/>
    </row>
    <row r="13" spans="1:14" x14ac:dyDescent="0.2">
      <c r="A13" s="41">
        <v>10</v>
      </c>
      <c r="B13" s="129">
        <v>27830</v>
      </c>
      <c r="C13" s="11">
        <v>23000</v>
      </c>
      <c r="D13" s="129">
        <v>31900</v>
      </c>
      <c r="E13" s="11">
        <v>32999</v>
      </c>
      <c r="F13" s="25">
        <f t="shared" si="2"/>
        <v>-3731</v>
      </c>
      <c r="G13" s="25"/>
      <c r="I13" s="24"/>
      <c r="J13" s="24"/>
      <c r="K13" s="24">
        <f>SUM(K4:K12)</f>
        <v>135930</v>
      </c>
      <c r="L13" s="443"/>
      <c r="M13" s="110">
        <f>SUM(M4:M12)</f>
        <v>489002.35000000003</v>
      </c>
    </row>
    <row r="14" spans="1:14" x14ac:dyDescent="0.2">
      <c r="A14" s="41">
        <v>11</v>
      </c>
      <c r="B14" s="11">
        <v>29936</v>
      </c>
      <c r="C14" s="11">
        <v>23000</v>
      </c>
      <c r="D14" s="11">
        <v>31208</v>
      </c>
      <c r="E14" s="11">
        <v>32999</v>
      </c>
      <c r="F14" s="25">
        <f t="shared" si="2"/>
        <v>-5145</v>
      </c>
      <c r="G14" s="25"/>
    </row>
    <row r="15" spans="1:14" x14ac:dyDescent="0.2">
      <c r="A15" s="41">
        <v>12</v>
      </c>
      <c r="B15" s="11">
        <v>31245</v>
      </c>
      <c r="C15" s="11">
        <v>23000</v>
      </c>
      <c r="D15" s="11">
        <v>33726</v>
      </c>
      <c r="E15" s="11">
        <v>32999</v>
      </c>
      <c r="F15" s="25">
        <f t="shared" si="2"/>
        <v>-8972</v>
      </c>
      <c r="G15" s="25"/>
    </row>
    <row r="16" spans="1:14" x14ac:dyDescent="0.2">
      <c r="A16" s="41">
        <v>13</v>
      </c>
      <c r="B16" s="11">
        <v>30688</v>
      </c>
      <c r="C16" s="11">
        <v>26000</v>
      </c>
      <c r="D16" s="11">
        <v>30941</v>
      </c>
      <c r="E16" s="11">
        <v>29999</v>
      </c>
      <c r="F16" s="25">
        <f t="shared" si="2"/>
        <v>-5630</v>
      </c>
      <c r="G16" s="25"/>
    </row>
    <row r="17" spans="1:7" x14ac:dyDescent="0.2">
      <c r="A17" s="41">
        <v>14</v>
      </c>
      <c r="B17" s="11">
        <v>29277</v>
      </c>
      <c r="C17" s="11">
        <v>25889</v>
      </c>
      <c r="D17" s="11">
        <v>32687</v>
      </c>
      <c r="E17" s="11">
        <v>29870</v>
      </c>
      <c r="F17" s="25">
        <f t="shared" si="2"/>
        <v>-6205</v>
      </c>
      <c r="G17" s="25"/>
    </row>
    <row r="18" spans="1:7" x14ac:dyDescent="0.2">
      <c r="A18" s="41">
        <v>15</v>
      </c>
      <c r="B18" s="11">
        <v>30223</v>
      </c>
      <c r="C18" s="11">
        <v>26000</v>
      </c>
      <c r="D18" s="11">
        <v>34303</v>
      </c>
      <c r="E18" s="11">
        <v>29999</v>
      </c>
      <c r="F18" s="25">
        <f t="shared" si="2"/>
        <v>-8527</v>
      </c>
      <c r="G18" s="25"/>
    </row>
    <row r="19" spans="1:7" x14ac:dyDescent="0.2">
      <c r="A19" s="41">
        <v>16</v>
      </c>
      <c r="B19" s="11">
        <v>30657</v>
      </c>
      <c r="C19" s="11">
        <v>26000</v>
      </c>
      <c r="D19" s="11">
        <v>33809</v>
      </c>
      <c r="E19" s="11">
        <v>29999</v>
      </c>
      <c r="F19" s="25">
        <f t="shared" si="2"/>
        <v>-8467</v>
      </c>
      <c r="G19" s="25"/>
    </row>
    <row r="20" spans="1:7" x14ac:dyDescent="0.2">
      <c r="A20" s="41">
        <v>17</v>
      </c>
      <c r="B20" s="11">
        <v>30100</v>
      </c>
      <c r="C20" s="11">
        <v>26000</v>
      </c>
      <c r="D20" s="11">
        <v>33967</v>
      </c>
      <c r="E20" s="11">
        <v>29999</v>
      </c>
      <c r="F20" s="25">
        <f t="shared" si="2"/>
        <v>-8068</v>
      </c>
      <c r="G20" s="25"/>
    </row>
    <row r="21" spans="1:7" x14ac:dyDescent="0.2">
      <c r="A21" s="41">
        <v>18</v>
      </c>
      <c r="B21" s="11">
        <v>30272</v>
      </c>
      <c r="C21" s="11">
        <v>26000</v>
      </c>
      <c r="D21" s="129">
        <v>35296</v>
      </c>
      <c r="E21" s="11">
        <v>29999</v>
      </c>
      <c r="F21" s="25">
        <f t="shared" si="2"/>
        <v>-9569</v>
      </c>
      <c r="G21" s="25"/>
    </row>
    <row r="22" spans="1:7" x14ac:dyDescent="0.2">
      <c r="A22" s="41">
        <v>19</v>
      </c>
      <c r="B22" s="11">
        <v>31177</v>
      </c>
      <c r="C22" s="11">
        <v>26000</v>
      </c>
      <c r="D22" s="11">
        <v>33887</v>
      </c>
      <c r="E22" s="11">
        <v>29999</v>
      </c>
      <c r="F22" s="25">
        <f t="shared" si="2"/>
        <v>-9065</v>
      </c>
      <c r="G22" s="25"/>
    </row>
    <row r="23" spans="1:7" x14ac:dyDescent="0.2">
      <c r="A23" s="41">
        <v>20</v>
      </c>
      <c r="B23" s="11">
        <v>27639</v>
      </c>
      <c r="C23" s="11">
        <v>20000</v>
      </c>
      <c r="D23" s="11">
        <v>32416</v>
      </c>
      <c r="E23" s="11">
        <v>35999</v>
      </c>
      <c r="F23" s="25">
        <f t="shared" si="2"/>
        <v>-4056</v>
      </c>
      <c r="G23" s="25"/>
    </row>
    <row r="24" spans="1:7" x14ac:dyDescent="0.2">
      <c r="A24" s="41">
        <v>21</v>
      </c>
      <c r="B24" s="11">
        <v>27837</v>
      </c>
      <c r="C24" s="11">
        <v>28000</v>
      </c>
      <c r="D24" s="11">
        <v>31306</v>
      </c>
      <c r="E24" s="11">
        <v>35000</v>
      </c>
      <c r="F24" s="25">
        <f t="shared" si="2"/>
        <v>3857</v>
      </c>
      <c r="G24" s="25"/>
    </row>
    <row r="25" spans="1:7" x14ac:dyDescent="0.2">
      <c r="A25" s="41">
        <v>22</v>
      </c>
      <c r="B25" s="11">
        <v>29096</v>
      </c>
      <c r="C25" s="11">
        <v>28000</v>
      </c>
      <c r="D25" s="11">
        <v>32998</v>
      </c>
      <c r="E25" s="11">
        <v>35000</v>
      </c>
      <c r="F25" s="25">
        <f t="shared" si="2"/>
        <v>906</v>
      </c>
      <c r="G25" s="25"/>
    </row>
    <row r="26" spans="1:7" x14ac:dyDescent="0.2">
      <c r="A26" s="41">
        <v>23</v>
      </c>
      <c r="B26" s="11">
        <v>24426</v>
      </c>
      <c r="C26" s="11">
        <v>28000</v>
      </c>
      <c r="D26" s="129">
        <v>31774</v>
      </c>
      <c r="E26" s="11">
        <v>35000</v>
      </c>
      <c r="F26" s="25">
        <f t="shared" si="2"/>
        <v>6800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658702</v>
      </c>
      <c r="C35" s="11">
        <f>SUM(C4:C34)</f>
        <v>590955</v>
      </c>
      <c r="D35" s="11">
        <f>SUM(D4:D34)</f>
        <v>750663</v>
      </c>
      <c r="E35" s="11">
        <f>SUM(E4:E34)</f>
        <v>744609</v>
      </c>
      <c r="F35" s="11">
        <f>+E35-D35+C35-B35</f>
        <v>-73801</v>
      </c>
    </row>
    <row r="36" spans="1:7" x14ac:dyDescent="0.2">
      <c r="A36" s="45"/>
      <c r="C36" s="14">
        <f>+C35-B35</f>
        <v>-67747</v>
      </c>
      <c r="D36" s="14"/>
      <c r="E36" s="14">
        <f>+E35-D35</f>
        <v>-6054</v>
      </c>
      <c r="F36" s="47"/>
    </row>
    <row r="37" spans="1:7" x14ac:dyDescent="0.2">
      <c r="C37" s="15">
        <f>+summary!H4</f>
        <v>1.96</v>
      </c>
      <c r="D37" s="15"/>
      <c r="E37" s="15">
        <f>+C37</f>
        <v>1.96</v>
      </c>
      <c r="F37" s="24"/>
    </row>
    <row r="38" spans="1:7" x14ac:dyDescent="0.2">
      <c r="C38" s="48">
        <f>+C37*C36</f>
        <v>-132784.12</v>
      </c>
      <c r="D38" s="47"/>
      <c r="E38" s="48">
        <f>+E37*E36</f>
        <v>-11865.84</v>
      </c>
      <c r="F38" s="46">
        <f>+E38+C38</f>
        <v>-144649.96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37134</v>
      </c>
      <c r="C40" s="477">
        <v>441786.89</v>
      </c>
      <c r="D40" s="111"/>
      <c r="E40" s="477">
        <v>100794.76</v>
      </c>
      <c r="F40" s="352">
        <f>+E40+C40</f>
        <v>542581.65</v>
      </c>
      <c r="G40" s="25"/>
    </row>
    <row r="41" spans="1:7" x14ac:dyDescent="0.2">
      <c r="A41" s="57">
        <v>37157</v>
      </c>
      <c r="C41" s="106">
        <f>+C40+C38</f>
        <v>309002.77</v>
      </c>
      <c r="D41" s="106"/>
      <c r="E41" s="106">
        <f>+E40+E38</f>
        <v>88928.92</v>
      </c>
      <c r="F41" s="106">
        <f>+E41+C41</f>
        <v>397931.69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154</v>
      </c>
      <c r="E45" s="11"/>
      <c r="F45" s="11"/>
      <c r="G45" s="25"/>
    </row>
    <row r="46" spans="1:7" x14ac:dyDescent="0.2">
      <c r="A46" s="49">
        <f>+A40</f>
        <v>37134</v>
      </c>
      <c r="D46" s="475">
        <f>36388+33437</f>
        <v>69825</v>
      </c>
      <c r="E46" s="11"/>
      <c r="F46" s="11"/>
      <c r="G46" s="25"/>
    </row>
    <row r="47" spans="1:7" x14ac:dyDescent="0.2">
      <c r="A47" s="49">
        <f>+A41</f>
        <v>37157</v>
      </c>
      <c r="D47" s="376">
        <f>+F35</f>
        <v>-73801</v>
      </c>
      <c r="E47" s="11"/>
      <c r="F47" s="11"/>
      <c r="G47" s="25"/>
    </row>
    <row r="48" spans="1:7" x14ac:dyDescent="0.2">
      <c r="D48" s="14">
        <f>+D47+D46</f>
        <v>-3976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8" workbookViewId="3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126397</v>
      </c>
      <c r="C5" s="11">
        <v>140595</v>
      </c>
      <c r="D5" s="11"/>
      <c r="E5" s="11">
        <v>-14918</v>
      </c>
      <c r="F5" s="11">
        <f>+C5+E5-B5-D5</f>
        <v>-720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130730</v>
      </c>
      <c r="C6" s="11">
        <v>150891</v>
      </c>
      <c r="D6" s="11"/>
      <c r="E6" s="11">
        <v>-21381</v>
      </c>
      <c r="F6" s="11">
        <f t="shared" ref="F6:F35" si="2">+C6+E6-B6-D6</f>
        <v>-1220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160915</v>
      </c>
      <c r="C7" s="11">
        <v>162126</v>
      </c>
      <c r="D7" s="11"/>
      <c r="E7" s="11"/>
      <c r="F7" s="11">
        <f t="shared" si="2"/>
        <v>1211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146983</v>
      </c>
      <c r="C8" s="11">
        <v>153572</v>
      </c>
      <c r="D8" s="11"/>
      <c r="E8" s="11">
        <v>-6935</v>
      </c>
      <c r="F8" s="11">
        <f t="shared" si="2"/>
        <v>-346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216615</v>
      </c>
      <c r="C9" s="11">
        <v>215822</v>
      </c>
      <c r="D9" s="11"/>
      <c r="E9" s="11"/>
      <c r="F9" s="11">
        <f t="shared" si="2"/>
        <v>-793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230620</v>
      </c>
      <c r="C10" s="11">
        <v>230676</v>
      </c>
      <c r="D10" s="11"/>
      <c r="E10" s="11"/>
      <c r="F10" s="11">
        <f t="shared" si="2"/>
        <v>56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201058</v>
      </c>
      <c r="C11" s="11">
        <v>210081</v>
      </c>
      <c r="D11" s="11"/>
      <c r="E11" s="11">
        <v>-10154</v>
      </c>
      <c r="F11" s="11">
        <f t="shared" si="2"/>
        <v>-1131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169372</v>
      </c>
      <c r="C12" s="11">
        <v>171574</v>
      </c>
      <c r="D12" s="11"/>
      <c r="E12" s="11"/>
      <c r="F12" s="11">
        <f t="shared" si="2"/>
        <v>2202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160298</v>
      </c>
      <c r="C13" s="11">
        <v>167233</v>
      </c>
      <c r="D13" s="11"/>
      <c r="E13" s="11">
        <v>-7013</v>
      </c>
      <c r="F13" s="11">
        <f t="shared" si="2"/>
        <v>-78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159930</v>
      </c>
      <c r="C14" s="11">
        <v>171029</v>
      </c>
      <c r="D14" s="11"/>
      <c r="E14" s="11">
        <v>-10981</v>
      </c>
      <c r="F14" s="11">
        <f t="shared" si="2"/>
        <v>118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169213</v>
      </c>
      <c r="C15" s="11">
        <v>169874</v>
      </c>
      <c r="D15" s="11"/>
      <c r="E15" s="11">
        <v>-2245</v>
      </c>
      <c r="F15" s="11">
        <f t="shared" si="2"/>
        <v>-1584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147925</v>
      </c>
      <c r="C16" s="11">
        <v>156137</v>
      </c>
      <c r="D16" s="11"/>
      <c r="E16" s="11">
        <v>-8994</v>
      </c>
      <c r="F16" s="11">
        <f t="shared" si="2"/>
        <v>-782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140097</v>
      </c>
      <c r="C17" s="11">
        <v>139829</v>
      </c>
      <c r="D17" s="11"/>
      <c r="E17" s="11"/>
      <c r="F17" s="11">
        <f t="shared" si="2"/>
        <v>-268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177453</v>
      </c>
      <c r="C18" s="11">
        <v>176528</v>
      </c>
      <c r="D18" s="11"/>
      <c r="E18" s="11"/>
      <c r="F18" s="11">
        <f t="shared" si="2"/>
        <v>-925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154523</v>
      </c>
      <c r="C19" s="11">
        <v>164970</v>
      </c>
      <c r="D19" s="11"/>
      <c r="E19" s="11">
        <v>-10213</v>
      </c>
      <c r="F19" s="11">
        <f t="shared" si="2"/>
        <v>234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162410</v>
      </c>
      <c r="C20" s="11">
        <v>176488</v>
      </c>
      <c r="D20" s="11"/>
      <c r="E20" s="11">
        <v>-14704</v>
      </c>
      <c r="F20" s="11">
        <f t="shared" si="2"/>
        <v>-626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130334</v>
      </c>
      <c r="C21" s="11">
        <v>164947</v>
      </c>
      <c r="D21" s="11"/>
      <c r="E21" s="11">
        <v>-40143</v>
      </c>
      <c r="F21" s="11">
        <f t="shared" si="2"/>
        <v>-5530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125170</v>
      </c>
      <c r="C22" s="11">
        <v>168769</v>
      </c>
      <c r="D22" s="11"/>
      <c r="E22" s="11">
        <v>-44621</v>
      </c>
      <c r="F22" s="11">
        <f t="shared" si="2"/>
        <v>-1022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92463</v>
      </c>
      <c r="C23" s="11">
        <v>167291</v>
      </c>
      <c r="D23" s="11"/>
      <c r="E23" s="11">
        <v>-76220</v>
      </c>
      <c r="F23" s="11">
        <f t="shared" si="2"/>
        <v>-1392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47088</v>
      </c>
      <c r="C24" s="11">
        <v>87572</v>
      </c>
      <c r="D24" s="11"/>
      <c r="E24" s="11">
        <v>-42945</v>
      </c>
      <c r="F24" s="11">
        <f t="shared" si="2"/>
        <v>-2461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95926</v>
      </c>
      <c r="C25" s="11">
        <v>98435</v>
      </c>
      <c r="D25" s="11"/>
      <c r="E25" s="11">
        <v>-1862</v>
      </c>
      <c r="F25" s="11">
        <f t="shared" si="2"/>
        <v>647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135495</v>
      </c>
      <c r="C26" s="11">
        <v>150323</v>
      </c>
      <c r="D26" s="11"/>
      <c r="E26" s="11">
        <v>-15925</v>
      </c>
      <c r="F26" s="11">
        <f t="shared" si="2"/>
        <v>-1097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3281015</v>
      </c>
      <c r="C36" s="11">
        <f>SUM(C5:C35)</f>
        <v>3594762</v>
      </c>
      <c r="D36" s="11">
        <f>SUM(D5:D35)</f>
        <v>0</v>
      </c>
      <c r="E36" s="11">
        <f>SUM(E5:E35)</f>
        <v>-329254</v>
      </c>
      <c r="F36" s="11">
        <f>SUM(F5:F35)</f>
        <v>-15507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37134</v>
      </c>
      <c r="F39" s="495">
        <v>68901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37156</v>
      </c>
      <c r="F41" s="353">
        <f>+F39+F36</f>
        <v>53394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155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37134</v>
      </c>
      <c r="C47" s="32"/>
      <c r="D47" s="32"/>
      <c r="E47" s="491">
        <v>-316403.94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37156</v>
      </c>
      <c r="C48" s="32"/>
      <c r="D48" s="32"/>
      <c r="E48" s="405">
        <f>+F36*'by type_area'!J3</f>
        <v>-28222.74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-344626.68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31" workbookViewId="3">
      <selection activeCell="C53" sqref="C53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72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101561</v>
      </c>
      <c r="C8" s="11">
        <v>99387</v>
      </c>
      <c r="D8" s="11">
        <f>+C8-B8</f>
        <v>-2174</v>
      </c>
      <c r="E8" s="10"/>
      <c r="F8" s="11"/>
      <c r="G8" s="11"/>
      <c r="H8" s="11"/>
    </row>
    <row r="9" spans="1:8" x14ac:dyDescent="0.2">
      <c r="A9" s="10">
        <v>2</v>
      </c>
      <c r="B9" s="11">
        <v>104070</v>
      </c>
      <c r="C9" s="11">
        <v>104668</v>
      </c>
      <c r="D9" s="11">
        <f t="shared" ref="D9:D38" si="0">+C9-B9</f>
        <v>598</v>
      </c>
      <c r="E9" s="10"/>
      <c r="F9" s="11"/>
      <c r="G9" s="11"/>
      <c r="H9" s="11"/>
    </row>
    <row r="10" spans="1:8" x14ac:dyDescent="0.2">
      <c r="A10" s="10">
        <v>3</v>
      </c>
      <c r="B10" s="11">
        <v>102908</v>
      </c>
      <c r="C10" s="11">
        <v>102434</v>
      </c>
      <c r="D10" s="11">
        <f t="shared" si="0"/>
        <v>-474</v>
      </c>
      <c r="E10" s="10"/>
      <c r="F10" s="11"/>
      <c r="G10" s="11"/>
      <c r="H10" s="11"/>
    </row>
    <row r="11" spans="1:8" x14ac:dyDescent="0.2">
      <c r="A11" s="10">
        <v>4</v>
      </c>
      <c r="B11" s="11">
        <v>84773</v>
      </c>
      <c r="C11" s="11">
        <v>83676</v>
      </c>
      <c r="D11" s="11">
        <f t="shared" si="0"/>
        <v>-1097</v>
      </c>
      <c r="E11" s="10"/>
      <c r="F11" s="11"/>
      <c r="G11" s="11"/>
      <c r="H11" s="11"/>
    </row>
    <row r="12" spans="1:8" x14ac:dyDescent="0.2">
      <c r="A12" s="10">
        <v>5</v>
      </c>
      <c r="B12" s="11">
        <v>70058</v>
      </c>
      <c r="C12" s="11">
        <v>70461</v>
      </c>
      <c r="D12" s="11">
        <f t="shared" si="0"/>
        <v>403</v>
      </c>
      <c r="E12" s="10"/>
      <c r="F12" s="11"/>
      <c r="G12" s="11"/>
      <c r="H12" s="11"/>
    </row>
    <row r="13" spans="1:8" x14ac:dyDescent="0.2">
      <c r="A13" s="10">
        <v>6</v>
      </c>
      <c r="B13" s="11">
        <v>93868</v>
      </c>
      <c r="C13" s="11">
        <v>93801</v>
      </c>
      <c r="D13" s="11">
        <f t="shared" si="0"/>
        <v>-67</v>
      </c>
      <c r="E13" s="10"/>
      <c r="F13" s="11"/>
      <c r="G13" s="11"/>
      <c r="H13" s="11"/>
    </row>
    <row r="14" spans="1:8" x14ac:dyDescent="0.2">
      <c r="A14" s="10">
        <v>7</v>
      </c>
      <c r="B14" s="11">
        <v>91997</v>
      </c>
      <c r="C14" s="11">
        <v>92787</v>
      </c>
      <c r="D14" s="11">
        <f t="shared" si="0"/>
        <v>790</v>
      </c>
      <c r="E14" s="10"/>
      <c r="F14" s="11"/>
      <c r="G14" s="11"/>
      <c r="H14" s="11"/>
    </row>
    <row r="15" spans="1:8" x14ac:dyDescent="0.2">
      <c r="A15" s="10">
        <v>8</v>
      </c>
      <c r="B15" s="11">
        <v>92287</v>
      </c>
      <c r="C15" s="11">
        <v>91788</v>
      </c>
      <c r="D15" s="11">
        <f t="shared" si="0"/>
        <v>-499</v>
      </c>
      <c r="E15" s="10"/>
      <c r="F15" s="11"/>
      <c r="G15" s="11"/>
      <c r="H15" s="11"/>
    </row>
    <row r="16" spans="1:8" x14ac:dyDescent="0.2">
      <c r="A16" s="10">
        <v>9</v>
      </c>
      <c r="B16" s="11">
        <v>92020</v>
      </c>
      <c r="C16" s="11">
        <v>91755</v>
      </c>
      <c r="D16" s="11">
        <f t="shared" si="0"/>
        <v>-265</v>
      </c>
      <c r="E16" s="10"/>
      <c r="F16" s="11"/>
      <c r="G16" s="11"/>
      <c r="H16" s="11"/>
    </row>
    <row r="17" spans="1:8" x14ac:dyDescent="0.2">
      <c r="A17" s="10">
        <v>10</v>
      </c>
      <c r="B17" s="11">
        <v>92001</v>
      </c>
      <c r="C17" s="11">
        <v>91755</v>
      </c>
      <c r="D17" s="11">
        <f t="shared" si="0"/>
        <v>-246</v>
      </c>
      <c r="E17" s="10"/>
      <c r="F17" s="11"/>
      <c r="G17" s="11"/>
      <c r="H17" s="11"/>
    </row>
    <row r="18" spans="1:8" x14ac:dyDescent="0.2">
      <c r="A18" s="10">
        <v>11</v>
      </c>
      <c r="B18" s="11">
        <v>106982</v>
      </c>
      <c r="C18" s="11">
        <v>105491</v>
      </c>
      <c r="D18" s="11">
        <f t="shared" si="0"/>
        <v>-1491</v>
      </c>
      <c r="E18" s="10"/>
      <c r="F18" s="11"/>
      <c r="G18" s="11"/>
      <c r="H18" s="11"/>
    </row>
    <row r="19" spans="1:8" x14ac:dyDescent="0.2">
      <c r="A19" s="10">
        <v>12</v>
      </c>
      <c r="B19" s="11">
        <v>71838</v>
      </c>
      <c r="C19" s="11">
        <v>70381</v>
      </c>
      <c r="D19" s="11">
        <f t="shared" si="0"/>
        <v>-1457</v>
      </c>
      <c r="E19" s="10"/>
      <c r="F19" s="11"/>
      <c r="G19" s="11"/>
      <c r="H19" s="11"/>
    </row>
    <row r="20" spans="1:8" x14ac:dyDescent="0.2">
      <c r="A20" s="10">
        <v>13</v>
      </c>
      <c r="B20" s="11">
        <v>72981</v>
      </c>
      <c r="C20" s="11">
        <v>72469</v>
      </c>
      <c r="D20" s="11">
        <f t="shared" si="0"/>
        <v>-512</v>
      </c>
      <c r="E20" s="10"/>
      <c r="F20" s="11"/>
      <c r="G20" s="11"/>
      <c r="H20" s="11"/>
    </row>
    <row r="21" spans="1:8" x14ac:dyDescent="0.2">
      <c r="A21" s="10">
        <v>14</v>
      </c>
      <c r="B21" s="11">
        <v>92471</v>
      </c>
      <c r="C21" s="11">
        <v>92484</v>
      </c>
      <c r="D21" s="11">
        <f t="shared" si="0"/>
        <v>13</v>
      </c>
      <c r="E21" s="10"/>
      <c r="F21" s="11"/>
      <c r="G21" s="11"/>
      <c r="H21" s="11"/>
    </row>
    <row r="22" spans="1:8" x14ac:dyDescent="0.2">
      <c r="A22" s="10">
        <v>15</v>
      </c>
      <c r="B22" s="11">
        <v>95420</v>
      </c>
      <c r="C22" s="11">
        <v>94718</v>
      </c>
      <c r="D22" s="11">
        <f t="shared" si="0"/>
        <v>-702</v>
      </c>
      <c r="E22" s="10"/>
      <c r="F22" s="11"/>
      <c r="G22" s="11"/>
      <c r="H22" s="11"/>
    </row>
    <row r="23" spans="1:8" x14ac:dyDescent="0.2">
      <c r="A23" s="10">
        <v>16</v>
      </c>
      <c r="B23" s="11">
        <v>96997</v>
      </c>
      <c r="C23" s="11">
        <v>96172</v>
      </c>
      <c r="D23" s="11">
        <f t="shared" si="0"/>
        <v>-825</v>
      </c>
      <c r="E23" s="10"/>
      <c r="F23" s="11"/>
      <c r="G23" s="11"/>
      <c r="H23" s="11"/>
    </row>
    <row r="24" spans="1:8" x14ac:dyDescent="0.2">
      <c r="A24" s="10">
        <v>17</v>
      </c>
      <c r="B24" s="11">
        <v>98737</v>
      </c>
      <c r="C24" s="11">
        <v>97875</v>
      </c>
      <c r="D24" s="11">
        <f t="shared" si="0"/>
        <v>-862</v>
      </c>
      <c r="E24" s="10"/>
      <c r="F24" s="11"/>
      <c r="G24" s="11"/>
      <c r="H24" s="11"/>
    </row>
    <row r="25" spans="1:8" x14ac:dyDescent="0.2">
      <c r="A25" s="10">
        <v>18</v>
      </c>
      <c r="B25" s="11">
        <v>70178</v>
      </c>
      <c r="C25" s="11">
        <v>70454</v>
      </c>
      <c r="D25" s="11">
        <f t="shared" si="0"/>
        <v>276</v>
      </c>
      <c r="E25" s="10"/>
      <c r="F25" s="11"/>
      <c r="G25" s="11"/>
      <c r="H25" s="11"/>
    </row>
    <row r="26" spans="1:8" x14ac:dyDescent="0.2">
      <c r="A26" s="10">
        <v>19</v>
      </c>
      <c r="B26" s="11">
        <v>74069</v>
      </c>
      <c r="C26" s="11">
        <v>74603</v>
      </c>
      <c r="D26" s="11">
        <f t="shared" si="0"/>
        <v>534</v>
      </c>
      <c r="E26" s="10"/>
      <c r="F26" s="11"/>
      <c r="G26" s="11"/>
      <c r="H26" s="11"/>
    </row>
    <row r="27" spans="1:8" x14ac:dyDescent="0.2">
      <c r="A27" s="10">
        <v>20</v>
      </c>
      <c r="B27" s="11">
        <v>113995</v>
      </c>
      <c r="C27" s="11">
        <v>119852</v>
      </c>
      <c r="D27" s="11">
        <f t="shared" si="0"/>
        <v>5857</v>
      </c>
      <c r="E27" s="10"/>
      <c r="F27" s="11"/>
      <c r="G27" s="11"/>
      <c r="H27" s="11"/>
    </row>
    <row r="28" spans="1:8" x14ac:dyDescent="0.2">
      <c r="A28" s="10">
        <v>21</v>
      </c>
      <c r="B28" s="11">
        <v>116731</v>
      </c>
      <c r="C28" s="11">
        <v>115830</v>
      </c>
      <c r="D28" s="11">
        <f t="shared" si="0"/>
        <v>-901</v>
      </c>
      <c r="E28" s="10"/>
      <c r="F28" s="11"/>
      <c r="G28" s="11"/>
      <c r="H28" s="11"/>
    </row>
    <row r="29" spans="1:8" x14ac:dyDescent="0.2">
      <c r="A29" s="10">
        <v>22</v>
      </c>
      <c r="B29" s="11">
        <v>87813</v>
      </c>
      <c r="C29" s="11">
        <v>87532</v>
      </c>
      <c r="D29" s="11">
        <f t="shared" si="0"/>
        <v>-281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08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2023755</v>
      </c>
      <c r="C39" s="11">
        <f>SUM(C8:C38)</f>
        <v>2020373</v>
      </c>
      <c r="D39" s="11">
        <f>SUM(D8:D38)</f>
        <v>-3382</v>
      </c>
      <c r="E39" s="10"/>
      <c r="F39" s="11"/>
      <c r="G39" s="11"/>
      <c r="H39" s="11"/>
    </row>
    <row r="40" spans="1:8" x14ac:dyDescent="0.2">
      <c r="A40" s="26"/>
      <c r="D40" s="75">
        <f>+summary!H4</f>
        <v>1.96</v>
      </c>
      <c r="E40" s="26"/>
      <c r="H40" s="75"/>
    </row>
    <row r="41" spans="1:8" x14ac:dyDescent="0.2">
      <c r="D41" s="197">
        <f>+D40*D39</f>
        <v>-6628.72</v>
      </c>
      <c r="F41" s="252"/>
      <c r="H41" s="197"/>
    </row>
    <row r="42" spans="1:8" x14ac:dyDescent="0.2">
      <c r="A42" s="57">
        <v>37134</v>
      </c>
      <c r="D42" s="489">
        <v>40812.85</v>
      </c>
      <c r="E42" s="57"/>
      <c r="H42" s="197"/>
    </row>
    <row r="43" spans="1:8" x14ac:dyDescent="0.2">
      <c r="A43" s="57">
        <v>37156</v>
      </c>
      <c r="D43" s="198">
        <f>+D42+D41</f>
        <v>34184.129999999997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154</v>
      </c>
      <c r="B47" s="32"/>
      <c r="C47" s="32"/>
      <c r="D47" s="32"/>
    </row>
    <row r="48" spans="1:8" x14ac:dyDescent="0.2">
      <c r="A48" s="49">
        <f>+A42</f>
        <v>37134</v>
      </c>
      <c r="B48" s="32"/>
      <c r="C48" s="32"/>
      <c r="D48" s="474">
        <v>-36540</v>
      </c>
    </row>
    <row r="49" spans="1:4" x14ac:dyDescent="0.2">
      <c r="A49" s="49">
        <f>+A43</f>
        <v>37156</v>
      </c>
      <c r="B49" s="32"/>
      <c r="C49" s="32"/>
      <c r="D49" s="376">
        <f>+D39</f>
        <v>-3382</v>
      </c>
    </row>
    <row r="50" spans="1:4" x14ac:dyDescent="0.2">
      <c r="A50" s="32"/>
      <c r="B50" s="32"/>
      <c r="C50" s="32"/>
      <c r="D50" s="14">
        <f>+D49+D48</f>
        <v>-39922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28" workbookViewId="3">
      <selection activeCell="B44" sqref="B44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</cols>
  <sheetData>
    <row r="2" spans="1:10" x14ac:dyDescent="0.2">
      <c r="A2" s="2" t="s">
        <v>94</v>
      </c>
      <c r="G2" s="32"/>
      <c r="H2" s="15"/>
      <c r="I2" s="32"/>
      <c r="J2" s="32"/>
    </row>
    <row r="3" spans="1:10" x14ac:dyDescent="0.2">
      <c r="A3" s="2" t="s">
        <v>73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37134</v>
      </c>
      <c r="C5" s="483">
        <v>1328416.6399999999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37156</v>
      </c>
      <c r="J7" s="32"/>
    </row>
    <row r="8" spans="1:10" x14ac:dyDescent="0.2">
      <c r="A8" s="253">
        <v>60874</v>
      </c>
      <c r="B8" s="361">
        <v>3651</v>
      </c>
      <c r="J8" s="32"/>
    </row>
    <row r="9" spans="1:10" x14ac:dyDescent="0.2">
      <c r="A9" s="253">
        <v>78169</v>
      </c>
      <c r="B9" s="361"/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3">
        <v>500248</v>
      </c>
      <c r="B11" s="363">
        <v>-1</v>
      </c>
      <c r="J11" s="32"/>
    </row>
    <row r="12" spans="1:10" x14ac:dyDescent="0.2">
      <c r="A12" s="253">
        <v>500251</v>
      </c>
      <c r="B12" s="332">
        <f>11660-9438</f>
        <v>2222</v>
      </c>
      <c r="J12" s="32"/>
    </row>
    <row r="13" spans="1:10" x14ac:dyDescent="0.2">
      <c r="A13" s="253">
        <v>500254</v>
      </c>
      <c r="B13" s="332">
        <f>2640-3000</f>
        <v>-360</v>
      </c>
      <c r="J13" s="32"/>
    </row>
    <row r="14" spans="1:10" x14ac:dyDescent="0.2">
      <c r="A14" s="32">
        <v>500255</v>
      </c>
      <c r="B14" s="332">
        <f>13200-12192</f>
        <v>1008</v>
      </c>
      <c r="J14" s="32"/>
    </row>
    <row r="15" spans="1:10" x14ac:dyDescent="0.2">
      <c r="A15" s="32">
        <v>500262</v>
      </c>
      <c r="B15" s="332">
        <f>5720-3903</f>
        <v>1817</v>
      </c>
      <c r="J15" s="32"/>
    </row>
    <row r="16" spans="1:10" x14ac:dyDescent="0.2">
      <c r="A16" s="290">
        <v>500267</v>
      </c>
      <c r="B16" s="362">
        <f>1225241-1226317-47702</f>
        <v>-48778</v>
      </c>
      <c r="J16" s="32"/>
    </row>
    <row r="17" spans="1:10" x14ac:dyDescent="0.2">
      <c r="B17" s="14">
        <f>SUM(B8:B16)</f>
        <v>-40441</v>
      </c>
      <c r="J17" s="32"/>
    </row>
    <row r="18" spans="1:10" x14ac:dyDescent="0.2">
      <c r="B18" s="15">
        <f>+B31</f>
        <v>1.96</v>
      </c>
      <c r="C18" s="201">
        <f>+B18*B17</f>
        <v>-79264.36</v>
      </c>
      <c r="G18" s="32"/>
      <c r="H18" s="410"/>
      <c r="I18" s="14"/>
      <c r="J18" s="32"/>
    </row>
    <row r="19" spans="1:10" x14ac:dyDescent="0.2">
      <c r="C19" s="339">
        <f>+C18+C5</f>
        <v>1249152.2799999998</v>
      </c>
      <c r="E19" s="15"/>
      <c r="G19" s="32"/>
      <c r="H19" s="410"/>
      <c r="I19" s="14"/>
      <c r="J19" s="32"/>
    </row>
    <row r="20" spans="1:10" x14ac:dyDescent="0.2">
      <c r="E20" s="15"/>
      <c r="G20" s="32"/>
      <c r="H20" s="410"/>
      <c r="I20" s="14"/>
      <c r="J20" s="32"/>
    </row>
    <row r="21" spans="1:10" x14ac:dyDescent="0.2">
      <c r="A21" s="32" t="s">
        <v>87</v>
      </c>
      <c r="G21" s="32"/>
      <c r="H21" s="410"/>
      <c r="I21" s="14"/>
      <c r="J21" s="32"/>
    </row>
    <row r="22" spans="1:10" x14ac:dyDescent="0.2">
      <c r="A22" s="2" t="s">
        <v>74</v>
      </c>
      <c r="G22" s="32"/>
      <c r="H22" s="410"/>
      <c r="I22" s="14"/>
      <c r="J22" s="32"/>
    </row>
    <row r="23" spans="1:10" x14ac:dyDescent="0.2">
      <c r="G23" s="32"/>
      <c r="H23" s="410"/>
      <c r="I23" s="14"/>
      <c r="J23" s="32"/>
    </row>
    <row r="24" spans="1:10" x14ac:dyDescent="0.2">
      <c r="G24" s="32"/>
      <c r="H24" s="410"/>
      <c r="I24" s="14"/>
      <c r="J24" s="32"/>
    </row>
    <row r="25" spans="1:10" x14ac:dyDescent="0.2">
      <c r="A25" s="200">
        <v>37134</v>
      </c>
      <c r="C25" s="483">
        <v>275313.71999999997</v>
      </c>
      <c r="G25" s="32"/>
      <c r="H25" s="15"/>
      <c r="I25" s="14"/>
      <c r="J25" s="32"/>
    </row>
    <row r="26" spans="1:10" x14ac:dyDescent="0.2">
      <c r="F26" s="267"/>
      <c r="G26" s="32"/>
      <c r="H26" s="15"/>
      <c r="I26" s="32"/>
      <c r="J26" s="32"/>
    </row>
    <row r="27" spans="1:10" x14ac:dyDescent="0.2">
      <c r="A27" s="57">
        <v>37156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1.96</v>
      </c>
      <c r="C31" s="201">
        <f>+B31*B30</f>
        <v>0</v>
      </c>
    </row>
    <row r="32" spans="1:10" x14ac:dyDescent="0.2">
      <c r="C32" s="339">
        <f>+C31+C25</f>
        <v>275313.71999999997</v>
      </c>
      <c r="E32" s="15"/>
    </row>
    <row r="34" spans="1:9" x14ac:dyDescent="0.2">
      <c r="E34" s="272"/>
    </row>
    <row r="35" spans="1:9" x14ac:dyDescent="0.2">
      <c r="E35" s="15"/>
    </row>
    <row r="36" spans="1:9" x14ac:dyDescent="0.2">
      <c r="A36" s="32" t="s">
        <v>87</v>
      </c>
      <c r="E36" s="32" t="s">
        <v>154</v>
      </c>
      <c r="F36" s="378">
        <v>24268</v>
      </c>
      <c r="G36" s="378">
        <v>24693</v>
      </c>
      <c r="H36" s="378">
        <v>24361</v>
      </c>
    </row>
    <row r="37" spans="1:9" x14ac:dyDescent="0.2">
      <c r="A37" s="32" t="s">
        <v>75</v>
      </c>
      <c r="E37" s="49">
        <f>+A5</f>
        <v>37134</v>
      </c>
      <c r="F37" s="474">
        <v>281142</v>
      </c>
      <c r="G37" s="484">
        <v>117857</v>
      </c>
      <c r="H37" s="474">
        <v>148659</v>
      </c>
      <c r="I37" s="14"/>
    </row>
    <row r="38" spans="1:9" x14ac:dyDescent="0.2">
      <c r="E38" s="49">
        <f>+A7</f>
        <v>37156</v>
      </c>
      <c r="F38" s="376">
        <f>+B17</f>
        <v>-40441</v>
      </c>
      <c r="G38" s="376">
        <f>+B30</f>
        <v>0</v>
      </c>
      <c r="H38" s="376">
        <f>+B45</f>
        <v>6900</v>
      </c>
      <c r="I38" s="14"/>
    </row>
    <row r="39" spans="1:9" x14ac:dyDescent="0.2">
      <c r="A39" s="49">
        <v>37134</v>
      </c>
      <c r="C39" s="483">
        <v>760779.86</v>
      </c>
      <c r="F39" s="14">
        <f>+F38+F37</f>
        <v>240701</v>
      </c>
      <c r="G39" s="14">
        <f>+G38+G37</f>
        <v>117857</v>
      </c>
      <c r="H39" s="14">
        <f>+H38+H37</f>
        <v>155559</v>
      </c>
      <c r="I39" s="14">
        <f>+H39+G39+F39</f>
        <v>514117</v>
      </c>
    </row>
    <row r="40" spans="1:9" x14ac:dyDescent="0.2">
      <c r="G40" s="32"/>
      <c r="H40" s="15"/>
      <c r="I40" s="32"/>
    </row>
    <row r="41" spans="1:9" x14ac:dyDescent="0.2">
      <c r="A41" s="249">
        <v>37156</v>
      </c>
      <c r="G41" s="32"/>
    </row>
    <row r="42" spans="1:9" x14ac:dyDescent="0.2">
      <c r="A42" s="253">
        <v>500241</v>
      </c>
      <c r="B42" s="14"/>
      <c r="G42" s="32"/>
    </row>
    <row r="43" spans="1:9" x14ac:dyDescent="0.2">
      <c r="A43" s="32">
        <v>500391</v>
      </c>
      <c r="B43" s="212">
        <v>5148</v>
      </c>
      <c r="G43" s="32"/>
      <c r="H43" s="411"/>
      <c r="I43" s="14"/>
    </row>
    <row r="44" spans="1:9" x14ac:dyDescent="0.2">
      <c r="A44" s="32">
        <v>500392</v>
      </c>
      <c r="B44" s="257">
        <v>1752</v>
      </c>
      <c r="G44" s="32"/>
      <c r="H44" s="411"/>
      <c r="I44" s="14"/>
    </row>
    <row r="45" spans="1:9" x14ac:dyDescent="0.2">
      <c r="B45" s="14">
        <f>SUM(B42:B44)</f>
        <v>6900</v>
      </c>
      <c r="G45" s="32"/>
      <c r="H45" s="411"/>
      <c r="I45" s="14"/>
    </row>
    <row r="46" spans="1:9" x14ac:dyDescent="0.2">
      <c r="B46" s="201">
        <f>+B31</f>
        <v>1.96</v>
      </c>
      <c r="C46" s="201">
        <f>+B46*B45</f>
        <v>13524</v>
      </c>
      <c r="H46" s="411"/>
      <c r="I46" s="14"/>
    </row>
    <row r="47" spans="1:9" x14ac:dyDescent="0.2">
      <c r="C47" s="339">
        <f>+C46+C39</f>
        <v>774303.86</v>
      </c>
      <c r="E47" s="206"/>
      <c r="H47" s="411"/>
      <c r="I47" s="14"/>
    </row>
    <row r="48" spans="1:9" x14ac:dyDescent="0.2">
      <c r="E48" s="216"/>
      <c r="H48" s="411"/>
      <c r="I48" s="14"/>
    </row>
    <row r="49" spans="1:9" x14ac:dyDescent="0.2">
      <c r="E49" s="206"/>
      <c r="H49" s="411"/>
      <c r="I49" s="14"/>
    </row>
    <row r="50" spans="1:9" x14ac:dyDescent="0.2">
      <c r="C50" s="324"/>
      <c r="E50" s="216"/>
    </row>
    <row r="51" spans="1:9" x14ac:dyDescent="0.2">
      <c r="A51" s="32" t="s">
        <v>87</v>
      </c>
      <c r="C51" s="254"/>
    </row>
    <row r="52" spans="1:9" x14ac:dyDescent="0.2">
      <c r="A52" s="32">
        <v>21665</v>
      </c>
      <c r="B52" s="15" t="s">
        <v>140</v>
      </c>
      <c r="C52" s="481">
        <v>73449.16</v>
      </c>
      <c r="D52" s="32" t="s">
        <v>121</v>
      </c>
      <c r="E52" s="50"/>
      <c r="H52" s="411">
        <v>21665</v>
      </c>
      <c r="I52" s="14">
        <v>36403</v>
      </c>
    </row>
    <row r="53" spans="1:9" x14ac:dyDescent="0.2">
      <c r="A53" s="32">
        <v>22664</v>
      </c>
      <c r="B53" s="15" t="s">
        <v>140</v>
      </c>
      <c r="C53" s="482">
        <v>23612.35</v>
      </c>
      <c r="D53" s="32" t="s">
        <v>122</v>
      </c>
      <c r="H53" s="411">
        <v>22664</v>
      </c>
      <c r="I53" s="208">
        <v>18932</v>
      </c>
    </row>
    <row r="54" spans="1:9" x14ac:dyDescent="0.2">
      <c r="H54" s="412"/>
      <c r="I54" s="16"/>
    </row>
    <row r="55" spans="1:9" x14ac:dyDescent="0.2">
      <c r="C55" s="456"/>
    </row>
    <row r="56" spans="1:9" x14ac:dyDescent="0.2">
      <c r="C56" s="331">
        <f>+C53+C52+C47+C32+C19</f>
        <v>2395831.3699999996</v>
      </c>
      <c r="I56" s="14">
        <f>SUM(I39:I53)</f>
        <v>569452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6" workbookViewId="3">
      <selection activeCell="E27" sqref="E27"/>
    </sheetView>
  </sheetViews>
  <sheetFormatPr defaultRowHeight="12.75" x14ac:dyDescent="0.2"/>
  <cols>
    <col min="3" max="3" width="9.85546875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191</v>
      </c>
      <c r="G3" s="6"/>
      <c r="H3" s="115"/>
    </row>
    <row r="4" spans="1:10" x14ac:dyDescent="0.2">
      <c r="A4" s="10">
        <v>1</v>
      </c>
      <c r="B4" s="11"/>
      <c r="C4" s="11"/>
      <c r="D4" s="11">
        <v>25469</v>
      </c>
      <c r="E4" s="11">
        <v>23994</v>
      </c>
      <c r="F4" s="11">
        <f>+E4+C4-D4-B4</f>
        <v>-1475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24784</v>
      </c>
      <c r="E5" s="11">
        <v>22824</v>
      </c>
      <c r="F5" s="11">
        <f t="shared" ref="F5:F34" si="0">+E5+C5-D5-B5</f>
        <v>-1960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25183</v>
      </c>
      <c r="E6" s="11">
        <v>23383</v>
      </c>
      <c r="F6" s="11">
        <f t="shared" si="0"/>
        <v>-1800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24557</v>
      </c>
      <c r="E7" s="11">
        <v>24000</v>
      </c>
      <c r="F7" s="11">
        <f t="shared" si="0"/>
        <v>-557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24078</v>
      </c>
      <c r="E8" s="11">
        <v>24000</v>
      </c>
      <c r="F8" s="11">
        <f t="shared" si="0"/>
        <v>-78</v>
      </c>
      <c r="G8" s="11"/>
      <c r="I8" s="11"/>
      <c r="J8" s="24"/>
    </row>
    <row r="9" spans="1:10" x14ac:dyDescent="0.2">
      <c r="A9" s="10">
        <v>6</v>
      </c>
      <c r="B9" s="11">
        <v>458</v>
      </c>
      <c r="C9" s="11"/>
      <c r="D9" s="11">
        <v>24837</v>
      </c>
      <c r="E9" s="11">
        <v>24000</v>
      </c>
      <c r="F9" s="11">
        <f t="shared" si="0"/>
        <v>-1295</v>
      </c>
      <c r="G9" s="11"/>
      <c r="I9" s="11"/>
      <c r="J9" s="24"/>
    </row>
    <row r="10" spans="1:10" x14ac:dyDescent="0.2">
      <c r="A10" s="10">
        <v>7</v>
      </c>
      <c r="B10" s="11">
        <v>2841</v>
      </c>
      <c r="C10" s="11"/>
      <c r="D10" s="11">
        <v>24858</v>
      </c>
      <c r="E10" s="11">
        <v>24000</v>
      </c>
      <c r="F10" s="11">
        <f t="shared" si="0"/>
        <v>-3699</v>
      </c>
      <c r="G10" s="11"/>
      <c r="I10" s="11"/>
      <c r="J10" s="24"/>
    </row>
    <row r="11" spans="1:10" x14ac:dyDescent="0.2">
      <c r="A11" s="10">
        <v>8</v>
      </c>
      <c r="B11" s="11">
        <v>4785</v>
      </c>
      <c r="C11" s="11"/>
      <c r="D11" s="11">
        <v>24955</v>
      </c>
      <c r="E11" s="11">
        <v>24000</v>
      </c>
      <c r="F11" s="11">
        <f t="shared" si="0"/>
        <v>-5740</v>
      </c>
      <c r="G11" s="11"/>
      <c r="I11" s="11"/>
      <c r="J11" s="24"/>
    </row>
    <row r="12" spans="1:10" x14ac:dyDescent="0.2">
      <c r="A12" s="10">
        <v>9</v>
      </c>
      <c r="B12" s="11">
        <v>3622</v>
      </c>
      <c r="C12" s="11"/>
      <c r="D12" s="11">
        <v>24838</v>
      </c>
      <c r="E12" s="11">
        <v>24000</v>
      </c>
      <c r="F12" s="11">
        <f t="shared" si="0"/>
        <v>-4460</v>
      </c>
      <c r="G12" s="11"/>
      <c r="I12" s="11"/>
      <c r="J12" s="24"/>
    </row>
    <row r="13" spans="1:10" x14ac:dyDescent="0.2">
      <c r="A13" s="10">
        <v>10</v>
      </c>
      <c r="B13" s="11">
        <v>1852</v>
      </c>
      <c r="C13" s="11"/>
      <c r="D13" s="11">
        <v>24699</v>
      </c>
      <c r="E13" s="11">
        <v>24000</v>
      </c>
      <c r="F13" s="11">
        <f t="shared" si="0"/>
        <v>-2551</v>
      </c>
      <c r="G13" s="11"/>
      <c r="I13" s="11"/>
      <c r="J13" s="24"/>
    </row>
    <row r="14" spans="1:10" x14ac:dyDescent="0.2">
      <c r="A14" s="10">
        <v>11</v>
      </c>
      <c r="B14" s="11">
        <v>1288</v>
      </c>
      <c r="C14" s="11"/>
      <c r="D14" s="11">
        <v>24831</v>
      </c>
      <c r="E14" s="11">
        <v>24000</v>
      </c>
      <c r="F14" s="11">
        <f t="shared" si="0"/>
        <v>-2119</v>
      </c>
      <c r="G14" s="11"/>
      <c r="I14" s="11"/>
      <c r="J14" s="24"/>
    </row>
    <row r="15" spans="1:10" x14ac:dyDescent="0.2">
      <c r="A15" s="10">
        <v>12</v>
      </c>
      <c r="B15" s="11">
        <v>429</v>
      </c>
      <c r="C15" s="11"/>
      <c r="D15" s="11">
        <v>24761</v>
      </c>
      <c r="E15" s="11">
        <v>24000</v>
      </c>
      <c r="F15" s="11">
        <f t="shared" si="0"/>
        <v>-1190</v>
      </c>
      <c r="G15" s="11"/>
      <c r="I15" s="11"/>
      <c r="J15" s="24"/>
    </row>
    <row r="16" spans="1:10" x14ac:dyDescent="0.2">
      <c r="A16" s="10">
        <v>13</v>
      </c>
      <c r="B16" s="11">
        <v>1612</v>
      </c>
      <c r="C16" s="11"/>
      <c r="D16" s="11">
        <v>24829</v>
      </c>
      <c r="E16" s="11">
        <v>24000</v>
      </c>
      <c r="F16" s="11">
        <f t="shared" si="0"/>
        <v>-2441</v>
      </c>
      <c r="G16" s="11"/>
      <c r="I16" s="11"/>
      <c r="J16" s="24"/>
    </row>
    <row r="17" spans="1:10" x14ac:dyDescent="0.2">
      <c r="A17" s="10">
        <v>14</v>
      </c>
      <c r="B17" s="11">
        <v>1869</v>
      </c>
      <c r="C17" s="11"/>
      <c r="D17" s="11">
        <v>24826</v>
      </c>
      <c r="E17" s="11">
        <v>24000</v>
      </c>
      <c r="F17" s="11">
        <f t="shared" si="0"/>
        <v>-2695</v>
      </c>
      <c r="G17" s="11"/>
      <c r="I17" s="11"/>
      <c r="J17" s="24"/>
    </row>
    <row r="18" spans="1:10" x14ac:dyDescent="0.2">
      <c r="A18" s="10">
        <v>15</v>
      </c>
      <c r="B18" s="11">
        <v>2437</v>
      </c>
      <c r="C18" s="11"/>
      <c r="D18" s="11">
        <v>24963</v>
      </c>
      <c r="E18" s="11">
        <v>24000</v>
      </c>
      <c r="F18" s="11">
        <f t="shared" si="0"/>
        <v>-3400</v>
      </c>
      <c r="G18" s="11"/>
      <c r="I18" s="11"/>
      <c r="J18" s="24"/>
    </row>
    <row r="19" spans="1:10" x14ac:dyDescent="0.2">
      <c r="A19" s="10">
        <v>16</v>
      </c>
      <c r="B19" s="11">
        <v>3638</v>
      </c>
      <c r="C19" s="11"/>
      <c r="D19" s="11">
        <v>24600</v>
      </c>
      <c r="E19" s="11">
        <v>24000</v>
      </c>
      <c r="F19" s="11">
        <f t="shared" si="0"/>
        <v>-4238</v>
      </c>
      <c r="G19" s="11"/>
      <c r="I19" s="11"/>
      <c r="J19" s="24"/>
    </row>
    <row r="20" spans="1:10" x14ac:dyDescent="0.2">
      <c r="A20" s="10">
        <v>17</v>
      </c>
      <c r="B20" s="11">
        <v>3170</v>
      </c>
      <c r="C20" s="11"/>
      <c r="D20" s="11">
        <v>24855</v>
      </c>
      <c r="E20" s="11">
        <v>24000</v>
      </c>
      <c r="F20" s="11">
        <f t="shared" si="0"/>
        <v>-4025</v>
      </c>
      <c r="G20" s="11"/>
      <c r="I20" s="11"/>
      <c r="J20" s="24"/>
    </row>
    <row r="21" spans="1:10" x14ac:dyDescent="0.2">
      <c r="A21" s="10">
        <v>18</v>
      </c>
      <c r="B21" s="129">
        <v>1957</v>
      </c>
      <c r="C21" s="11"/>
      <c r="D21" s="11">
        <v>24860</v>
      </c>
      <c r="E21" s="11">
        <v>24000</v>
      </c>
      <c r="F21" s="11">
        <f t="shared" si="0"/>
        <v>-2817</v>
      </c>
      <c r="G21" s="11"/>
      <c r="I21" s="11"/>
      <c r="J21" s="24"/>
    </row>
    <row r="22" spans="1:10" x14ac:dyDescent="0.2">
      <c r="A22" s="10">
        <v>19</v>
      </c>
      <c r="B22" s="11">
        <v>1222</v>
      </c>
      <c r="C22" s="11"/>
      <c r="D22" s="11">
        <v>24859</v>
      </c>
      <c r="E22" s="11">
        <v>24000</v>
      </c>
      <c r="F22" s="11">
        <f t="shared" si="0"/>
        <v>-2081</v>
      </c>
      <c r="G22" s="11"/>
      <c r="I22" s="11"/>
      <c r="J22" s="24"/>
    </row>
    <row r="23" spans="1:10" x14ac:dyDescent="0.2">
      <c r="A23" s="10">
        <v>20</v>
      </c>
      <c r="B23" s="11">
        <v>4405</v>
      </c>
      <c r="C23" s="11"/>
      <c r="D23" s="11">
        <v>25015</v>
      </c>
      <c r="E23" s="11">
        <v>24000</v>
      </c>
      <c r="F23" s="11">
        <f t="shared" si="0"/>
        <v>-5420</v>
      </c>
      <c r="G23" s="11"/>
      <c r="I23" s="11"/>
      <c r="J23" s="24"/>
    </row>
    <row r="24" spans="1:10" x14ac:dyDescent="0.2">
      <c r="A24" s="10">
        <v>21</v>
      </c>
      <c r="B24" s="11">
        <v>25059</v>
      </c>
      <c r="C24" s="11"/>
      <c r="D24" s="11">
        <v>25426</v>
      </c>
      <c r="E24" s="11">
        <v>24000</v>
      </c>
      <c r="F24" s="11">
        <f t="shared" si="0"/>
        <v>-26485</v>
      </c>
      <c r="G24" s="11"/>
      <c r="I24" s="11"/>
      <c r="J24" s="24"/>
    </row>
    <row r="25" spans="1:10" x14ac:dyDescent="0.2">
      <c r="A25" s="10">
        <v>22</v>
      </c>
      <c r="B25" s="11">
        <v>2794</v>
      </c>
      <c r="C25" s="11"/>
      <c r="D25" s="11">
        <v>26233</v>
      </c>
      <c r="E25" s="11">
        <v>24000</v>
      </c>
      <c r="F25" s="11">
        <f t="shared" si="0"/>
        <v>-5027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154</v>
      </c>
      <c r="I33" s="378">
        <v>23995</v>
      </c>
      <c r="J33" s="378">
        <v>22051</v>
      </c>
      <c r="K33" s="378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37134</v>
      </c>
      <c r="I34" s="474">
        <v>-178485</v>
      </c>
      <c r="J34" s="474">
        <v>-46545</v>
      </c>
      <c r="K34" s="14"/>
      <c r="L34" s="14"/>
    </row>
    <row r="35" spans="1:13" x14ac:dyDescent="0.2">
      <c r="A35" s="10"/>
      <c r="B35" s="11">
        <f>SUM(B4:B34)</f>
        <v>63438</v>
      </c>
      <c r="C35" s="11">
        <f>SUM(C4:C34)</f>
        <v>0</v>
      </c>
      <c r="D35" s="11">
        <f>SUM(D4:D34)</f>
        <v>548316</v>
      </c>
      <c r="E35" s="11">
        <f>SUM(E4:E34)</f>
        <v>526201</v>
      </c>
      <c r="F35" s="11">
        <f>SUM(F4:F34)</f>
        <v>-85553</v>
      </c>
      <c r="G35" s="11"/>
      <c r="H35" s="49">
        <f>+A40</f>
        <v>37156</v>
      </c>
      <c r="I35" s="376">
        <f>+C36</f>
        <v>-63438</v>
      </c>
      <c r="J35" s="376">
        <f>+E36</f>
        <v>-22115</v>
      </c>
      <c r="K35" s="208"/>
      <c r="L35" s="14"/>
    </row>
    <row r="36" spans="1:13" x14ac:dyDescent="0.2">
      <c r="C36" s="25">
        <f>+C35-B35</f>
        <v>-63438</v>
      </c>
      <c r="E36" s="25">
        <f>+E35-D35</f>
        <v>-22115</v>
      </c>
      <c r="F36" s="25">
        <f>+E36+C36</f>
        <v>-85553</v>
      </c>
      <c r="H36" s="32"/>
      <c r="I36" s="14">
        <f>+I35+I34</f>
        <v>-241923</v>
      </c>
      <c r="J36" s="14">
        <f>+J35+J34</f>
        <v>-68660</v>
      </c>
      <c r="K36" s="14">
        <f>+J36+I36</f>
        <v>-310583</v>
      </c>
      <c r="L36" s="14"/>
    </row>
    <row r="37" spans="1:13" x14ac:dyDescent="0.2">
      <c r="C37" s="329">
        <f>+summary!H5</f>
        <v>2.0299999999999998</v>
      </c>
      <c r="E37" s="104">
        <f>+C37</f>
        <v>2.0299999999999998</v>
      </c>
      <c r="F37" s="138">
        <f>+F36*E37</f>
        <v>-173672.59</v>
      </c>
    </row>
    <row r="38" spans="1:13" x14ac:dyDescent="0.2">
      <c r="C38" s="138">
        <f>+C37*C36</f>
        <v>-128779.13999999998</v>
      </c>
      <c r="E38" s="136">
        <f>+E37*E36</f>
        <v>-44893.45</v>
      </c>
      <c r="F38" s="138">
        <f>+E38+C38</f>
        <v>-173672.58999999997</v>
      </c>
    </row>
    <row r="39" spans="1:13" x14ac:dyDescent="0.2">
      <c r="A39" s="57">
        <v>37134</v>
      </c>
      <c r="B39" s="2" t="s">
        <v>46</v>
      </c>
      <c r="C39" s="485">
        <v>-1023166.39</v>
      </c>
      <c r="D39" s="338"/>
      <c r="E39" s="472">
        <v>-399182.01</v>
      </c>
      <c r="F39" s="337">
        <f>+E39+C39</f>
        <v>-1422348.4</v>
      </c>
    </row>
    <row r="40" spans="1:13" x14ac:dyDescent="0.2">
      <c r="A40" s="57">
        <v>37156</v>
      </c>
      <c r="B40" s="2" t="s">
        <v>46</v>
      </c>
      <c r="C40" s="330">
        <f>+C39+C38</f>
        <v>-1151945.53</v>
      </c>
      <c r="D40" s="259"/>
      <c r="E40" s="330">
        <f>+E39+E38</f>
        <v>-444075.46</v>
      </c>
      <c r="F40" s="330">
        <f>+E40+C40</f>
        <v>-1596020.99</v>
      </c>
      <c r="H40" s="131"/>
    </row>
    <row r="41" spans="1:13" x14ac:dyDescent="0.2">
      <c r="C41" s="348"/>
      <c r="D41" s="250"/>
      <c r="E41" s="250"/>
      <c r="H41" s="31"/>
    </row>
    <row r="42" spans="1:13" x14ac:dyDescent="0.2">
      <c r="C42" s="250"/>
      <c r="D42" s="250"/>
      <c r="E42" s="250"/>
    </row>
    <row r="43" spans="1:13" x14ac:dyDescent="0.2">
      <c r="C43" s="250"/>
      <c r="D43" s="250"/>
      <c r="E43" s="12" t="s">
        <v>113</v>
      </c>
    </row>
    <row r="44" spans="1:13" x14ac:dyDescent="0.2">
      <c r="C44" s="250"/>
      <c r="D44" s="250"/>
      <c r="E44" s="12">
        <v>22864</v>
      </c>
      <c r="F44" s="483">
        <v>-58339.66</v>
      </c>
      <c r="G44" s="254" t="s">
        <v>48</v>
      </c>
      <c r="J44" s="12">
        <v>22864</v>
      </c>
      <c r="K44" s="14">
        <v>-24566</v>
      </c>
    </row>
    <row r="45" spans="1:13" x14ac:dyDescent="0.2">
      <c r="C45" s="250"/>
      <c r="D45" s="250"/>
      <c r="E45" s="12">
        <v>20379</v>
      </c>
      <c r="F45" s="483">
        <v>-51695.87</v>
      </c>
      <c r="G45" s="254" t="s">
        <v>124</v>
      </c>
      <c r="J45" s="12">
        <v>20379</v>
      </c>
      <c r="K45" s="14">
        <v>2979</v>
      </c>
      <c r="M45" s="14"/>
    </row>
    <row r="46" spans="1:13" x14ac:dyDescent="0.2">
      <c r="C46" s="250"/>
      <c r="D46" s="250"/>
      <c r="E46" s="12">
        <v>26357</v>
      </c>
      <c r="F46" s="486">
        <v>44144.84</v>
      </c>
      <c r="G46" s="254" t="s">
        <v>125</v>
      </c>
      <c r="J46" s="12">
        <v>26357</v>
      </c>
      <c r="K46" s="14">
        <v>26521</v>
      </c>
    </row>
    <row r="47" spans="1:13" x14ac:dyDescent="0.2">
      <c r="C47" s="250"/>
      <c r="D47" s="250"/>
      <c r="E47" s="12">
        <v>21544</v>
      </c>
      <c r="F47" s="483">
        <v>61340.160000000003</v>
      </c>
      <c r="G47" s="254" t="s">
        <v>126</v>
      </c>
      <c r="J47" s="12">
        <v>21544</v>
      </c>
      <c r="K47" s="14">
        <v>36108</v>
      </c>
    </row>
    <row r="48" spans="1:13" x14ac:dyDescent="0.2">
      <c r="C48" s="250"/>
      <c r="D48" s="250"/>
      <c r="E48" s="12">
        <v>24532</v>
      </c>
      <c r="F48" s="487">
        <v>-933276.39</v>
      </c>
      <c r="G48" s="254" t="s">
        <v>123</v>
      </c>
      <c r="J48" s="12">
        <v>24532</v>
      </c>
      <c r="K48" s="212">
        <v>-42250</v>
      </c>
    </row>
    <row r="49" spans="3:13" x14ac:dyDescent="0.2">
      <c r="C49" s="250"/>
      <c r="D49" s="250"/>
      <c r="F49" s="349">
        <f>SUM(F40:F48)</f>
        <v>-2533847.91</v>
      </c>
      <c r="G49" s="250"/>
      <c r="K49" s="14">
        <f>SUM(K36:K48)</f>
        <v>-311791</v>
      </c>
    </row>
    <row r="50" spans="3:13" x14ac:dyDescent="0.2">
      <c r="C50" s="250"/>
      <c r="D50" s="250"/>
      <c r="F50" s="250"/>
      <c r="G50" s="250"/>
    </row>
    <row r="51" spans="3:13" x14ac:dyDescent="0.2">
      <c r="E51" s="2" t="s">
        <v>141</v>
      </c>
      <c r="F51" s="138">
        <f>+Duke!C56</f>
        <v>2395831.3699999996</v>
      </c>
      <c r="M51" s="14">
        <f>+Duke!I56</f>
        <v>569452</v>
      </c>
    </row>
    <row r="53" spans="3:13" x14ac:dyDescent="0.2">
      <c r="F53" s="104">
        <f>+F51+F49</f>
        <v>-138016.5400000005</v>
      </c>
      <c r="M53" s="16">
        <f>+M51+K49</f>
        <v>257661</v>
      </c>
    </row>
    <row r="59" spans="3:13" x14ac:dyDescent="0.2">
      <c r="H59" s="258"/>
    </row>
    <row r="60" spans="3:13" x14ac:dyDescent="0.2">
      <c r="H60" s="258"/>
    </row>
    <row r="61" spans="3:13" x14ac:dyDescent="0.2">
      <c r="H61" s="258"/>
    </row>
    <row r="62" spans="3:13" x14ac:dyDescent="0.2">
      <c r="H62" s="367"/>
    </row>
    <row r="63" spans="3:13" x14ac:dyDescent="0.2">
      <c r="F63" s="367"/>
    </row>
    <row r="64" spans="3:13" x14ac:dyDescent="0.2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17" workbookViewId="3">
      <selection activeCell="E40" sqref="E40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71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6447</v>
      </c>
      <c r="C8" s="11">
        <v>6386</v>
      </c>
      <c r="D8" s="11"/>
      <c r="E8" s="11"/>
      <c r="F8" s="11">
        <v>983</v>
      </c>
      <c r="G8" s="11">
        <v>1674</v>
      </c>
      <c r="H8" s="11">
        <v>1840</v>
      </c>
      <c r="I8" s="11">
        <v>1258</v>
      </c>
      <c r="J8" s="25">
        <f>+C8-B8+E8-D8+G8-F8+I8-H8</f>
        <v>48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6381</v>
      </c>
      <c r="C9" s="11">
        <v>6386</v>
      </c>
      <c r="D9" s="11"/>
      <c r="E9" s="11"/>
      <c r="F9" s="11">
        <v>971</v>
      </c>
      <c r="G9" s="11">
        <v>1305</v>
      </c>
      <c r="H9" s="11">
        <v>1770</v>
      </c>
      <c r="I9" s="11">
        <v>1258</v>
      </c>
      <c r="J9" s="25">
        <f t="shared" ref="J9:J38" si="0">+C9-B9+E9-D9+G9-F9+I9-H9</f>
        <v>-173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6244</v>
      </c>
      <c r="C10" s="11">
        <v>6374</v>
      </c>
      <c r="D10" s="11"/>
      <c r="E10" s="11"/>
      <c r="F10" s="11">
        <v>1013</v>
      </c>
      <c r="G10" s="11">
        <v>1612</v>
      </c>
      <c r="H10" s="11">
        <v>2100</v>
      </c>
      <c r="I10" s="11">
        <v>1258</v>
      </c>
      <c r="J10" s="25">
        <f t="shared" si="0"/>
        <v>-113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6471</v>
      </c>
      <c r="C11" s="11">
        <v>6386</v>
      </c>
      <c r="D11" s="11"/>
      <c r="E11" s="11"/>
      <c r="F11" s="11">
        <v>827</v>
      </c>
      <c r="G11" s="11">
        <v>1674</v>
      </c>
      <c r="H11" s="11">
        <v>2290</v>
      </c>
      <c r="I11" s="11">
        <v>1258</v>
      </c>
      <c r="J11" s="25">
        <f t="shared" si="0"/>
        <v>-270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6275</v>
      </c>
      <c r="C12" s="11">
        <v>6386</v>
      </c>
      <c r="D12" s="11"/>
      <c r="E12" s="11"/>
      <c r="F12" s="11">
        <v>967</v>
      </c>
      <c r="G12" s="11">
        <v>1674</v>
      </c>
      <c r="H12" s="11">
        <v>2209</v>
      </c>
      <c r="I12" s="11">
        <v>1258</v>
      </c>
      <c r="J12" s="25">
        <f t="shared" si="0"/>
        <v>-133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4296</v>
      </c>
      <c r="C13" s="11">
        <v>6386</v>
      </c>
      <c r="D13" s="11"/>
      <c r="E13" s="11"/>
      <c r="F13" s="11">
        <v>964</v>
      </c>
      <c r="G13" s="11">
        <v>1674</v>
      </c>
      <c r="H13" s="11">
        <v>2158</v>
      </c>
      <c r="I13" s="11">
        <v>1258</v>
      </c>
      <c r="J13" s="25">
        <f t="shared" si="0"/>
        <v>1900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6323</v>
      </c>
      <c r="C14" s="11">
        <v>6386</v>
      </c>
      <c r="D14" s="11"/>
      <c r="E14" s="11"/>
      <c r="F14" s="11">
        <v>965</v>
      </c>
      <c r="G14" s="11">
        <v>1674</v>
      </c>
      <c r="H14" s="11">
        <v>2108</v>
      </c>
      <c r="I14" s="129">
        <v>1258</v>
      </c>
      <c r="J14" s="25">
        <f t="shared" si="0"/>
        <v>-78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6044</v>
      </c>
      <c r="C15" s="11">
        <v>6386</v>
      </c>
      <c r="D15" s="11"/>
      <c r="E15" s="11"/>
      <c r="F15" s="11">
        <v>952</v>
      </c>
      <c r="G15" s="11">
        <v>1674</v>
      </c>
      <c r="H15" s="11">
        <v>2096</v>
      </c>
      <c r="I15" s="11">
        <v>1258</v>
      </c>
      <c r="J15" s="25">
        <f t="shared" si="0"/>
        <v>226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5784</v>
      </c>
      <c r="C16" s="11">
        <v>6386</v>
      </c>
      <c r="D16" s="11"/>
      <c r="E16" s="11"/>
      <c r="F16" s="11">
        <v>1054</v>
      </c>
      <c r="G16" s="11">
        <v>1674</v>
      </c>
      <c r="H16" s="11">
        <v>2065</v>
      </c>
      <c r="I16" s="11">
        <v>1258</v>
      </c>
      <c r="J16" s="25">
        <f t="shared" si="0"/>
        <v>415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5604</v>
      </c>
      <c r="C17" s="11">
        <v>6386</v>
      </c>
      <c r="D17" s="11"/>
      <c r="E17" s="11"/>
      <c r="F17" s="11">
        <v>906</v>
      </c>
      <c r="G17" s="11">
        <v>1674</v>
      </c>
      <c r="H17" s="11">
        <v>2040</v>
      </c>
      <c r="I17" s="11">
        <v>1258</v>
      </c>
      <c r="J17" s="25">
        <f t="shared" si="0"/>
        <v>768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5727</v>
      </c>
      <c r="C18" s="11">
        <v>6386</v>
      </c>
      <c r="D18" s="11"/>
      <c r="E18" s="11"/>
      <c r="F18" s="11">
        <v>911</v>
      </c>
      <c r="G18" s="11">
        <v>1674</v>
      </c>
      <c r="H18" s="11">
        <v>2015</v>
      </c>
      <c r="I18" s="11">
        <v>1258</v>
      </c>
      <c r="J18" s="25">
        <f t="shared" si="0"/>
        <v>665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5764</v>
      </c>
      <c r="C19" s="11">
        <v>6360</v>
      </c>
      <c r="D19" s="11"/>
      <c r="E19" s="11"/>
      <c r="F19" s="11">
        <v>946</v>
      </c>
      <c r="G19" s="11">
        <v>1674</v>
      </c>
      <c r="H19" s="11">
        <v>1997</v>
      </c>
      <c r="I19" s="11">
        <v>1258</v>
      </c>
      <c r="J19" s="25">
        <f t="shared" si="0"/>
        <v>585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5587</v>
      </c>
      <c r="C20" s="11">
        <v>6386</v>
      </c>
      <c r="D20" s="11"/>
      <c r="E20" s="11"/>
      <c r="F20" s="11">
        <v>911</v>
      </c>
      <c r="G20" s="11">
        <v>1674</v>
      </c>
      <c r="H20" s="11">
        <v>1970</v>
      </c>
      <c r="I20" s="11">
        <v>1258</v>
      </c>
      <c r="J20" s="25">
        <f t="shared" si="0"/>
        <v>850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5518</v>
      </c>
      <c r="C21" s="11">
        <v>6386</v>
      </c>
      <c r="D21" s="11"/>
      <c r="E21" s="11"/>
      <c r="F21" s="11">
        <v>878</v>
      </c>
      <c r="G21" s="11">
        <v>1674</v>
      </c>
      <c r="H21" s="11">
        <v>1951</v>
      </c>
      <c r="I21" s="11">
        <v>1258</v>
      </c>
      <c r="J21" s="25">
        <f t="shared" si="0"/>
        <v>971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5933</v>
      </c>
      <c r="C22" s="11">
        <v>6386</v>
      </c>
      <c r="D22" s="11"/>
      <c r="E22" s="11"/>
      <c r="F22" s="11">
        <v>1066</v>
      </c>
      <c r="G22" s="11">
        <v>874</v>
      </c>
      <c r="H22" s="11">
        <v>1940</v>
      </c>
      <c r="I22" s="11">
        <v>1658</v>
      </c>
      <c r="J22" s="25">
        <f t="shared" si="0"/>
        <v>-21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5912</v>
      </c>
      <c r="C23" s="11">
        <v>6386</v>
      </c>
      <c r="D23" s="11"/>
      <c r="E23" s="11"/>
      <c r="F23" s="11">
        <v>1048</v>
      </c>
      <c r="G23" s="11">
        <v>874</v>
      </c>
      <c r="H23" s="11">
        <v>1813</v>
      </c>
      <c r="I23" s="11">
        <v>1658</v>
      </c>
      <c r="J23" s="25">
        <f t="shared" si="0"/>
        <v>145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6013</v>
      </c>
      <c r="C24" s="11">
        <v>6386</v>
      </c>
      <c r="D24" s="11"/>
      <c r="E24" s="11"/>
      <c r="F24" s="11">
        <v>1016</v>
      </c>
      <c r="G24" s="11">
        <v>874</v>
      </c>
      <c r="H24" s="11">
        <v>1904</v>
      </c>
      <c r="I24" s="11">
        <v>1658</v>
      </c>
      <c r="J24" s="25">
        <f t="shared" si="0"/>
        <v>-15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6038</v>
      </c>
      <c r="C25" s="11">
        <v>6386</v>
      </c>
      <c r="D25" s="11"/>
      <c r="E25" s="11"/>
      <c r="F25" s="11">
        <v>1006</v>
      </c>
      <c r="G25" s="11">
        <v>874</v>
      </c>
      <c r="H25" s="11">
        <v>1981</v>
      </c>
      <c r="I25" s="11">
        <v>1658</v>
      </c>
      <c r="J25" s="25">
        <f t="shared" si="0"/>
        <v>-107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5943</v>
      </c>
      <c r="C26" s="11">
        <v>6386</v>
      </c>
      <c r="D26" s="11"/>
      <c r="E26" s="11"/>
      <c r="F26" s="11">
        <v>986</v>
      </c>
      <c r="G26" s="11">
        <v>874</v>
      </c>
      <c r="H26" s="11">
        <v>1926</v>
      </c>
      <c r="I26" s="11">
        <v>1658</v>
      </c>
      <c r="J26" s="25">
        <f t="shared" si="0"/>
        <v>63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6095</v>
      </c>
      <c r="C27" s="11">
        <v>6386</v>
      </c>
      <c r="D27" s="11"/>
      <c r="E27" s="11"/>
      <c r="F27" s="11">
        <v>868</v>
      </c>
      <c r="G27" s="11">
        <v>874</v>
      </c>
      <c r="H27" s="11">
        <v>1899</v>
      </c>
      <c r="I27" s="11">
        <v>1658</v>
      </c>
      <c r="J27" s="25">
        <f t="shared" si="0"/>
        <v>56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6161</v>
      </c>
      <c r="C28" s="11">
        <v>6386</v>
      </c>
      <c r="D28" s="11"/>
      <c r="E28" s="11"/>
      <c r="F28" s="11">
        <v>885</v>
      </c>
      <c r="G28" s="11">
        <v>874</v>
      </c>
      <c r="H28" s="11">
        <v>1890</v>
      </c>
      <c r="I28" s="11">
        <v>1658</v>
      </c>
      <c r="J28" s="25">
        <f t="shared" si="0"/>
        <v>-18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6074</v>
      </c>
      <c r="C29" s="11">
        <v>6386</v>
      </c>
      <c r="D29" s="11"/>
      <c r="E29" s="11"/>
      <c r="F29" s="11">
        <v>900</v>
      </c>
      <c r="G29" s="11">
        <v>874</v>
      </c>
      <c r="H29" s="11">
        <v>481</v>
      </c>
      <c r="I29" s="11">
        <v>1658</v>
      </c>
      <c r="J29" s="25">
        <f t="shared" si="0"/>
        <v>1463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130634</v>
      </c>
      <c r="C39" s="11">
        <f t="shared" si="1"/>
        <v>140454</v>
      </c>
      <c r="D39" s="11">
        <f t="shared" si="1"/>
        <v>0</v>
      </c>
      <c r="E39" s="11">
        <f t="shared" si="1"/>
        <v>0</v>
      </c>
      <c r="F39" s="11">
        <f t="shared" si="1"/>
        <v>21023</v>
      </c>
      <c r="G39" s="11">
        <f t="shared" si="1"/>
        <v>29997</v>
      </c>
      <c r="H39" s="11">
        <f t="shared" si="1"/>
        <v>42443</v>
      </c>
      <c r="I39" s="11">
        <f t="shared" si="1"/>
        <v>30876</v>
      </c>
      <c r="J39" s="25">
        <f t="shared" si="1"/>
        <v>7227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1.96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14164.92</v>
      </c>
      <c r="L41"/>
      <c r="R41" s="138"/>
      <c r="X41" s="138"/>
    </row>
    <row r="42" spans="1:24" x14ac:dyDescent="0.2">
      <c r="A42" s="57">
        <v>37134</v>
      </c>
      <c r="C42" s="15"/>
      <c r="J42" s="480">
        <v>343565.75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37156</v>
      </c>
      <c r="C43" s="48"/>
      <c r="J43" s="138">
        <f>+J42+J41</f>
        <v>357730.67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154</v>
      </c>
      <c r="B46" s="32"/>
      <c r="C46" s="32"/>
      <c r="D46" s="32"/>
      <c r="L46"/>
    </row>
    <row r="47" spans="1:24" x14ac:dyDescent="0.2">
      <c r="A47" s="49">
        <f>+A42</f>
        <v>37134</v>
      </c>
      <c r="B47" s="32"/>
      <c r="C47" s="32"/>
      <c r="D47" s="474">
        <v>135836</v>
      </c>
      <c r="L47"/>
    </row>
    <row r="48" spans="1:24" x14ac:dyDescent="0.2">
      <c r="A48" s="49">
        <f>+A43</f>
        <v>37156</v>
      </c>
      <c r="B48" s="32"/>
      <c r="C48" s="32"/>
      <c r="D48" s="376">
        <f>+J39</f>
        <v>7227</v>
      </c>
      <c r="L48"/>
    </row>
    <row r="49" spans="1:12" x14ac:dyDescent="0.2">
      <c r="A49" s="32"/>
      <c r="B49" s="32"/>
      <c r="C49" s="32"/>
      <c r="D49" s="14">
        <f>+D48+D47</f>
        <v>143063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31" workbookViewId="3">
      <selection activeCell="B49" sqref="B49"/>
    </sheetView>
  </sheetViews>
  <sheetFormatPr defaultRowHeight="12.75" x14ac:dyDescent="0.2"/>
  <cols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203</v>
      </c>
      <c r="C6" s="295"/>
      <c r="D6" s="34" t="s">
        <v>204</v>
      </c>
      <c r="E6" s="295"/>
      <c r="F6" s="29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66" t="s">
        <v>11</v>
      </c>
      <c r="B7" s="498" t="s">
        <v>20</v>
      </c>
      <c r="C7" s="498" t="s">
        <v>21</v>
      </c>
      <c r="D7" s="498" t="s">
        <v>20</v>
      </c>
      <c r="E7" s="498" t="s">
        <v>21</v>
      </c>
      <c r="F7" s="498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99">
        <v>1</v>
      </c>
      <c r="B8" s="446">
        <v>11248</v>
      </c>
      <c r="C8" s="446">
        <v>11294</v>
      </c>
      <c r="D8" s="446">
        <v>-98</v>
      </c>
      <c r="E8" s="446"/>
      <c r="F8" s="321">
        <f>+C8-B8+E8-D8</f>
        <v>144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99">
        <v>2</v>
      </c>
      <c r="B9" s="446">
        <v>11633</v>
      </c>
      <c r="C9" s="446">
        <v>11294</v>
      </c>
      <c r="D9" s="446">
        <v>-72</v>
      </c>
      <c r="E9" s="446"/>
      <c r="F9" s="321">
        <f t="shared" ref="F9:F38" si="0">+C9-B9+E9-D9</f>
        <v>-267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99">
        <v>3</v>
      </c>
      <c r="B10" s="446">
        <v>11027</v>
      </c>
      <c r="C10" s="446">
        <v>11294</v>
      </c>
      <c r="D10" s="446">
        <v>-114</v>
      </c>
      <c r="E10" s="446"/>
      <c r="F10" s="321">
        <f t="shared" si="0"/>
        <v>381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99">
        <v>4</v>
      </c>
      <c r="B11" s="446">
        <v>11274</v>
      </c>
      <c r="C11" s="446">
        <v>11294</v>
      </c>
      <c r="D11" s="446">
        <v>-97</v>
      </c>
      <c r="E11" s="446"/>
      <c r="F11" s="321">
        <f t="shared" si="0"/>
        <v>117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99">
        <v>5</v>
      </c>
      <c r="B12" s="446">
        <v>11569</v>
      </c>
      <c r="C12" s="446">
        <v>11294</v>
      </c>
      <c r="D12" s="446">
        <v>-831</v>
      </c>
      <c r="E12" s="446"/>
      <c r="F12" s="321">
        <f t="shared" si="0"/>
        <v>556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99">
        <v>6</v>
      </c>
      <c r="B13" s="446">
        <v>11037</v>
      </c>
      <c r="C13" s="446">
        <v>11295</v>
      </c>
      <c r="D13" s="446">
        <v>-49</v>
      </c>
      <c r="E13" s="446"/>
      <c r="F13" s="321">
        <f t="shared" si="0"/>
        <v>307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99">
        <v>7</v>
      </c>
      <c r="B14" s="446">
        <v>11390</v>
      </c>
      <c r="C14" s="446">
        <v>11295</v>
      </c>
      <c r="D14" s="446"/>
      <c r="E14" s="446"/>
      <c r="F14" s="321">
        <f t="shared" si="0"/>
        <v>-95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99">
        <v>8</v>
      </c>
      <c r="B15" s="446">
        <v>11316</v>
      </c>
      <c r="C15" s="446">
        <v>11294</v>
      </c>
      <c r="D15" s="446"/>
      <c r="E15" s="446"/>
      <c r="F15" s="321">
        <f t="shared" si="0"/>
        <v>-22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99">
        <v>9</v>
      </c>
      <c r="B16" s="446">
        <v>11201</v>
      </c>
      <c r="C16" s="446">
        <v>11294</v>
      </c>
      <c r="D16" s="446"/>
      <c r="E16" s="446"/>
      <c r="F16" s="321">
        <f t="shared" si="0"/>
        <v>93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99">
        <v>10</v>
      </c>
      <c r="B17" s="446">
        <v>12643</v>
      </c>
      <c r="C17" s="446">
        <v>11294</v>
      </c>
      <c r="D17" s="446">
        <v>-704</v>
      </c>
      <c r="E17" s="446"/>
      <c r="F17" s="321">
        <f t="shared" si="0"/>
        <v>-645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99">
        <v>11</v>
      </c>
      <c r="B18" s="446">
        <v>12233</v>
      </c>
      <c r="C18" s="446">
        <v>11294</v>
      </c>
      <c r="D18" s="446">
        <v>-352</v>
      </c>
      <c r="E18" s="446"/>
      <c r="F18" s="321">
        <f t="shared" si="0"/>
        <v>-587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99">
        <v>12</v>
      </c>
      <c r="B19" s="446">
        <v>12017</v>
      </c>
      <c r="C19" s="446">
        <v>11294</v>
      </c>
      <c r="D19" s="446">
        <v>-225</v>
      </c>
      <c r="E19" s="446"/>
      <c r="F19" s="321">
        <f t="shared" si="0"/>
        <v>-498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99">
        <v>13</v>
      </c>
      <c r="B20" s="446">
        <v>11939</v>
      </c>
      <c r="C20" s="446">
        <v>11294</v>
      </c>
      <c r="D20" s="446">
        <v>-196</v>
      </c>
      <c r="E20" s="446"/>
      <c r="F20" s="321">
        <f t="shared" si="0"/>
        <v>-449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99">
        <v>14</v>
      </c>
      <c r="B21" s="446">
        <v>11915</v>
      </c>
      <c r="C21" s="446">
        <v>11295</v>
      </c>
      <c r="D21" s="446">
        <v>-135</v>
      </c>
      <c r="E21" s="446"/>
      <c r="F21" s="321">
        <f t="shared" si="0"/>
        <v>-485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99">
        <v>15</v>
      </c>
      <c r="B22" s="446">
        <v>12828</v>
      </c>
      <c r="C22" s="446">
        <v>11294</v>
      </c>
      <c r="D22" s="446">
        <v>-490</v>
      </c>
      <c r="E22" s="446"/>
      <c r="F22" s="321">
        <f t="shared" si="0"/>
        <v>-1044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99">
        <v>16</v>
      </c>
      <c r="B23" s="446">
        <v>13094</v>
      </c>
      <c r="C23" s="446">
        <v>11294</v>
      </c>
      <c r="D23" s="446">
        <v>-370</v>
      </c>
      <c r="E23" s="446"/>
      <c r="F23" s="321">
        <f t="shared" si="0"/>
        <v>-1430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99">
        <v>17</v>
      </c>
      <c r="B24" s="446">
        <v>13691</v>
      </c>
      <c r="C24" s="446">
        <v>11294</v>
      </c>
      <c r="D24" s="446">
        <v>-734</v>
      </c>
      <c r="E24" s="446"/>
      <c r="F24" s="321">
        <f t="shared" si="0"/>
        <v>-1663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99">
        <v>18</v>
      </c>
      <c r="B25" s="446">
        <v>13166</v>
      </c>
      <c r="C25" s="446">
        <v>11295</v>
      </c>
      <c r="D25" s="446">
        <v>-396</v>
      </c>
      <c r="E25" s="446"/>
      <c r="F25" s="321">
        <f t="shared" si="0"/>
        <v>-1475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99">
        <v>19</v>
      </c>
      <c r="B26" s="446">
        <v>12678</v>
      </c>
      <c r="C26" s="446">
        <v>11294</v>
      </c>
      <c r="D26" s="446">
        <v>-69</v>
      </c>
      <c r="E26" s="446"/>
      <c r="F26" s="321">
        <f t="shared" si="0"/>
        <v>-1315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99">
        <v>20</v>
      </c>
      <c r="B27" s="446">
        <v>12792</v>
      </c>
      <c r="C27" s="446">
        <v>11293</v>
      </c>
      <c r="D27" s="446">
        <v>-149</v>
      </c>
      <c r="E27" s="446"/>
      <c r="F27" s="321">
        <f t="shared" si="0"/>
        <v>-1350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99">
        <v>21</v>
      </c>
      <c r="B28" s="446">
        <v>12765</v>
      </c>
      <c r="C28" s="446">
        <v>11293</v>
      </c>
      <c r="D28" s="446">
        <v>-74</v>
      </c>
      <c r="E28" s="446"/>
      <c r="F28" s="321">
        <f t="shared" si="0"/>
        <v>-1398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99">
        <v>22</v>
      </c>
      <c r="B29" s="446">
        <v>12784</v>
      </c>
      <c r="C29" s="446">
        <v>11293</v>
      </c>
      <c r="D29" s="446">
        <v>-87</v>
      </c>
      <c r="E29" s="446"/>
      <c r="F29" s="321">
        <f t="shared" si="0"/>
        <v>-1404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99">
        <v>23</v>
      </c>
      <c r="B30" s="446"/>
      <c r="C30" s="446"/>
      <c r="D30" s="446"/>
      <c r="E30" s="446"/>
      <c r="F30" s="321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99">
        <v>24</v>
      </c>
      <c r="B31" s="446"/>
      <c r="C31" s="446"/>
      <c r="D31" s="446"/>
      <c r="E31" s="446"/>
      <c r="F31" s="321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99">
        <v>25</v>
      </c>
      <c r="B32" s="446"/>
      <c r="C32" s="446"/>
      <c r="D32" s="446"/>
      <c r="E32" s="446"/>
      <c r="F32" s="321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99">
        <v>26</v>
      </c>
      <c r="B33" s="446"/>
      <c r="C33" s="446"/>
      <c r="D33" s="446"/>
      <c r="E33" s="446"/>
      <c r="F33" s="321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99">
        <v>27</v>
      </c>
      <c r="B34" s="446"/>
      <c r="C34" s="446"/>
      <c r="D34" s="446"/>
      <c r="E34" s="446"/>
      <c r="F34" s="321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99">
        <v>28</v>
      </c>
      <c r="B35" s="446"/>
      <c r="C35" s="446"/>
      <c r="D35" s="446"/>
      <c r="E35" s="446"/>
      <c r="F35" s="321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99">
        <v>29</v>
      </c>
      <c r="B36" s="446"/>
      <c r="C36" s="446"/>
      <c r="D36" s="446"/>
      <c r="E36" s="446"/>
      <c r="F36" s="321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99">
        <v>30</v>
      </c>
      <c r="B37" s="446"/>
      <c r="C37" s="446"/>
      <c r="D37" s="446"/>
      <c r="E37" s="446"/>
      <c r="F37" s="321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99">
        <v>31</v>
      </c>
      <c r="B38" s="446"/>
      <c r="C38" s="446"/>
      <c r="D38" s="446"/>
      <c r="E38" s="446"/>
      <c r="F38" s="321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99"/>
      <c r="B39" s="446">
        <f>SUM(B8:B38)</f>
        <v>266240</v>
      </c>
      <c r="C39" s="446">
        <f>SUM(C8:C38)</f>
        <v>248469</v>
      </c>
      <c r="D39" s="446">
        <f>SUM(D8:D38)</f>
        <v>-5242</v>
      </c>
      <c r="E39" s="446">
        <f>SUM(E8:E38)</f>
        <v>0</v>
      </c>
      <c r="F39" s="446">
        <f>SUM(F8:F38)</f>
        <v>-12529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500"/>
      <c r="B40" s="295"/>
      <c r="C40" s="501"/>
      <c r="D40" s="501"/>
      <c r="E40" s="501"/>
      <c r="F40" s="502">
        <f>+summary!H4</f>
        <v>1.96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95"/>
      <c r="B41" s="295"/>
      <c r="C41" s="295"/>
      <c r="D41" s="295"/>
      <c r="E41" s="295"/>
      <c r="F41" s="503">
        <f>+F40*F39</f>
        <v>-24556.84</v>
      </c>
      <c r="J41" s="138"/>
      <c r="N41" s="138"/>
      <c r="R41" s="138"/>
      <c r="V41" s="138"/>
      <c r="Z41" s="138"/>
    </row>
    <row r="42" spans="1:26" ht="15" customHeight="1" x14ac:dyDescent="0.2">
      <c r="A42" s="56">
        <v>37134</v>
      </c>
      <c r="B42" s="295"/>
      <c r="C42" s="504"/>
      <c r="D42" s="504"/>
      <c r="E42" s="504"/>
      <c r="F42" s="505">
        <v>429151.98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37156</v>
      </c>
      <c r="B43" s="295"/>
      <c r="C43" s="506"/>
      <c r="D43" s="506"/>
      <c r="E43" s="506"/>
      <c r="F43" s="452">
        <f>+F42+F41</f>
        <v>404595.13999999996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154</v>
      </c>
      <c r="B46" s="32"/>
      <c r="C46" s="32"/>
      <c r="D46" s="32"/>
      <c r="E46" s="11"/>
    </row>
    <row r="47" spans="1:26" x14ac:dyDescent="0.2">
      <c r="A47" s="49">
        <f>+A42</f>
        <v>37134</v>
      </c>
      <c r="B47" s="32"/>
      <c r="C47" s="32"/>
      <c r="D47" s="474">
        <v>-240480</v>
      </c>
      <c r="E47" s="11"/>
    </row>
    <row r="48" spans="1:26" x14ac:dyDescent="0.2">
      <c r="A48" s="49">
        <f>+A43</f>
        <v>37156</v>
      </c>
      <c r="B48" s="32"/>
      <c r="C48" s="32"/>
      <c r="D48" s="376">
        <f>+F39</f>
        <v>-12529</v>
      </c>
      <c r="E48" s="11"/>
    </row>
    <row r="49" spans="1:5" x14ac:dyDescent="0.2">
      <c r="A49" s="32"/>
      <c r="B49" s="32"/>
      <c r="C49" s="32"/>
      <c r="D49" s="14">
        <f>+D48+D47</f>
        <v>-253009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abSelected="1" workbookViewId="0">
      <selection activeCell="C26" sqref="C26"/>
    </sheetView>
    <sheetView tabSelected="1" topLeftCell="A7" workbookViewId="1">
      <selection activeCell="B16" sqref="B16"/>
    </sheetView>
    <sheetView tabSelected="1" topLeftCell="A19" workbookViewId="2">
      <selection activeCell="J34" sqref="J34"/>
    </sheetView>
    <sheetView workbookViewId="3">
      <selection activeCell="E9" sqref="E9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5" t="s">
        <v>143</v>
      </c>
      <c r="G2" s="393" t="s">
        <v>79</v>
      </c>
      <c r="H2" s="370"/>
    </row>
    <row r="3" spans="1:32" ht="15" customHeight="1" x14ac:dyDescent="0.2">
      <c r="G3" s="299" t="s">
        <v>30</v>
      </c>
      <c r="H3" s="369">
        <f>+'[1]0901'!$K$39</f>
        <v>1.82</v>
      </c>
      <c r="I3" s="404">
        <f ca="1">NOW()</f>
        <v>37158.744002199077</v>
      </c>
    </row>
    <row r="4" spans="1:32" ht="15" customHeight="1" x14ac:dyDescent="0.2">
      <c r="A4" s="34" t="s">
        <v>149</v>
      </c>
      <c r="C4" s="34" t="s">
        <v>5</v>
      </c>
      <c r="G4" s="300" t="s">
        <v>31</v>
      </c>
      <c r="H4" s="301">
        <f>+'[1]0901'!$M$39</f>
        <v>1.96</v>
      </c>
    </row>
    <row r="5" spans="1:32" ht="15" customHeight="1" x14ac:dyDescent="0.2">
      <c r="B5" s="367"/>
      <c r="G5" s="299" t="s">
        <v>118</v>
      </c>
      <c r="H5" s="369">
        <f>+'[1]0901'!$H$39</f>
        <v>2.0299999999999998</v>
      </c>
    </row>
    <row r="6" spans="1:32" ht="9.9499999999999993" customHeight="1" x14ac:dyDescent="0.2"/>
    <row r="7" spans="1:32" ht="15" customHeight="1" x14ac:dyDescent="0.2">
      <c r="A7" s="355" t="s">
        <v>90</v>
      </c>
      <c r="B7" s="356" t="s">
        <v>17</v>
      </c>
      <c r="C7" s="357" t="s">
        <v>0</v>
      </c>
      <c r="D7" s="5" t="s">
        <v>150</v>
      </c>
      <c r="E7" s="355" t="s">
        <v>91</v>
      </c>
      <c r="F7" s="358" t="s">
        <v>102</v>
      </c>
      <c r="G7" s="355" t="s">
        <v>99</v>
      </c>
    </row>
    <row r="8" spans="1:32" ht="15" customHeight="1" x14ac:dyDescent="0.2">
      <c r="A8" s="371" t="s">
        <v>33</v>
      </c>
      <c r="B8" s="372">
        <f>+C8*$H$4</f>
        <v>589021.16</v>
      </c>
      <c r="C8" s="208">
        <f>+SoCal!F40</f>
        <v>300521</v>
      </c>
      <c r="D8" s="394">
        <f>+SoCal!A40</f>
        <v>37157</v>
      </c>
      <c r="E8" s="206" t="s">
        <v>85</v>
      </c>
      <c r="F8" s="206" t="s">
        <v>103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253" t="s">
        <v>151</v>
      </c>
      <c r="B9" s="372">
        <f>+PGETX!$H$39</f>
        <v>457833.26</v>
      </c>
      <c r="C9" s="285">
        <f t="shared" ref="C9:C16" si="0">+B9/$H$4</f>
        <v>233588.39795918367</v>
      </c>
      <c r="D9" s="395">
        <f>+PGETX!E39</f>
        <v>37157</v>
      </c>
      <c r="E9" s="32" t="s">
        <v>86</v>
      </c>
      <c r="F9" s="32" t="s">
        <v>103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3" t="s">
        <v>108</v>
      </c>
      <c r="B10" s="372">
        <f>+KN_Westar!F41</f>
        <v>457324.94</v>
      </c>
      <c r="C10" s="285">
        <f t="shared" si="0"/>
        <v>233329.05102040817</v>
      </c>
      <c r="D10" s="395">
        <f>+KN_Westar!A41</f>
        <v>37149</v>
      </c>
      <c r="E10" s="32" t="s">
        <v>86</v>
      </c>
      <c r="F10" s="32" t="s">
        <v>101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371" t="s">
        <v>88</v>
      </c>
      <c r="B11" s="372">
        <f>+NNG!$D$24</f>
        <v>450705.56</v>
      </c>
      <c r="C11" s="285">
        <f t="shared" si="0"/>
        <v>229951.81632653062</v>
      </c>
      <c r="D11" s="394">
        <f>+NNG!A24</f>
        <v>37156</v>
      </c>
      <c r="E11" s="206" t="s">
        <v>86</v>
      </c>
      <c r="F11" s="206" t="s">
        <v>101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371" t="s">
        <v>29</v>
      </c>
      <c r="B12" s="372">
        <f>+C12*$H$3</f>
        <v>440913.2</v>
      </c>
      <c r="C12" s="285">
        <f>+williams!J40</f>
        <v>242260</v>
      </c>
      <c r="D12" s="394">
        <f>+williams!A40</f>
        <v>37157</v>
      </c>
      <c r="E12" s="206" t="s">
        <v>85</v>
      </c>
      <c r="F12" s="206" t="s">
        <v>148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3</v>
      </c>
      <c r="B13" s="372">
        <f>+'Amoco Abo'!$F$43</f>
        <v>404595.13999999996</v>
      </c>
      <c r="C13" s="285">
        <f t="shared" si="0"/>
        <v>206426.09183673467</v>
      </c>
      <c r="D13" s="395">
        <f>+'Amoco Abo'!A43</f>
        <v>37156</v>
      </c>
      <c r="E13" s="32" t="s">
        <v>86</v>
      </c>
      <c r="F13" s="32" t="s">
        <v>116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81</v>
      </c>
      <c r="B14" s="372">
        <f>+Conoco!$F$41</f>
        <v>397931.69</v>
      </c>
      <c r="C14" s="285">
        <f>+B14/$H$4</f>
        <v>203026.37244897959</v>
      </c>
      <c r="D14" s="394">
        <f>+Conoco!A41</f>
        <v>37157</v>
      </c>
      <c r="E14" s="32" t="s">
        <v>86</v>
      </c>
      <c r="F14" s="32" t="s">
        <v>114</v>
      </c>
      <c r="G14" s="32" t="s">
        <v>146</v>
      </c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111</v>
      </c>
      <c r="B15" s="372">
        <f>+CIG!$D$43</f>
        <v>392148.28</v>
      </c>
      <c r="C15" s="285">
        <f t="shared" si="0"/>
        <v>200075.6530612245</v>
      </c>
      <c r="D15" s="395">
        <f>+CIG!A43</f>
        <v>37156</v>
      </c>
      <c r="E15" s="32" t="s">
        <v>86</v>
      </c>
      <c r="F15" s="32" t="s">
        <v>114</v>
      </c>
      <c r="G15" s="32" t="s">
        <v>202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253" t="s">
        <v>2</v>
      </c>
      <c r="B16" s="372">
        <f>+mewborne!$J$43</f>
        <v>357730.67</v>
      </c>
      <c r="C16" s="285">
        <f t="shared" si="0"/>
        <v>182515.64795918367</v>
      </c>
      <c r="D16" s="395">
        <f>+mewborne!A43</f>
        <v>37156</v>
      </c>
      <c r="E16" s="32" t="s">
        <v>86</v>
      </c>
      <c r="F16" s="32" t="s">
        <v>100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253" t="s">
        <v>95</v>
      </c>
      <c r="B17" s="372">
        <f>+C17*$H$4</f>
        <v>302422.12</v>
      </c>
      <c r="C17" s="285">
        <f>+Mojave!D40</f>
        <v>154297</v>
      </c>
      <c r="D17" s="395">
        <f>+Mojave!A40</f>
        <v>37157</v>
      </c>
      <c r="E17" s="32" t="s">
        <v>85</v>
      </c>
      <c r="F17" s="32" t="s">
        <v>101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253" t="s">
        <v>24</v>
      </c>
      <c r="B18" s="438">
        <f>+C18*$H$3</f>
        <v>289152.5</v>
      </c>
      <c r="C18" s="374">
        <f>+'Red C'!F43</f>
        <v>158875</v>
      </c>
      <c r="D18" s="394">
        <f>+'Red C'!B43</f>
        <v>37156</v>
      </c>
      <c r="E18" s="206" t="s">
        <v>85</v>
      </c>
      <c r="F18" s="32" t="s">
        <v>116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53" t="s">
        <v>89</v>
      </c>
      <c r="B19" s="372">
        <f>+C19*$H$4</f>
        <v>231685.72</v>
      </c>
      <c r="C19" s="285">
        <f>+NGPL!F38</f>
        <v>118207</v>
      </c>
      <c r="D19" s="395">
        <f>+NGPL!A38</f>
        <v>37156</v>
      </c>
      <c r="E19" s="32" t="s">
        <v>85</v>
      </c>
      <c r="F19" s="32" t="s">
        <v>116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53" t="s">
        <v>83</v>
      </c>
      <c r="B20" s="372">
        <f>+PNM!$D$23</f>
        <v>228605.31</v>
      </c>
      <c r="C20" s="285">
        <f t="shared" ref="C20:C30" si="1">+B20/$H$4</f>
        <v>116635.36224489796</v>
      </c>
      <c r="D20" s="395">
        <f>+PNM!A23</f>
        <v>37156</v>
      </c>
      <c r="E20" s="32" t="s">
        <v>86</v>
      </c>
      <c r="F20" s="32" t="s">
        <v>116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3" t="s">
        <v>32</v>
      </c>
      <c r="B21" s="372">
        <f>+C21*$H$4</f>
        <v>142362.63999999998</v>
      </c>
      <c r="C21" s="285">
        <f>+Lonestar!F42</f>
        <v>72634</v>
      </c>
      <c r="D21" s="394">
        <f>+Lonestar!B42</f>
        <v>37157</v>
      </c>
      <c r="E21" s="32" t="s">
        <v>85</v>
      </c>
      <c r="F21" s="32" t="s">
        <v>103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3" t="s">
        <v>115</v>
      </c>
      <c r="B22" s="372">
        <f>+C22*$H$4</f>
        <v>136664.91999999998</v>
      </c>
      <c r="C22" s="208">
        <f>+'PG&amp;E'!D40</f>
        <v>69727</v>
      </c>
      <c r="D22" s="395">
        <f>+'PG&amp;E'!A40</f>
        <v>37157</v>
      </c>
      <c r="E22" s="32" t="s">
        <v>85</v>
      </c>
      <c r="F22" s="32" t="s">
        <v>103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371" t="s">
        <v>80</v>
      </c>
      <c r="B23" s="372">
        <f>+Agave!$D$24</f>
        <v>132443.06999999998</v>
      </c>
      <c r="C23" s="208">
        <f>+B23/$H$4</f>
        <v>67572.994897959172</v>
      </c>
      <c r="D23" s="394">
        <f>+Agave!A24</f>
        <v>37156</v>
      </c>
      <c r="E23" s="206" t="s">
        <v>86</v>
      </c>
      <c r="F23" s="206" t="s">
        <v>103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3" t="s">
        <v>6</v>
      </c>
      <c r="B24" s="372">
        <f>+C24*$H$3</f>
        <v>102698.96</v>
      </c>
      <c r="C24" s="285">
        <f>+Amoco!D40</f>
        <v>56428</v>
      </c>
      <c r="D24" s="395">
        <f>+Amoco!A40</f>
        <v>37157</v>
      </c>
      <c r="E24" s="32" t="s">
        <v>85</v>
      </c>
      <c r="F24" s="32" t="s">
        <v>116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53" t="s">
        <v>7</v>
      </c>
      <c r="B25" s="372">
        <f>+C25*$H$4</f>
        <v>101718.12</v>
      </c>
      <c r="C25" s="208">
        <f>+Oasis!D40</f>
        <v>51897</v>
      </c>
      <c r="D25" s="395">
        <f>+Oasis!B40</f>
        <v>37156</v>
      </c>
      <c r="E25" s="32" t="s">
        <v>85</v>
      </c>
      <c r="F25" s="32" t="s">
        <v>103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371" t="s">
        <v>130</v>
      </c>
      <c r="B26" s="372">
        <f>+Calpine!D41</f>
        <v>99866.06</v>
      </c>
      <c r="C26" s="208">
        <f t="shared" si="1"/>
        <v>50952.071428571428</v>
      </c>
      <c r="D26" s="394">
        <f>+Calpine!A41</f>
        <v>37157</v>
      </c>
      <c r="E26" s="206" t="s">
        <v>86</v>
      </c>
      <c r="F26" s="206" t="s">
        <v>100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253" t="s">
        <v>1</v>
      </c>
      <c r="B27" s="372">
        <f>+C27*$H$3</f>
        <v>97177.08</v>
      </c>
      <c r="C27" s="208">
        <f>+NW!$F$41</f>
        <v>53394</v>
      </c>
      <c r="D27" s="394">
        <f>+NW!B41</f>
        <v>37156</v>
      </c>
      <c r="E27" s="32" t="s">
        <v>85</v>
      </c>
      <c r="F27" s="32" t="s">
        <v>116</v>
      </c>
      <c r="G27" s="378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253" t="s">
        <v>104</v>
      </c>
      <c r="B28" s="372">
        <f>+EOG!J41</f>
        <v>56367.64</v>
      </c>
      <c r="C28" s="285">
        <f t="shared" si="1"/>
        <v>28759</v>
      </c>
      <c r="D28" s="394">
        <f>+EOG!A41</f>
        <v>37156</v>
      </c>
      <c r="E28" s="32" t="s">
        <v>86</v>
      </c>
      <c r="F28" s="32" t="s">
        <v>103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">
      <c r="A29" s="371" t="s">
        <v>72</v>
      </c>
      <c r="B29" s="373">
        <f>+transcol!$D$43</f>
        <v>34184.129999999997</v>
      </c>
      <c r="C29" s="374">
        <f t="shared" si="1"/>
        <v>17440.882653061224</v>
      </c>
      <c r="D29" s="394">
        <f>+transcol!A43</f>
        <v>37156</v>
      </c>
      <c r="E29" s="206" t="s">
        <v>86</v>
      </c>
      <c r="F29" s="206" t="s">
        <v>116</v>
      </c>
      <c r="G29" s="304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2.95" customHeight="1" x14ac:dyDescent="0.2">
      <c r="A30" s="253" t="s">
        <v>134</v>
      </c>
      <c r="B30" s="372">
        <f>+SidR!D41</f>
        <v>30842.25</v>
      </c>
      <c r="C30" s="285">
        <f t="shared" si="1"/>
        <v>15735.841836734695</v>
      </c>
      <c r="D30" s="395">
        <f>+SidR!A41</f>
        <v>37156</v>
      </c>
      <c r="E30" s="32" t="s">
        <v>86</v>
      </c>
      <c r="F30" s="32" t="s">
        <v>103</v>
      </c>
      <c r="G30" s="32" t="s">
        <v>165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s="304" customFormat="1" ht="12.95" customHeight="1" x14ac:dyDescent="0.2">
      <c r="A31" s="371" t="s">
        <v>110</v>
      </c>
      <c r="B31" s="372">
        <f>+Continental!F43</f>
        <v>5737.33</v>
      </c>
      <c r="C31" s="208">
        <f>+B31/$H$4</f>
        <v>2927.2091836734694</v>
      </c>
      <c r="D31" s="394">
        <f>+Continental!A43</f>
        <v>37156</v>
      </c>
      <c r="E31" s="206" t="s">
        <v>86</v>
      </c>
      <c r="F31" s="206" t="s">
        <v>116</v>
      </c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</row>
    <row r="32" spans="1:32" ht="13.5" customHeight="1" x14ac:dyDescent="0.2">
      <c r="A32" s="371" t="s">
        <v>96</v>
      </c>
      <c r="B32" s="375">
        <f>+burlington!D42</f>
        <v>3707.34</v>
      </c>
      <c r="C32" s="71">
        <f>+B32/$H$3</f>
        <v>2037</v>
      </c>
      <c r="D32" s="394">
        <f>+burlington!A42</f>
        <v>37156</v>
      </c>
      <c r="E32" s="206" t="s">
        <v>86</v>
      </c>
      <c r="F32" s="32" t="s">
        <v>114</v>
      </c>
      <c r="G32" s="32" t="s">
        <v>147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8" customHeight="1" x14ac:dyDescent="0.2">
      <c r="A33" s="32" t="s">
        <v>97</v>
      </c>
      <c r="B33" s="47">
        <f>SUM(B8:B32)</f>
        <v>5943839.0899999989</v>
      </c>
      <c r="C33" s="69">
        <f>SUM(C8:C32)</f>
        <v>3069213.3928571432</v>
      </c>
      <c r="D33" s="205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">
      <c r="A34" s="32"/>
      <c r="B34" s="47"/>
      <c r="C34" s="69"/>
      <c r="D34" s="205"/>
      <c r="E34" s="32"/>
      <c r="F34" s="377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55" t="s">
        <v>90</v>
      </c>
      <c r="B35" s="356" t="s">
        <v>17</v>
      </c>
      <c r="C35" s="357" t="s">
        <v>0</v>
      </c>
      <c r="D35" s="366" t="s">
        <v>150</v>
      </c>
      <c r="E35" s="355" t="s">
        <v>91</v>
      </c>
      <c r="F35" s="358" t="s">
        <v>102</v>
      </c>
      <c r="G35" s="355" t="s">
        <v>99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2.95" customHeight="1" x14ac:dyDescent="0.2">
      <c r="A36" s="371" t="s">
        <v>138</v>
      </c>
      <c r="B36" s="372">
        <f>+Citizens!D18</f>
        <v>-611739.05000000005</v>
      </c>
      <c r="C36" s="208">
        <f>+B36/$H$4</f>
        <v>-312111.76020408166</v>
      </c>
      <c r="D36" s="394">
        <f>+Citizens!A18</f>
        <v>37156</v>
      </c>
      <c r="E36" s="206" t="s">
        <v>86</v>
      </c>
      <c r="F36" s="206" t="s">
        <v>100</v>
      </c>
      <c r="G36" s="378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5" customHeight="1" x14ac:dyDescent="0.2">
      <c r="A37" s="253" t="s">
        <v>136</v>
      </c>
      <c r="B37" s="372">
        <f>+'NS Steel'!D41</f>
        <v>-443027.86</v>
      </c>
      <c r="C37" s="208">
        <f>+B37/$H$4</f>
        <v>-226034.62244897959</v>
      </c>
      <c r="D37" s="395">
        <f>+'NS Steel'!A41</f>
        <v>37156</v>
      </c>
      <c r="E37" s="32" t="s">
        <v>86</v>
      </c>
      <c r="F37" s="32" t="s">
        <v>101</v>
      </c>
      <c r="G37" s="378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5" customHeight="1" x14ac:dyDescent="0.2">
      <c r="A38" s="253" t="s">
        <v>129</v>
      </c>
      <c r="B38" s="372">
        <f>+DEFS!F53</f>
        <v>-138016.5400000005</v>
      </c>
      <c r="C38" s="208">
        <f>+B38/$H$4</f>
        <v>-70416.602040816579</v>
      </c>
      <c r="D38" s="394">
        <f>+DEFS!A40</f>
        <v>37156</v>
      </c>
      <c r="E38" s="32" t="s">
        <v>86</v>
      </c>
      <c r="F38" s="32" t="s">
        <v>101</v>
      </c>
      <c r="G38" s="32" t="s">
        <v>119</v>
      </c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3.5" customHeight="1" x14ac:dyDescent="0.2">
      <c r="A39" s="253" t="s">
        <v>142</v>
      </c>
      <c r="B39" s="372">
        <f>+'Citizens-Griffith'!D41</f>
        <v>-58137.479999999996</v>
      </c>
      <c r="C39" s="285">
        <f>+B39/$H$4</f>
        <v>-29661.979591836734</v>
      </c>
      <c r="D39" s="394">
        <f>+'Citizens-Griffith'!A41</f>
        <v>37157</v>
      </c>
      <c r="E39" s="32" t="s">
        <v>86</v>
      </c>
      <c r="F39" s="32" t="s">
        <v>100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253" t="s">
        <v>132</v>
      </c>
      <c r="B40" s="372">
        <f>+EPFS!D41</f>
        <v>-42264.86</v>
      </c>
      <c r="C40" s="208">
        <f>+B40/$H$5</f>
        <v>-20820.128078817736</v>
      </c>
      <c r="D40" s="394">
        <f>+EPFS!A41</f>
        <v>37157</v>
      </c>
      <c r="E40" s="32" t="s">
        <v>86</v>
      </c>
      <c r="F40" s="32" t="s">
        <v>103</v>
      </c>
      <c r="G40" s="32"/>
      <c r="H40" s="206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">
      <c r="A41" s="253" t="s">
        <v>34</v>
      </c>
      <c r="B41" s="372">
        <f>+'El Paso'!C39*summary!H4+'El Paso'!E39*summary!H3</f>
        <v>-18285.820000000007</v>
      </c>
      <c r="C41" s="285">
        <f>+'El Paso'!H39</f>
        <v>-14989</v>
      </c>
      <c r="D41" s="395">
        <f>+'El Paso'!A39</f>
        <v>37156</v>
      </c>
      <c r="E41" s="32" t="s">
        <v>85</v>
      </c>
      <c r="F41" s="32" t="s">
        <v>101</v>
      </c>
      <c r="G41" s="32" t="s">
        <v>120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3.5" customHeight="1" x14ac:dyDescent="0.2">
      <c r="A42" s="253" t="s">
        <v>145</v>
      </c>
      <c r="B42" s="510">
        <f>+C42*$H$4</f>
        <v>-19484.36</v>
      </c>
      <c r="C42" s="293">
        <f>+PEPL!D41</f>
        <v>-9941</v>
      </c>
      <c r="D42" s="395">
        <f>+PEPL!A41</f>
        <v>37156</v>
      </c>
      <c r="E42" s="32" t="s">
        <v>85</v>
      </c>
      <c r="F42" s="32" t="s">
        <v>101</v>
      </c>
      <c r="G42" s="32" t="s">
        <v>144</v>
      </c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98</v>
      </c>
      <c r="B43" s="372">
        <f>SUM(B36:B42)</f>
        <v>-1330955.9700000009</v>
      </c>
      <c r="C43" s="208">
        <f>SUM(C36:C42)</f>
        <v>-683975.09236453229</v>
      </c>
      <c r="D43" s="379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/>
      <c r="B44" s="375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92</v>
      </c>
      <c r="B45" s="380">
        <f>+B43+B33</f>
        <v>4612883.1199999982</v>
      </c>
      <c r="C45" s="381">
        <f>+C43+C33</f>
        <v>2385238.3004926108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93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2"/>
      <c r="C60" s="383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4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5"/>
      <c r="E66" s="386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87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87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88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89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0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0"/>
      <c r="C72" s="69"/>
      <c r="D72" s="384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1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1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0"/>
      <c r="C75" s="14"/>
      <c r="D75" s="384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0"/>
      <c r="C76" s="69"/>
      <c r="D76" s="384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0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2"/>
      <c r="C78" s="392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B12" sqref="B12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88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50</v>
      </c>
    </row>
    <row r="6" spans="1:8" x14ac:dyDescent="0.2">
      <c r="A6" s="32">
        <v>1635</v>
      </c>
      <c r="B6" s="344">
        <v>-279274</v>
      </c>
      <c r="C6" s="80"/>
      <c r="D6" s="80">
        <f t="shared" ref="D6:D14" si="0">+C6-B6</f>
        <v>279274</v>
      </c>
    </row>
    <row r="7" spans="1:8" x14ac:dyDescent="0.2">
      <c r="A7" s="32">
        <v>3531</v>
      </c>
      <c r="B7" s="323">
        <v>-647769</v>
      </c>
      <c r="C7" s="80">
        <v>-287299</v>
      </c>
      <c r="D7" s="80">
        <f t="shared" si="0"/>
        <v>360470</v>
      </c>
    </row>
    <row r="8" spans="1:8" x14ac:dyDescent="0.2">
      <c r="A8" s="32">
        <v>60667</v>
      </c>
      <c r="B8" s="323">
        <v>-70935</v>
      </c>
      <c r="C8" s="80">
        <v>-30939</v>
      </c>
      <c r="D8" s="80">
        <f t="shared" si="0"/>
        <v>39996</v>
      </c>
      <c r="H8" s="254"/>
    </row>
    <row r="9" spans="1:8" x14ac:dyDescent="0.2">
      <c r="A9" s="32">
        <v>60749</v>
      </c>
      <c r="B9" s="323">
        <v>1064860</v>
      </c>
      <c r="C9" s="80">
        <v>241403</v>
      </c>
      <c r="D9" s="80">
        <f t="shared" si="0"/>
        <v>-823457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-169236</v>
      </c>
      <c r="C11" s="80"/>
      <c r="D11" s="80">
        <f t="shared" si="0"/>
        <v>169236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25519</v>
      </c>
    </row>
    <row r="19" spans="1:5" x14ac:dyDescent="0.2">
      <c r="A19" s="32" t="s">
        <v>82</v>
      </c>
      <c r="B19" s="69"/>
      <c r="C19" s="69"/>
      <c r="D19" s="73">
        <f>+summary!H4</f>
        <v>1.96</v>
      </c>
    </row>
    <row r="20" spans="1:5" x14ac:dyDescent="0.2">
      <c r="B20" s="69"/>
      <c r="C20" s="69"/>
      <c r="D20" s="75">
        <f>+D19*D18</f>
        <v>50017.24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37134</v>
      </c>
      <c r="B22" s="69"/>
      <c r="C22" s="80"/>
      <c r="D22" s="473">
        <v>400688.32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37156</v>
      </c>
      <c r="B24" s="69"/>
      <c r="C24" s="69"/>
      <c r="D24" s="351">
        <f>+D22+D20</f>
        <v>450705.56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154</v>
      </c>
    </row>
    <row r="32" spans="1:5" x14ac:dyDescent="0.2">
      <c r="A32" s="49">
        <f>+A22</f>
        <v>37134</v>
      </c>
      <c r="D32" s="492">
        <v>-29477</v>
      </c>
    </row>
    <row r="33" spans="1:4" x14ac:dyDescent="0.2">
      <c r="A33" s="49">
        <f>+A24</f>
        <v>37156</v>
      </c>
      <c r="D33" s="376">
        <f>+D18</f>
        <v>25519</v>
      </c>
    </row>
    <row r="34" spans="1:4" x14ac:dyDescent="0.2">
      <c r="D34" s="14">
        <f>+D33+D32</f>
        <v>-3958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A24" sqref="A24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50</v>
      </c>
    </row>
    <row r="5" spans="1:13" x14ac:dyDescent="0.2">
      <c r="A5" s="87">
        <v>9236</v>
      </c>
      <c r="B5" s="364">
        <v>-23719</v>
      </c>
      <c r="C5" s="90">
        <v>-22302</v>
      </c>
      <c r="D5" s="90">
        <f t="shared" ref="D5:D13" si="0">+C5-B5</f>
        <v>1417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4">
        <v>-2149512</v>
      </c>
      <c r="C7" s="90">
        <v>-2131133</v>
      </c>
      <c r="D7" s="90">
        <f t="shared" si="0"/>
        <v>18379</v>
      </c>
      <c r="E7" s="285"/>
      <c r="F7" s="70"/>
    </row>
    <row r="8" spans="1:13" x14ac:dyDescent="0.2">
      <c r="A8" s="87">
        <v>58710</v>
      </c>
      <c r="B8" s="364">
        <v>-167</v>
      </c>
      <c r="C8" s="90">
        <v>-1009</v>
      </c>
      <c r="D8" s="90">
        <f t="shared" si="0"/>
        <v>-842</v>
      </c>
      <c r="E8" s="285"/>
      <c r="F8" s="70"/>
    </row>
    <row r="9" spans="1:13" x14ac:dyDescent="0.2">
      <c r="A9" s="87">
        <v>60921</v>
      </c>
      <c r="B9" s="319">
        <v>1366289</v>
      </c>
      <c r="C9" s="90">
        <v>1319320</v>
      </c>
      <c r="D9" s="90">
        <f t="shared" si="0"/>
        <v>-46969</v>
      </c>
      <c r="E9" s="285"/>
      <c r="F9" s="70"/>
    </row>
    <row r="10" spans="1:13" x14ac:dyDescent="0.2">
      <c r="A10" s="87">
        <v>78026</v>
      </c>
      <c r="B10" s="364"/>
      <c r="C10" s="90">
        <v>81197</v>
      </c>
      <c r="D10" s="90">
        <f t="shared" si="0"/>
        <v>81197</v>
      </c>
      <c r="E10" s="285"/>
      <c r="F10" s="283"/>
    </row>
    <row r="11" spans="1:13" x14ac:dyDescent="0.2">
      <c r="A11" s="87">
        <v>500084</v>
      </c>
      <c r="B11" s="364">
        <v>-6753</v>
      </c>
      <c r="C11" s="90">
        <v>-19000</v>
      </c>
      <c r="D11" s="90">
        <f t="shared" si="0"/>
        <v>-12247</v>
      </c>
      <c r="E11" s="286"/>
      <c r="F11" s="283"/>
    </row>
    <row r="12" spans="1:13" x14ac:dyDescent="0.2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-9773</v>
      </c>
      <c r="C13" s="90"/>
      <c r="D13" s="90">
        <f t="shared" si="0"/>
        <v>9773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50708</v>
      </c>
      <c r="E17" s="285"/>
      <c r="F17" s="283"/>
    </row>
    <row r="18" spans="1:7" x14ac:dyDescent="0.2">
      <c r="A18" s="87" t="s">
        <v>82</v>
      </c>
      <c r="B18" s="88"/>
      <c r="C18" s="88"/>
      <c r="D18" s="95">
        <f>+summary!H4</f>
        <v>1.96</v>
      </c>
      <c r="E18" s="287"/>
      <c r="F18" s="283"/>
    </row>
    <row r="19" spans="1:7" x14ac:dyDescent="0.2">
      <c r="A19" s="87"/>
      <c r="B19" s="88"/>
      <c r="C19" s="88"/>
      <c r="D19" s="96">
        <f>+D18*D17</f>
        <v>99387.68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37134</v>
      </c>
      <c r="B21" s="88"/>
      <c r="C21" s="88"/>
      <c r="D21" s="479">
        <v>129217.63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37156</v>
      </c>
      <c r="B23" s="88"/>
      <c r="C23" s="88"/>
      <c r="D23" s="334">
        <f>+D21+D19</f>
        <v>228605.31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154</v>
      </c>
      <c r="B27" s="32"/>
      <c r="C27" s="32"/>
      <c r="D27" s="32"/>
    </row>
    <row r="28" spans="1:7" x14ac:dyDescent="0.2">
      <c r="A28" s="49">
        <f>+A21</f>
        <v>37134</v>
      </c>
      <c r="B28" s="32"/>
      <c r="C28" s="32"/>
      <c r="D28" s="474">
        <v>7128</v>
      </c>
    </row>
    <row r="29" spans="1:7" x14ac:dyDescent="0.2">
      <c r="A29" s="49">
        <f>+A23</f>
        <v>37156</v>
      </c>
      <c r="B29" s="32"/>
      <c r="C29" s="32"/>
      <c r="D29" s="376">
        <f>+D17</f>
        <v>50708</v>
      </c>
    </row>
    <row r="30" spans="1:7" x14ac:dyDescent="0.2">
      <c r="A30" s="32"/>
      <c r="B30" s="32"/>
      <c r="C30" s="32"/>
      <c r="D30" s="14">
        <f>+D29+D28</f>
        <v>57836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6" workbookViewId="3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50</v>
      </c>
    </row>
    <row r="3" spans="1:6" x14ac:dyDescent="0.2">
      <c r="A3">
        <v>1</v>
      </c>
      <c r="B3" s="90">
        <v>54408</v>
      </c>
      <c r="C3" s="90">
        <v>54435</v>
      </c>
      <c r="D3" s="90">
        <v>-44838</v>
      </c>
      <c r="E3" s="90">
        <v>-19695</v>
      </c>
      <c r="F3" s="90">
        <f>+E3-D3+C3-B3</f>
        <v>25170</v>
      </c>
    </row>
    <row r="4" spans="1:6" x14ac:dyDescent="0.2">
      <c r="A4">
        <v>2</v>
      </c>
      <c r="B4" s="90">
        <v>54768</v>
      </c>
      <c r="C4" s="90">
        <v>54751</v>
      </c>
      <c r="D4" s="90">
        <v>-48946</v>
      </c>
      <c r="E4" s="90">
        <v>-19695</v>
      </c>
      <c r="F4" s="90">
        <f>+E4-D4+C4-B4</f>
        <v>29234</v>
      </c>
    </row>
    <row r="5" spans="1:6" x14ac:dyDescent="0.2">
      <c r="A5">
        <v>3</v>
      </c>
      <c r="B5" s="90">
        <v>52724</v>
      </c>
      <c r="C5" s="90">
        <v>52734</v>
      </c>
      <c r="D5" s="90">
        <v>-7981</v>
      </c>
      <c r="E5" s="90">
        <v>-19695</v>
      </c>
      <c r="F5" s="90">
        <f>+E5-D5+C5-B5</f>
        <v>-11704</v>
      </c>
    </row>
    <row r="6" spans="1:6" x14ac:dyDescent="0.2">
      <c r="A6">
        <v>4</v>
      </c>
      <c r="B6" s="90">
        <v>53199</v>
      </c>
      <c r="C6" s="90">
        <v>54711</v>
      </c>
      <c r="D6" s="90">
        <v>-10156</v>
      </c>
      <c r="E6" s="90">
        <v>-19695</v>
      </c>
      <c r="F6" s="90">
        <f t="shared" ref="F6:F33" si="0">+E6-D6+C6-B6</f>
        <v>-8027</v>
      </c>
    </row>
    <row r="7" spans="1:6" x14ac:dyDescent="0.2">
      <c r="A7">
        <v>5</v>
      </c>
      <c r="B7" s="90">
        <v>49733</v>
      </c>
      <c r="C7" s="90">
        <v>49711</v>
      </c>
      <c r="D7" s="90">
        <v>-22954</v>
      </c>
      <c r="E7" s="90">
        <v>-30290</v>
      </c>
      <c r="F7" s="90">
        <f t="shared" si="0"/>
        <v>-7358</v>
      </c>
    </row>
    <row r="8" spans="1:6" x14ac:dyDescent="0.2">
      <c r="A8">
        <v>6</v>
      </c>
      <c r="B8" s="90">
        <v>47560</v>
      </c>
      <c r="C8" s="90">
        <v>47583</v>
      </c>
      <c r="D8" s="90">
        <v>-55424</v>
      </c>
      <c r="E8" s="90">
        <v>-63907</v>
      </c>
      <c r="F8" s="90">
        <f t="shared" si="0"/>
        <v>-8460</v>
      </c>
    </row>
    <row r="9" spans="1:6" x14ac:dyDescent="0.2">
      <c r="A9">
        <v>7</v>
      </c>
      <c r="B9" s="90">
        <v>39727</v>
      </c>
      <c r="C9" s="90">
        <v>39751</v>
      </c>
      <c r="D9" s="90">
        <v>-14089</v>
      </c>
      <c r="E9" s="90">
        <v>-22398</v>
      </c>
      <c r="F9" s="90">
        <f t="shared" si="0"/>
        <v>-8285</v>
      </c>
    </row>
    <row r="10" spans="1:6" x14ac:dyDescent="0.2">
      <c r="A10">
        <v>8</v>
      </c>
      <c r="B10" s="90">
        <v>39566</v>
      </c>
      <c r="C10" s="90">
        <v>39634</v>
      </c>
      <c r="D10" s="90">
        <v>-51249</v>
      </c>
      <c r="E10" s="90">
        <v>-49937</v>
      </c>
      <c r="F10" s="90">
        <f t="shared" si="0"/>
        <v>1380</v>
      </c>
    </row>
    <row r="11" spans="1:6" x14ac:dyDescent="0.2">
      <c r="A11">
        <v>9</v>
      </c>
      <c r="B11" s="90">
        <v>39696</v>
      </c>
      <c r="C11" s="90">
        <v>39751</v>
      </c>
      <c r="D11" s="90">
        <v>-51429</v>
      </c>
      <c r="E11" s="90">
        <v>-49937</v>
      </c>
      <c r="F11" s="90">
        <f t="shared" si="0"/>
        <v>1547</v>
      </c>
    </row>
    <row r="12" spans="1:6" x14ac:dyDescent="0.2">
      <c r="A12">
        <v>10</v>
      </c>
      <c r="B12" s="90">
        <v>39685</v>
      </c>
      <c r="C12" s="90">
        <v>39751</v>
      </c>
      <c r="D12" s="90">
        <v>-52771</v>
      </c>
      <c r="E12" s="90">
        <v>-49937</v>
      </c>
      <c r="F12" s="90">
        <f t="shared" si="0"/>
        <v>2900</v>
      </c>
    </row>
    <row r="13" spans="1:6" x14ac:dyDescent="0.2">
      <c r="A13">
        <v>11</v>
      </c>
      <c r="B13" s="90">
        <v>39693</v>
      </c>
      <c r="C13" s="90">
        <v>39751</v>
      </c>
      <c r="D13" s="90">
        <v>-51659</v>
      </c>
      <c r="E13" s="90">
        <v>-54790</v>
      </c>
      <c r="F13" s="90">
        <f t="shared" si="0"/>
        <v>-3073</v>
      </c>
    </row>
    <row r="14" spans="1:6" x14ac:dyDescent="0.2">
      <c r="A14">
        <v>12</v>
      </c>
      <c r="B14" s="88">
        <v>39687</v>
      </c>
      <c r="C14" s="90">
        <v>39751</v>
      </c>
      <c r="D14" s="88">
        <v>-65758</v>
      </c>
      <c r="E14" s="88">
        <v>-65762</v>
      </c>
      <c r="F14" s="90">
        <f t="shared" si="0"/>
        <v>60</v>
      </c>
    </row>
    <row r="15" spans="1:6" x14ac:dyDescent="0.2">
      <c r="A15">
        <v>13</v>
      </c>
      <c r="B15" s="88">
        <v>36525</v>
      </c>
      <c r="C15" s="88">
        <v>36572</v>
      </c>
      <c r="D15" s="88">
        <v>-38103</v>
      </c>
      <c r="E15" s="88">
        <v>-34262</v>
      </c>
      <c r="F15" s="90">
        <f t="shared" si="0"/>
        <v>3888</v>
      </c>
    </row>
    <row r="16" spans="1:6" x14ac:dyDescent="0.2">
      <c r="A16">
        <v>14</v>
      </c>
      <c r="B16" s="88">
        <v>29653</v>
      </c>
      <c r="C16" s="88">
        <v>29751</v>
      </c>
      <c r="D16" s="88">
        <v>-57330</v>
      </c>
      <c r="E16" s="88">
        <v>-56059</v>
      </c>
      <c r="F16" s="90">
        <f t="shared" si="0"/>
        <v>1369</v>
      </c>
    </row>
    <row r="17" spans="1:6" x14ac:dyDescent="0.2">
      <c r="A17">
        <v>15</v>
      </c>
      <c r="B17" s="88">
        <v>39643</v>
      </c>
      <c r="C17" s="88">
        <v>39751</v>
      </c>
      <c r="D17" s="14">
        <v>-40107</v>
      </c>
      <c r="E17" s="14">
        <v>-39770</v>
      </c>
      <c r="F17" s="90">
        <f t="shared" si="0"/>
        <v>445</v>
      </c>
    </row>
    <row r="18" spans="1:6" x14ac:dyDescent="0.2">
      <c r="A18">
        <v>16</v>
      </c>
      <c r="B18" s="88">
        <v>39686</v>
      </c>
      <c r="C18" s="88">
        <v>39751</v>
      </c>
      <c r="D18" s="14">
        <v>-37645</v>
      </c>
      <c r="E18" s="14">
        <v>-39770</v>
      </c>
      <c r="F18" s="90">
        <f t="shared" si="0"/>
        <v>-2060</v>
      </c>
    </row>
    <row r="19" spans="1:6" x14ac:dyDescent="0.2">
      <c r="A19">
        <v>17</v>
      </c>
      <c r="B19" s="88">
        <v>39687</v>
      </c>
      <c r="C19" s="88">
        <v>39751</v>
      </c>
      <c r="D19" s="14">
        <v>-40555</v>
      </c>
      <c r="E19" s="14">
        <v>-39770</v>
      </c>
      <c r="F19" s="90">
        <f t="shared" si="0"/>
        <v>849</v>
      </c>
    </row>
    <row r="20" spans="1:6" x14ac:dyDescent="0.2">
      <c r="A20">
        <v>18</v>
      </c>
      <c r="B20" s="346">
        <v>49679</v>
      </c>
      <c r="C20" s="346">
        <v>49751</v>
      </c>
      <c r="D20" s="14"/>
      <c r="E20" s="14">
        <v>-5000</v>
      </c>
      <c r="F20" s="90">
        <f t="shared" si="0"/>
        <v>-4928</v>
      </c>
    </row>
    <row r="21" spans="1:6" x14ac:dyDescent="0.2">
      <c r="A21">
        <v>19</v>
      </c>
      <c r="B21" s="346">
        <v>49727</v>
      </c>
      <c r="C21" s="346">
        <v>49751</v>
      </c>
      <c r="D21" s="14">
        <v>-1</v>
      </c>
      <c r="E21" s="14">
        <v>-1262</v>
      </c>
      <c r="F21" s="90">
        <f t="shared" si="0"/>
        <v>-1237</v>
      </c>
    </row>
    <row r="22" spans="1:6" x14ac:dyDescent="0.2">
      <c r="A22">
        <v>20</v>
      </c>
      <c r="B22" s="346">
        <v>37751</v>
      </c>
      <c r="C22" s="346">
        <v>37751</v>
      </c>
      <c r="D22" s="14">
        <v>-16148</v>
      </c>
      <c r="E22" s="14">
        <v>-44825</v>
      </c>
      <c r="F22" s="90">
        <f t="shared" si="0"/>
        <v>-28677</v>
      </c>
    </row>
    <row r="23" spans="1:6" x14ac:dyDescent="0.2">
      <c r="A23">
        <v>21</v>
      </c>
      <c r="B23" s="346">
        <v>21993</v>
      </c>
      <c r="C23" s="346">
        <v>21751</v>
      </c>
      <c r="D23" s="14">
        <v>-42284</v>
      </c>
      <c r="E23" s="14">
        <v>-42349</v>
      </c>
      <c r="F23" s="90">
        <f t="shared" si="0"/>
        <v>-307</v>
      </c>
    </row>
    <row r="24" spans="1:6" x14ac:dyDescent="0.2">
      <c r="A24">
        <v>22</v>
      </c>
      <c r="B24" s="346">
        <v>12919</v>
      </c>
      <c r="C24" s="346">
        <v>12751</v>
      </c>
      <c r="D24" s="14">
        <v>-44454</v>
      </c>
      <c r="E24" s="14">
        <v>-48482</v>
      </c>
      <c r="F24" s="90">
        <f t="shared" si="0"/>
        <v>-4196</v>
      </c>
    </row>
    <row r="25" spans="1:6" x14ac:dyDescent="0.2">
      <c r="A25">
        <v>23</v>
      </c>
      <c r="B25" s="346"/>
      <c r="C25" s="346"/>
      <c r="D25" s="14"/>
      <c r="E25" s="14"/>
      <c r="F25" s="90">
        <f t="shared" si="0"/>
        <v>0</v>
      </c>
    </row>
    <row r="26" spans="1:6" x14ac:dyDescent="0.2">
      <c r="A26">
        <v>24</v>
      </c>
      <c r="B26" s="346"/>
      <c r="C26" s="346"/>
      <c r="D26" s="14"/>
      <c r="E26" s="14"/>
      <c r="F26" s="90">
        <f t="shared" si="0"/>
        <v>0</v>
      </c>
    </row>
    <row r="27" spans="1:6" x14ac:dyDescent="0.2">
      <c r="A27">
        <v>25</v>
      </c>
      <c r="B27" s="346"/>
      <c r="C27" s="346"/>
      <c r="D27" s="14"/>
      <c r="E27" s="14"/>
      <c r="F27" s="90">
        <f t="shared" si="0"/>
        <v>0</v>
      </c>
    </row>
    <row r="28" spans="1:6" x14ac:dyDescent="0.2">
      <c r="A28">
        <v>26</v>
      </c>
      <c r="B28" s="346"/>
      <c r="C28" s="346"/>
      <c r="D28" s="14"/>
      <c r="E28" s="14"/>
      <c r="F28" s="90">
        <f t="shared" si="0"/>
        <v>0</v>
      </c>
    </row>
    <row r="29" spans="1:6" x14ac:dyDescent="0.2">
      <c r="A29">
        <v>27</v>
      </c>
      <c r="B29" s="346"/>
      <c r="C29" s="346"/>
      <c r="D29" s="14"/>
      <c r="E29" s="14"/>
      <c r="F29" s="90">
        <f t="shared" si="0"/>
        <v>0</v>
      </c>
    </row>
    <row r="30" spans="1:6" x14ac:dyDescent="0.2">
      <c r="A30">
        <v>28</v>
      </c>
      <c r="B30" s="463"/>
      <c r="C30" s="346"/>
      <c r="D30" s="14"/>
      <c r="E30" s="14"/>
      <c r="F30" s="90">
        <f t="shared" si="0"/>
        <v>0</v>
      </c>
    </row>
    <row r="31" spans="1:6" x14ac:dyDescent="0.2">
      <c r="A31">
        <v>29</v>
      </c>
      <c r="B31" s="346"/>
      <c r="C31" s="346"/>
      <c r="D31" s="14"/>
      <c r="E31" s="14"/>
      <c r="F31" s="90">
        <f t="shared" si="0"/>
        <v>0</v>
      </c>
    </row>
    <row r="32" spans="1:6" x14ac:dyDescent="0.2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">
      <c r="B34" s="297">
        <f>SUM(B3:B33)</f>
        <v>907709</v>
      </c>
      <c r="C34" s="297">
        <f>SUM(C3:C33)</f>
        <v>909645</v>
      </c>
      <c r="D34" s="14">
        <f>SUM(D3:D33)</f>
        <v>-793881</v>
      </c>
      <c r="E34" s="14">
        <f>SUM(E3:E33)</f>
        <v>-817287</v>
      </c>
      <c r="F34" s="14">
        <f>SUM(F3:F33)</f>
        <v>-21470</v>
      </c>
    </row>
    <row r="35" spans="1:6" x14ac:dyDescent="0.2">
      <c r="D35" s="14"/>
      <c r="E35" s="14"/>
      <c r="F35" s="14"/>
    </row>
    <row r="36" spans="1:6" x14ac:dyDescent="0.2">
      <c r="F36" s="350"/>
    </row>
    <row r="37" spans="1:6" x14ac:dyDescent="0.2">
      <c r="A37" s="263">
        <v>37134</v>
      </c>
      <c r="B37" s="14"/>
      <c r="C37" s="14"/>
      <c r="D37" s="14"/>
      <c r="E37" s="14"/>
      <c r="F37" s="471">
        <f>12393+127284</f>
        <v>139677</v>
      </c>
    </row>
    <row r="38" spans="1:6" x14ac:dyDescent="0.2">
      <c r="A38" s="263">
        <v>37156</v>
      </c>
      <c r="B38" s="14"/>
      <c r="C38" s="14"/>
      <c r="D38" s="14"/>
      <c r="E38" s="14"/>
      <c r="F38" s="150">
        <f>+F37+F34</f>
        <v>118207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155</v>
      </c>
      <c r="B42" s="32"/>
      <c r="C42" s="32"/>
      <c r="D42" s="47"/>
      <c r="F42" s="304"/>
    </row>
    <row r="43" spans="1:6" x14ac:dyDescent="0.2">
      <c r="A43" s="49">
        <f>+A37</f>
        <v>37134</v>
      </c>
      <c r="B43" s="32"/>
      <c r="C43" s="32"/>
      <c r="D43" s="472">
        <f>151845.69+204392.22</f>
        <v>356237.91000000003</v>
      </c>
      <c r="F43" s="304"/>
    </row>
    <row r="44" spans="1:6" x14ac:dyDescent="0.2">
      <c r="A44" s="49">
        <f>+A38</f>
        <v>37156</v>
      </c>
      <c r="B44" s="32"/>
      <c r="C44" s="32"/>
      <c r="D44" s="405">
        <f>+F34*'by type_area'!J4</f>
        <v>-42081.2</v>
      </c>
      <c r="F44" s="304"/>
    </row>
    <row r="45" spans="1:6" x14ac:dyDescent="0.2">
      <c r="A45" s="32"/>
      <c r="B45" s="32"/>
      <c r="C45" s="32"/>
      <c r="D45" s="202">
        <f>+D44+D43</f>
        <v>314156.71000000002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1" workbookViewId="3">
      <selection activeCell="C27" sqref="C27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-13851</v>
      </c>
      <c r="C4" s="11">
        <v>-21407</v>
      </c>
      <c r="D4" s="25">
        <f>+C4-B4</f>
        <v>-7556</v>
      </c>
    </row>
    <row r="5" spans="1:4" x14ac:dyDescent="0.2">
      <c r="A5" s="10">
        <v>2</v>
      </c>
      <c r="B5" s="11">
        <v>-20005</v>
      </c>
      <c r="C5" s="11">
        <v>-20000</v>
      </c>
      <c r="D5" s="25">
        <f t="shared" ref="D5:D34" si="0">+C5-B5</f>
        <v>5</v>
      </c>
    </row>
    <row r="6" spans="1:4" x14ac:dyDescent="0.2">
      <c r="A6" s="10">
        <v>3</v>
      </c>
      <c r="B6" s="11">
        <v>-20159</v>
      </c>
      <c r="C6" s="11">
        <v>-20000</v>
      </c>
      <c r="D6" s="25">
        <f t="shared" si="0"/>
        <v>159</v>
      </c>
    </row>
    <row r="7" spans="1:4" x14ac:dyDescent="0.2">
      <c r="A7" s="10">
        <v>4</v>
      </c>
      <c r="B7" s="11">
        <v>-20797</v>
      </c>
      <c r="C7" s="11">
        <v>-20000</v>
      </c>
      <c r="D7" s="25">
        <f t="shared" si="0"/>
        <v>797</v>
      </c>
    </row>
    <row r="8" spans="1:4" x14ac:dyDescent="0.2">
      <c r="A8" s="10">
        <v>5</v>
      </c>
      <c r="B8" s="11">
        <v>-20340</v>
      </c>
      <c r="C8" s="11">
        <v>-20000</v>
      </c>
      <c r="D8" s="25">
        <f t="shared" si="0"/>
        <v>340</v>
      </c>
    </row>
    <row r="9" spans="1:4" x14ac:dyDescent="0.2">
      <c r="A9" s="10">
        <v>6</v>
      </c>
      <c r="B9" s="11">
        <v>-20004</v>
      </c>
      <c r="C9" s="11">
        <v>-20000</v>
      </c>
      <c r="D9" s="25">
        <f t="shared" si="0"/>
        <v>4</v>
      </c>
    </row>
    <row r="10" spans="1:4" x14ac:dyDescent="0.2">
      <c r="A10" s="10">
        <v>7</v>
      </c>
      <c r="B10" s="129">
        <v>-20329</v>
      </c>
      <c r="C10" s="11">
        <v>-20000</v>
      </c>
      <c r="D10" s="25">
        <f t="shared" si="0"/>
        <v>329</v>
      </c>
    </row>
    <row r="11" spans="1:4" x14ac:dyDescent="0.2">
      <c r="A11" s="10">
        <v>8</v>
      </c>
      <c r="B11" s="11">
        <v>-20015</v>
      </c>
      <c r="C11" s="11">
        <v>-20000</v>
      </c>
      <c r="D11" s="25">
        <f t="shared" si="0"/>
        <v>15</v>
      </c>
    </row>
    <row r="12" spans="1:4" x14ac:dyDescent="0.2">
      <c r="A12" s="10">
        <v>9</v>
      </c>
      <c r="B12" s="11">
        <v>-20003</v>
      </c>
      <c r="C12" s="11">
        <v>-20000</v>
      </c>
      <c r="D12" s="25">
        <f t="shared" si="0"/>
        <v>3</v>
      </c>
    </row>
    <row r="13" spans="1:4" x14ac:dyDescent="0.2">
      <c r="A13" s="10">
        <v>10</v>
      </c>
      <c r="B13" s="11">
        <v>-26813</v>
      </c>
      <c r="C13" s="11">
        <v>-25815</v>
      </c>
      <c r="D13" s="25">
        <f t="shared" si="0"/>
        <v>998</v>
      </c>
    </row>
    <row r="14" spans="1:4" x14ac:dyDescent="0.2">
      <c r="A14" s="10">
        <v>11</v>
      </c>
      <c r="B14" s="11">
        <v>-19899</v>
      </c>
      <c r="C14" s="11">
        <v>-20000</v>
      </c>
      <c r="D14" s="25">
        <f t="shared" si="0"/>
        <v>-101</v>
      </c>
    </row>
    <row r="15" spans="1:4" x14ac:dyDescent="0.2">
      <c r="A15" s="10">
        <v>12</v>
      </c>
      <c r="B15" s="11">
        <v>-23341</v>
      </c>
      <c r="C15" s="11">
        <v>-23611</v>
      </c>
      <c r="D15" s="25">
        <f t="shared" si="0"/>
        <v>-270</v>
      </c>
    </row>
    <row r="16" spans="1:4" x14ac:dyDescent="0.2">
      <c r="A16" s="10">
        <v>13</v>
      </c>
      <c r="B16" s="11">
        <v>-19015</v>
      </c>
      <c r="C16" s="11">
        <v>-18997</v>
      </c>
      <c r="D16" s="25">
        <f t="shared" si="0"/>
        <v>18</v>
      </c>
    </row>
    <row r="17" spans="1:4" x14ac:dyDescent="0.2">
      <c r="A17" s="10">
        <v>14</v>
      </c>
      <c r="B17" s="11">
        <v>-19876</v>
      </c>
      <c r="C17" s="11">
        <v>-18890</v>
      </c>
      <c r="D17" s="25">
        <f t="shared" si="0"/>
        <v>986</v>
      </c>
    </row>
    <row r="18" spans="1:4" x14ac:dyDescent="0.2">
      <c r="A18" s="10">
        <v>15</v>
      </c>
      <c r="B18" s="11">
        <v>-20003</v>
      </c>
      <c r="C18" s="11">
        <v>-19169</v>
      </c>
      <c r="D18" s="25">
        <f t="shared" si="0"/>
        <v>834</v>
      </c>
    </row>
    <row r="19" spans="1:4" x14ac:dyDescent="0.2">
      <c r="A19" s="10">
        <v>16</v>
      </c>
      <c r="B19" s="11">
        <v>-19996</v>
      </c>
      <c r="C19" s="11">
        <v>-18830</v>
      </c>
      <c r="D19" s="25">
        <f t="shared" si="0"/>
        <v>1166</v>
      </c>
    </row>
    <row r="20" spans="1:4" x14ac:dyDescent="0.2">
      <c r="A20" s="10">
        <v>17</v>
      </c>
      <c r="B20" s="11">
        <v>-19997</v>
      </c>
      <c r="C20" s="11">
        <v>-19071</v>
      </c>
      <c r="D20" s="25">
        <f t="shared" si="0"/>
        <v>926</v>
      </c>
    </row>
    <row r="21" spans="1:4" x14ac:dyDescent="0.2">
      <c r="A21" s="10">
        <v>18</v>
      </c>
      <c r="B21" s="11">
        <v>-20009</v>
      </c>
      <c r="C21" s="11">
        <v>-19572</v>
      </c>
      <c r="D21" s="25">
        <f t="shared" si="0"/>
        <v>437</v>
      </c>
    </row>
    <row r="22" spans="1:4" x14ac:dyDescent="0.2">
      <c r="A22" s="10">
        <v>19</v>
      </c>
      <c r="B22" s="11">
        <v>-20554</v>
      </c>
      <c r="C22" s="11">
        <v>-20000</v>
      </c>
      <c r="D22" s="25">
        <f t="shared" si="0"/>
        <v>554</v>
      </c>
    </row>
    <row r="23" spans="1:4" x14ac:dyDescent="0.2">
      <c r="A23" s="10">
        <v>20</v>
      </c>
      <c r="B23" s="11">
        <v>-20906</v>
      </c>
      <c r="C23" s="11">
        <v>-19514</v>
      </c>
      <c r="D23" s="25">
        <f t="shared" si="0"/>
        <v>1392</v>
      </c>
    </row>
    <row r="24" spans="1:4" x14ac:dyDescent="0.2">
      <c r="A24" s="10">
        <v>21</v>
      </c>
      <c r="B24" s="11">
        <v>-20015</v>
      </c>
      <c r="C24" s="11">
        <v>-19411</v>
      </c>
      <c r="D24" s="25">
        <f t="shared" si="0"/>
        <v>604</v>
      </c>
    </row>
    <row r="25" spans="1:4" x14ac:dyDescent="0.2">
      <c r="A25" s="10">
        <v>22</v>
      </c>
      <c r="B25" s="11">
        <v>-19762</v>
      </c>
      <c r="C25" s="11">
        <v>-19089</v>
      </c>
      <c r="D25" s="25">
        <f t="shared" si="0"/>
        <v>673</v>
      </c>
    </row>
    <row r="26" spans="1:4" x14ac:dyDescent="0.2">
      <c r="A26" s="10">
        <v>23</v>
      </c>
      <c r="B26" s="11">
        <v>-19556</v>
      </c>
      <c r="C26" s="11">
        <v>-19036</v>
      </c>
      <c r="D26" s="25">
        <f t="shared" si="0"/>
        <v>520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-465245</v>
      </c>
      <c r="C35" s="11">
        <f>SUM(C4:C34)</f>
        <v>-462412</v>
      </c>
      <c r="D35" s="11">
        <f>SUM(D4:D34)</f>
        <v>2833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37134</v>
      </c>
      <c r="D38" s="475">
        <v>151464</v>
      </c>
    </row>
    <row r="39" spans="1:4" x14ac:dyDescent="0.2">
      <c r="A39" s="2"/>
      <c r="D39" s="24"/>
    </row>
    <row r="40" spans="1:4" x14ac:dyDescent="0.2">
      <c r="A40" s="57">
        <v>37157</v>
      </c>
      <c r="D40" s="51">
        <f>+D38+D35</f>
        <v>154297</v>
      </c>
    </row>
    <row r="44" spans="1:4" x14ac:dyDescent="0.2">
      <c r="A44" s="32" t="s">
        <v>155</v>
      </c>
      <c r="B44" s="32"/>
      <c r="C44" s="32"/>
      <c r="D44" s="47"/>
    </row>
    <row r="45" spans="1:4" x14ac:dyDescent="0.2">
      <c r="A45" s="49">
        <f>+A38</f>
        <v>37134</v>
      </c>
      <c r="B45" s="32"/>
      <c r="C45" s="32"/>
      <c r="D45" s="497">
        <v>125521</v>
      </c>
    </row>
    <row r="46" spans="1:4" x14ac:dyDescent="0.2">
      <c r="A46" s="49">
        <f>+A40</f>
        <v>37157</v>
      </c>
      <c r="B46" s="32"/>
      <c r="C46" s="32"/>
      <c r="D46" s="405">
        <f>+D35*'by type_area'!J4</f>
        <v>5552.68</v>
      </c>
    </row>
    <row r="47" spans="1:4" x14ac:dyDescent="0.2">
      <c r="A47" s="32"/>
      <c r="B47" s="32"/>
      <c r="C47" s="32"/>
      <c r="D47" s="202">
        <f>+D46+D45</f>
        <v>131073.68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7" workbookViewId="3">
      <selection activeCell="C20" sqref="C20:C25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105</v>
      </c>
      <c r="C2" s="4"/>
      <c r="D2" s="38" t="s">
        <v>106</v>
      </c>
      <c r="E2" s="4"/>
      <c r="F2" s="38" t="s">
        <v>107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20477</v>
      </c>
      <c r="C4" s="11">
        <v>19264</v>
      </c>
      <c r="D4" s="11">
        <v>8730</v>
      </c>
      <c r="E4" s="11">
        <v>9000</v>
      </c>
      <c r="F4" s="11"/>
      <c r="G4" s="11"/>
      <c r="H4" s="11"/>
      <c r="I4" s="11"/>
      <c r="J4" s="11">
        <f t="shared" ref="J4:J34" si="0">+C4+E4+G4+I4-H4-F4-D4-B4</f>
        <v>-943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20570</v>
      </c>
      <c r="C5" s="11">
        <v>19264</v>
      </c>
      <c r="D5" s="11">
        <v>8272</v>
      </c>
      <c r="E5" s="11">
        <v>9000</v>
      </c>
      <c r="F5" s="11"/>
      <c r="G5" s="11"/>
      <c r="H5" s="11">
        <v>3274</v>
      </c>
      <c r="I5" s="11"/>
      <c r="J5" s="11">
        <f t="shared" si="0"/>
        <v>-3852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20460</v>
      </c>
      <c r="C6" s="11">
        <v>19264</v>
      </c>
      <c r="D6" s="11">
        <v>8090</v>
      </c>
      <c r="E6" s="11">
        <v>9000</v>
      </c>
      <c r="F6" s="11"/>
      <c r="G6" s="11"/>
      <c r="H6" s="11"/>
      <c r="I6" s="11"/>
      <c r="J6" s="11">
        <f t="shared" si="0"/>
        <v>-286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20200</v>
      </c>
      <c r="C7" s="11">
        <v>19264</v>
      </c>
      <c r="D7" s="11">
        <v>8341</v>
      </c>
      <c r="E7" s="11">
        <v>9000</v>
      </c>
      <c r="F7" s="11"/>
      <c r="G7" s="11"/>
      <c r="H7" s="11"/>
      <c r="I7" s="11"/>
      <c r="J7" s="11">
        <f t="shared" si="0"/>
        <v>-277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19480</v>
      </c>
      <c r="C8" s="11">
        <v>19264</v>
      </c>
      <c r="D8" s="129">
        <v>8726</v>
      </c>
      <c r="E8" s="11">
        <v>9000</v>
      </c>
      <c r="F8" s="11"/>
      <c r="G8" s="11"/>
      <c r="H8" s="11"/>
      <c r="I8" s="11"/>
      <c r="J8" s="11">
        <f t="shared" si="0"/>
        <v>58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19664</v>
      </c>
      <c r="C9" s="11">
        <v>19264</v>
      </c>
      <c r="D9" s="11">
        <v>8659</v>
      </c>
      <c r="E9" s="11">
        <v>9000</v>
      </c>
      <c r="F9" s="11"/>
      <c r="G9" s="11"/>
      <c r="H9" s="11"/>
      <c r="I9" s="11"/>
      <c r="J9" s="11">
        <f t="shared" si="0"/>
        <v>-59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19522</v>
      </c>
      <c r="C10" s="11">
        <v>19264</v>
      </c>
      <c r="D10" s="129">
        <v>8267</v>
      </c>
      <c r="E10" s="11">
        <v>9000</v>
      </c>
      <c r="F10" s="11"/>
      <c r="G10" s="11"/>
      <c r="H10" s="11"/>
      <c r="I10" s="11"/>
      <c r="J10" s="11">
        <f t="shared" si="0"/>
        <v>475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19534</v>
      </c>
      <c r="C11" s="11">
        <v>18764</v>
      </c>
      <c r="D11" s="11">
        <v>8970</v>
      </c>
      <c r="E11" s="11">
        <v>8500</v>
      </c>
      <c r="F11" s="11"/>
      <c r="G11" s="11"/>
      <c r="H11" s="11"/>
      <c r="I11" s="11"/>
      <c r="J11" s="11">
        <f t="shared" si="0"/>
        <v>-1240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19377</v>
      </c>
      <c r="C12" s="11">
        <v>18764</v>
      </c>
      <c r="D12" s="11">
        <v>8969</v>
      </c>
      <c r="E12" s="11">
        <v>8500</v>
      </c>
      <c r="F12" s="11"/>
      <c r="G12" s="11"/>
      <c r="H12" s="11"/>
      <c r="I12" s="11"/>
      <c r="J12" s="11">
        <f t="shared" si="0"/>
        <v>-1082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19196</v>
      </c>
      <c r="C13" s="11">
        <v>18764</v>
      </c>
      <c r="D13" s="11">
        <v>8684</v>
      </c>
      <c r="E13" s="11">
        <v>8500</v>
      </c>
      <c r="F13" s="11"/>
      <c r="G13" s="11"/>
      <c r="H13" s="11"/>
      <c r="I13" s="11"/>
      <c r="J13" s="11">
        <f t="shared" si="0"/>
        <v>-616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19383</v>
      </c>
      <c r="C14" s="11">
        <v>18764</v>
      </c>
      <c r="D14" s="11">
        <v>8639</v>
      </c>
      <c r="E14" s="11">
        <v>8500</v>
      </c>
      <c r="F14" s="11"/>
      <c r="G14" s="11"/>
      <c r="H14" s="11"/>
      <c r="I14" s="11"/>
      <c r="J14" s="11">
        <f t="shared" si="0"/>
        <v>-758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18982</v>
      </c>
      <c r="C15" s="11">
        <v>18764</v>
      </c>
      <c r="D15" s="11">
        <v>9230</v>
      </c>
      <c r="E15" s="11">
        <v>8500</v>
      </c>
      <c r="F15" s="11"/>
      <c r="G15" s="11"/>
      <c r="H15" s="11"/>
      <c r="I15" s="11"/>
      <c r="J15" s="11">
        <f t="shared" si="0"/>
        <v>-948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19311</v>
      </c>
      <c r="C16" s="11">
        <v>18764</v>
      </c>
      <c r="D16" s="11">
        <v>9675</v>
      </c>
      <c r="E16" s="11">
        <v>8500</v>
      </c>
      <c r="F16" s="11"/>
      <c r="G16" s="11"/>
      <c r="H16" s="11"/>
      <c r="I16" s="11"/>
      <c r="J16" s="11">
        <f t="shared" si="0"/>
        <v>-1722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19051</v>
      </c>
      <c r="C17" s="11">
        <v>18764</v>
      </c>
      <c r="D17" s="11">
        <v>9185</v>
      </c>
      <c r="E17" s="11">
        <v>8500</v>
      </c>
      <c r="F17" s="11"/>
      <c r="G17" s="11"/>
      <c r="H17" s="11"/>
      <c r="I17" s="11"/>
      <c r="J17" s="11">
        <f t="shared" si="0"/>
        <v>-972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18942</v>
      </c>
      <c r="C18" s="11">
        <v>18764</v>
      </c>
      <c r="D18" s="11">
        <v>8955</v>
      </c>
      <c r="E18" s="11">
        <v>8500</v>
      </c>
      <c r="F18" s="11"/>
      <c r="G18" s="11"/>
      <c r="H18" s="11"/>
      <c r="I18" s="11"/>
      <c r="J18" s="11">
        <f t="shared" si="0"/>
        <v>-633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18885</v>
      </c>
      <c r="C19" s="11">
        <v>18764</v>
      </c>
      <c r="D19" s="11">
        <v>9601</v>
      </c>
      <c r="E19" s="11">
        <v>8500</v>
      </c>
      <c r="F19" s="11"/>
      <c r="G19" s="11"/>
      <c r="H19" s="11"/>
      <c r="I19" s="11"/>
      <c r="J19" s="11">
        <f t="shared" si="0"/>
        <v>-1222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18828</v>
      </c>
      <c r="C20" s="11">
        <v>18764</v>
      </c>
      <c r="D20" s="11">
        <v>9202</v>
      </c>
      <c r="E20" s="11">
        <v>8500</v>
      </c>
      <c r="F20" s="11"/>
      <c r="G20" s="11"/>
      <c r="H20" s="11"/>
      <c r="I20" s="11"/>
      <c r="J20" s="11">
        <f t="shared" si="0"/>
        <v>-766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18681</v>
      </c>
      <c r="C21" s="11">
        <v>18764</v>
      </c>
      <c r="D21" s="11">
        <v>8745</v>
      </c>
      <c r="E21" s="11">
        <v>8500</v>
      </c>
      <c r="F21" s="11"/>
      <c r="G21" s="11"/>
      <c r="H21" s="11"/>
      <c r="I21" s="11"/>
      <c r="J21" s="11">
        <f t="shared" si="0"/>
        <v>-162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18643</v>
      </c>
      <c r="C22" s="11">
        <v>18764</v>
      </c>
      <c r="D22" s="11">
        <v>8551</v>
      </c>
      <c r="E22" s="11">
        <v>8500</v>
      </c>
      <c r="F22" s="11"/>
      <c r="G22" s="11"/>
      <c r="H22" s="11"/>
      <c r="I22" s="11"/>
      <c r="J22" s="11">
        <f t="shared" si="0"/>
        <v>70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18697</v>
      </c>
      <c r="C23" s="11">
        <v>18764</v>
      </c>
      <c r="D23" s="11">
        <v>8529</v>
      </c>
      <c r="E23" s="11">
        <v>8500</v>
      </c>
      <c r="F23" s="11"/>
      <c r="G23" s="11"/>
      <c r="H23" s="11"/>
      <c r="I23" s="11"/>
      <c r="J23" s="11">
        <f t="shared" si="0"/>
        <v>38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18507</v>
      </c>
      <c r="C24" s="11">
        <v>18764</v>
      </c>
      <c r="D24" s="11">
        <v>9382</v>
      </c>
      <c r="E24" s="11">
        <v>8500</v>
      </c>
      <c r="F24" s="11"/>
      <c r="G24" s="11"/>
      <c r="H24" s="11"/>
      <c r="I24" s="11"/>
      <c r="J24" s="11">
        <f t="shared" si="0"/>
        <v>-625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18480</v>
      </c>
      <c r="C25" s="11">
        <v>18764</v>
      </c>
      <c r="D25" s="11">
        <v>8992</v>
      </c>
      <c r="E25" s="11">
        <v>8500</v>
      </c>
      <c r="F25" s="11"/>
      <c r="G25" s="11"/>
      <c r="H25" s="11"/>
      <c r="I25" s="11"/>
      <c r="J25" s="11">
        <f t="shared" si="0"/>
        <v>-208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424870</v>
      </c>
      <c r="C35" s="11">
        <f t="shared" ref="C35:I35" si="1">SUM(C4:C34)</f>
        <v>416308</v>
      </c>
      <c r="D35" s="11">
        <f t="shared" si="1"/>
        <v>194394</v>
      </c>
      <c r="E35" s="11">
        <f t="shared" si="1"/>
        <v>190500</v>
      </c>
      <c r="F35" s="11">
        <f t="shared" si="1"/>
        <v>0</v>
      </c>
      <c r="G35" s="11">
        <f t="shared" si="1"/>
        <v>0</v>
      </c>
      <c r="H35" s="11">
        <f t="shared" si="1"/>
        <v>3274</v>
      </c>
      <c r="I35" s="11">
        <f t="shared" si="1"/>
        <v>0</v>
      </c>
      <c r="J35" s="11">
        <f>SUM(J4:J34)</f>
        <v>-15730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1.96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-30830.799999999999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37134</v>
      </c>
      <c r="C39" s="25"/>
      <c r="E39" s="25"/>
      <c r="G39" s="25"/>
      <c r="I39" s="25"/>
      <c r="J39" s="472">
        <v>87198.44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37156</v>
      </c>
      <c r="J41" s="337">
        <f>+J39+J37</f>
        <v>56367.64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154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37134</v>
      </c>
      <c r="B46" s="32"/>
      <c r="C46" s="32"/>
      <c r="D46" s="474">
        <v>-82729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37156</v>
      </c>
      <c r="B47" s="32"/>
      <c r="C47" s="32"/>
      <c r="D47" s="376">
        <f>+J35</f>
        <v>-15730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-98459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20" workbookViewId="3">
      <selection activeCell="E41" sqref="E41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117</v>
      </c>
      <c r="B4" s="235">
        <v>12353</v>
      </c>
      <c r="C4" s="24" t="s">
        <v>128</v>
      </c>
      <c r="D4" s="235">
        <v>500168</v>
      </c>
      <c r="E4" s="24" t="s">
        <v>78</v>
      </c>
      <c r="F4" s="24"/>
      <c r="G4" s="2">
        <v>78161</v>
      </c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>-13751-16</f>
        <v>-13767</v>
      </c>
      <c r="E6" s="24">
        <v>-30508</v>
      </c>
      <c r="F6" s="24">
        <f>+C6+E6-B6-D6</f>
        <v>-16741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>-6539-22239</f>
        <v>-28778</v>
      </c>
      <c r="E7" s="24">
        <v>-32145</v>
      </c>
      <c r="F7" s="24">
        <f t="shared" ref="F7:F36" si="0">+C7+E7-B7-D7</f>
        <v>-3367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>-17873-14141</f>
        <v>-32014</v>
      </c>
      <c r="E8" s="24">
        <v>-31067</v>
      </c>
      <c r="F8" s="24">
        <f t="shared" si="0"/>
        <v>947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>
        <v>-30032</v>
      </c>
      <c r="E9" s="24">
        <v>-30437</v>
      </c>
      <c r="F9" s="24">
        <f t="shared" si="0"/>
        <v>-405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>
        <v>-6183</v>
      </c>
      <c r="E10" s="24">
        <v>-4178</v>
      </c>
      <c r="F10" s="24">
        <f t="shared" si="0"/>
        <v>2005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-380</v>
      </c>
      <c r="E11" s="24">
        <v>2360</v>
      </c>
      <c r="F11" s="24">
        <f t="shared" si="0"/>
        <v>2740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>
        <v>-22796</v>
      </c>
      <c r="E12" s="24">
        <v>-22549</v>
      </c>
      <c r="F12" s="24">
        <f t="shared" si="0"/>
        <v>247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>
        <v>4988</v>
      </c>
      <c r="F13" s="24">
        <f t="shared" si="0"/>
        <v>4988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>
        <v>4988</v>
      </c>
      <c r="F14" s="24">
        <f t="shared" si="0"/>
        <v>4988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-97</v>
      </c>
      <c r="E15" s="24">
        <v>4988</v>
      </c>
      <c r="F15" s="24">
        <f t="shared" si="0"/>
        <v>5085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>-8986-77</f>
        <v>-9063</v>
      </c>
      <c r="E16" s="24">
        <v>-9152</v>
      </c>
      <c r="F16" s="24">
        <f t="shared" si="0"/>
        <v>-89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-7047</v>
      </c>
      <c r="E17" s="24">
        <v>-22142</v>
      </c>
      <c r="F17" s="24">
        <f t="shared" si="0"/>
        <v>-15095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>-18029-3693</f>
        <v>-21722</v>
      </c>
      <c r="E18" s="24">
        <v>-21789</v>
      </c>
      <c r="F18" s="24">
        <f t="shared" si="0"/>
        <v>-67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>-13205-4228</f>
        <v>-17433</v>
      </c>
      <c r="E19" s="24">
        <v>-13639</v>
      </c>
      <c r="F19" s="24">
        <f t="shared" si="0"/>
        <v>3794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-43</v>
      </c>
      <c r="E20" s="24">
        <v>4988</v>
      </c>
      <c r="F20" s="24">
        <f t="shared" si="0"/>
        <v>5031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-189355</v>
      </c>
      <c r="E37" s="24">
        <f>SUM(E6:E36)</f>
        <v>-195294</v>
      </c>
      <c r="F37" s="24">
        <f>SUM(F6:F36)</f>
        <v>-5939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1.96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-11640.44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3">
        <v>37134</v>
      </c>
      <c r="E40" s="14"/>
      <c r="F40" s="478">
        <v>468965.38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3">
        <v>37149</v>
      </c>
      <c r="E41" s="14"/>
      <c r="F41" s="104">
        <f>+F40+F39</f>
        <v>457324.94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154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37134</v>
      </c>
      <c r="B46" s="32"/>
      <c r="C46" s="32"/>
      <c r="D46" s="474">
        <v>28738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37149</v>
      </c>
      <c r="B47" s="32"/>
      <c r="C47" s="32"/>
      <c r="D47" s="376">
        <f>+F37</f>
        <v>-5939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22799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31" workbookViewId="3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109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>
        <v>50</v>
      </c>
      <c r="C17" s="11"/>
      <c r="D17" s="11">
        <v>133</v>
      </c>
      <c r="E17" s="11"/>
      <c r="F17" s="25">
        <f t="shared" si="0"/>
        <v>-183</v>
      </c>
      <c r="J17" s="341"/>
    </row>
    <row r="18" spans="1:10" x14ac:dyDescent="0.2">
      <c r="A18" s="10">
        <v>11</v>
      </c>
      <c r="B18" s="11">
        <v>6398</v>
      </c>
      <c r="C18" s="11">
        <v>6000</v>
      </c>
      <c r="D18" s="11">
        <v>4497</v>
      </c>
      <c r="E18" s="11">
        <v>5210</v>
      </c>
      <c r="F18" s="25">
        <f t="shared" si="0"/>
        <v>315</v>
      </c>
      <c r="J18" s="32"/>
    </row>
    <row r="19" spans="1:10" x14ac:dyDescent="0.2">
      <c r="A19" s="10">
        <v>12</v>
      </c>
      <c r="B19" s="11">
        <v>495</v>
      </c>
      <c r="C19" s="11"/>
      <c r="D19" s="11">
        <v>315</v>
      </c>
      <c r="E19" s="11"/>
      <c r="F19" s="25">
        <f t="shared" si="0"/>
        <v>-810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>
        <v>230</v>
      </c>
      <c r="F21" s="25">
        <f t="shared" si="0"/>
        <v>230</v>
      </c>
    </row>
    <row r="22" spans="1:10" x14ac:dyDescent="0.2">
      <c r="A22" s="10">
        <v>15</v>
      </c>
      <c r="B22" s="11"/>
      <c r="C22" s="11"/>
      <c r="D22" s="11"/>
      <c r="E22" s="11">
        <v>37</v>
      </c>
      <c r="F22" s="25">
        <f t="shared" si="0"/>
        <v>37</v>
      </c>
    </row>
    <row r="23" spans="1:10" x14ac:dyDescent="0.2">
      <c r="A23" s="10">
        <v>16</v>
      </c>
      <c r="B23" s="11"/>
      <c r="C23" s="11"/>
      <c r="D23" s="11"/>
      <c r="E23" s="11">
        <v>37</v>
      </c>
      <c r="F23" s="25">
        <f t="shared" si="0"/>
        <v>37</v>
      </c>
    </row>
    <row r="24" spans="1:10" x14ac:dyDescent="0.2">
      <c r="A24" s="10">
        <v>17</v>
      </c>
      <c r="B24" s="11"/>
      <c r="C24" s="11"/>
      <c r="D24" s="11"/>
      <c r="E24" s="11">
        <v>37</v>
      </c>
      <c r="F24" s="25">
        <f t="shared" si="0"/>
        <v>37</v>
      </c>
    </row>
    <row r="25" spans="1:10" x14ac:dyDescent="0.2">
      <c r="A25" s="10">
        <v>18</v>
      </c>
      <c r="B25" s="11"/>
      <c r="C25" s="11"/>
      <c r="D25" s="11"/>
      <c r="E25" s="11">
        <v>37</v>
      </c>
      <c r="F25" s="25">
        <f t="shared" si="0"/>
        <v>37</v>
      </c>
    </row>
    <row r="26" spans="1:10" x14ac:dyDescent="0.2">
      <c r="A26" s="10">
        <v>19</v>
      </c>
      <c r="B26" s="11"/>
      <c r="C26" s="11"/>
      <c r="D26" s="11"/>
      <c r="E26" s="11">
        <v>37</v>
      </c>
      <c r="F26" s="25">
        <f t="shared" si="0"/>
        <v>37</v>
      </c>
    </row>
    <row r="27" spans="1:10" x14ac:dyDescent="0.2">
      <c r="A27" s="10">
        <v>20</v>
      </c>
      <c r="B27" s="11"/>
      <c r="C27" s="11"/>
      <c r="D27" s="11"/>
      <c r="E27" s="11">
        <v>37</v>
      </c>
      <c r="F27" s="25">
        <f t="shared" si="0"/>
        <v>37</v>
      </c>
    </row>
    <row r="28" spans="1:10" x14ac:dyDescent="0.2">
      <c r="A28" s="10">
        <v>21</v>
      </c>
      <c r="B28" s="11"/>
      <c r="C28" s="11"/>
      <c r="D28" s="11"/>
      <c r="E28" s="11">
        <v>37</v>
      </c>
      <c r="F28" s="25">
        <f t="shared" si="0"/>
        <v>37</v>
      </c>
    </row>
    <row r="29" spans="1:10" x14ac:dyDescent="0.2">
      <c r="A29" s="10">
        <v>22</v>
      </c>
      <c r="B29" s="11"/>
      <c r="C29" s="11"/>
      <c r="D29" s="11">
        <v>14</v>
      </c>
      <c r="E29" s="11">
        <v>68</v>
      </c>
      <c r="F29" s="25">
        <f t="shared" si="0"/>
        <v>54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6943</v>
      </c>
      <c r="C39" s="11">
        <f>SUM(C8:C38)</f>
        <v>6000</v>
      </c>
      <c r="D39" s="11">
        <f>SUM(D8:D38)</f>
        <v>4959</v>
      </c>
      <c r="E39" s="11">
        <f>SUM(E8:E38)</f>
        <v>5767</v>
      </c>
      <c r="F39" s="25">
        <f>SUM(F8:F38)</f>
        <v>-135</v>
      </c>
    </row>
    <row r="40" spans="1:6" x14ac:dyDescent="0.2">
      <c r="A40" s="26"/>
      <c r="C40" s="14"/>
      <c r="F40" s="260">
        <f>+summary!H4</f>
        <v>1.96</v>
      </c>
    </row>
    <row r="41" spans="1:6" x14ac:dyDescent="0.2">
      <c r="F41" s="138">
        <f>+F40*F39</f>
        <v>-264.60000000000002</v>
      </c>
    </row>
    <row r="42" spans="1:6" x14ac:dyDescent="0.2">
      <c r="A42" s="57">
        <v>37134</v>
      </c>
      <c r="C42" s="15"/>
      <c r="F42" s="480">
        <v>6001.93</v>
      </c>
    </row>
    <row r="43" spans="1:6" x14ac:dyDescent="0.2">
      <c r="A43" s="57">
        <v>37156</v>
      </c>
      <c r="C43" s="48"/>
      <c r="F43" s="138">
        <f>+F42+F41</f>
        <v>5737.33</v>
      </c>
    </row>
    <row r="47" spans="1:6" x14ac:dyDescent="0.2">
      <c r="A47" s="32" t="s">
        <v>154</v>
      </c>
      <c r="B47" s="32"/>
      <c r="C47" s="32"/>
      <c r="D47" s="32"/>
    </row>
    <row r="48" spans="1:6" x14ac:dyDescent="0.2">
      <c r="A48" s="49">
        <f>+A42</f>
        <v>37134</v>
      </c>
      <c r="B48" s="32"/>
      <c r="C48" s="32"/>
      <c r="D48" s="474">
        <v>-13252</v>
      </c>
    </row>
    <row r="49" spans="1:4" x14ac:dyDescent="0.2">
      <c r="A49" s="49">
        <f>+A43</f>
        <v>37156</v>
      </c>
      <c r="B49" s="32"/>
      <c r="C49" s="32"/>
      <c r="D49" s="376">
        <f>+F39</f>
        <v>-135</v>
      </c>
    </row>
    <row r="50" spans="1:4" x14ac:dyDescent="0.2">
      <c r="A50" s="32"/>
      <c r="B50" s="32"/>
      <c r="C50" s="32"/>
      <c r="D50" s="14">
        <f>+D49+D48</f>
        <v>-13387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A42" sqref="A42"/>
    </sheetView>
  </sheetViews>
  <sheetFormatPr defaultRowHeight="12.75" x14ac:dyDescent="0.2"/>
  <sheetData>
    <row r="5" spans="1:4" ht="15" x14ac:dyDescent="0.25">
      <c r="A5" s="134"/>
      <c r="B5" s="34" t="s">
        <v>112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11969</v>
      </c>
      <c r="C8" s="11"/>
      <c r="D8" s="25">
        <f>+C8-B8</f>
        <v>-11969</v>
      </c>
    </row>
    <row r="9" spans="1:4" x14ac:dyDescent="0.2">
      <c r="A9" s="10">
        <v>2</v>
      </c>
      <c r="B9" s="11">
        <v>11965</v>
      </c>
      <c r="C9" s="11"/>
      <c r="D9" s="25">
        <f t="shared" ref="D9:D38" si="0">+C9-B9</f>
        <v>-11965</v>
      </c>
    </row>
    <row r="10" spans="1:4" x14ac:dyDescent="0.2">
      <c r="A10" s="10">
        <v>3</v>
      </c>
      <c r="B10" s="11">
        <v>4507</v>
      </c>
      <c r="C10" s="11"/>
      <c r="D10" s="25">
        <f t="shared" si="0"/>
        <v>-4507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28441</v>
      </c>
      <c r="C39" s="11">
        <f>SUM(C8:C38)</f>
        <v>0</v>
      </c>
      <c r="D39" s="25">
        <f>SUM(D8:D38)</f>
        <v>-28441</v>
      </c>
    </row>
    <row r="40" spans="1:4" x14ac:dyDescent="0.2">
      <c r="A40" s="26"/>
      <c r="C40" s="14"/>
      <c r="D40" s="260">
        <f>+summary!H4</f>
        <v>1.96</v>
      </c>
    </row>
    <row r="41" spans="1:4" x14ac:dyDescent="0.2">
      <c r="D41" s="138">
        <f>+D40*D39</f>
        <v>-55744.36</v>
      </c>
    </row>
    <row r="42" spans="1:4" x14ac:dyDescent="0.2">
      <c r="A42" s="57">
        <v>37134</v>
      </c>
      <c r="C42" s="15"/>
      <c r="D42" s="496">
        <v>447892.64</v>
      </c>
    </row>
    <row r="43" spans="1:4" x14ac:dyDescent="0.2">
      <c r="A43" s="57">
        <v>37156</v>
      </c>
      <c r="C43" s="48"/>
      <c r="D43" s="138">
        <f>+D42+D41</f>
        <v>392148.28</v>
      </c>
    </row>
    <row r="46" spans="1:4" x14ac:dyDescent="0.2">
      <c r="A46" s="32" t="s">
        <v>154</v>
      </c>
      <c r="B46" s="32"/>
      <c r="C46" s="32"/>
      <c r="D46" s="32"/>
    </row>
    <row r="47" spans="1:4" x14ac:dyDescent="0.2">
      <c r="A47" s="49">
        <f>+A42</f>
        <v>37134</v>
      </c>
      <c r="B47" s="32"/>
      <c r="C47" s="32"/>
      <c r="D47" s="492">
        <v>50021</v>
      </c>
    </row>
    <row r="48" spans="1:4" x14ac:dyDescent="0.2">
      <c r="A48" s="49">
        <f>+A43</f>
        <v>37156</v>
      </c>
      <c r="B48" s="32"/>
      <c r="C48" s="32"/>
      <c r="D48" s="376">
        <f>+D39</f>
        <v>-28441</v>
      </c>
    </row>
    <row r="49" spans="1:4" x14ac:dyDescent="0.2">
      <c r="A49" s="32"/>
      <c r="B49" s="32"/>
      <c r="C49" s="32"/>
      <c r="D49" s="14">
        <f>+D48+D47</f>
        <v>21580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C29" sqref="C29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-78239</v>
      </c>
      <c r="C6" s="11">
        <v>-85300</v>
      </c>
      <c r="D6" s="25">
        <f>+C6-B6</f>
        <v>-7061</v>
      </c>
    </row>
    <row r="7" spans="1:4" x14ac:dyDescent="0.2">
      <c r="A7" s="10">
        <v>2</v>
      </c>
      <c r="B7" s="11">
        <v>-74222</v>
      </c>
      <c r="C7" s="11">
        <v>-85101</v>
      </c>
      <c r="D7" s="25">
        <f t="shared" ref="D7:D36" si="0">+C7-B7</f>
        <v>-10879</v>
      </c>
    </row>
    <row r="8" spans="1:4" x14ac:dyDescent="0.2">
      <c r="A8" s="10">
        <v>3</v>
      </c>
      <c r="B8" s="11">
        <v>-78756</v>
      </c>
      <c r="C8" s="11">
        <v>-71658</v>
      </c>
      <c r="D8" s="25">
        <f t="shared" si="0"/>
        <v>7098</v>
      </c>
    </row>
    <row r="9" spans="1:4" x14ac:dyDescent="0.2">
      <c r="A9" s="10">
        <v>4</v>
      </c>
      <c r="B9" s="11">
        <v>-82484</v>
      </c>
      <c r="C9" s="11">
        <v>-65890</v>
      </c>
      <c r="D9" s="25">
        <f t="shared" si="0"/>
        <v>16594</v>
      </c>
    </row>
    <row r="10" spans="1:4" x14ac:dyDescent="0.2">
      <c r="A10" s="10">
        <v>5</v>
      </c>
      <c r="B10" s="11">
        <v>-72415</v>
      </c>
      <c r="C10" s="11">
        <v>-62441</v>
      </c>
      <c r="D10" s="25">
        <f t="shared" si="0"/>
        <v>9974</v>
      </c>
    </row>
    <row r="11" spans="1:4" x14ac:dyDescent="0.2">
      <c r="A11" s="10">
        <v>6</v>
      </c>
      <c r="B11" s="11">
        <v>-77980</v>
      </c>
      <c r="C11" s="11">
        <v>-71332</v>
      </c>
      <c r="D11" s="25">
        <f t="shared" si="0"/>
        <v>6648</v>
      </c>
    </row>
    <row r="12" spans="1:4" x14ac:dyDescent="0.2">
      <c r="A12" s="10">
        <v>7</v>
      </c>
      <c r="B12" s="11">
        <v>-76345</v>
      </c>
      <c r="C12" s="11">
        <v>-81863</v>
      </c>
      <c r="D12" s="25">
        <f t="shared" si="0"/>
        <v>-5518</v>
      </c>
    </row>
    <row r="13" spans="1:4" x14ac:dyDescent="0.2">
      <c r="A13" s="10">
        <v>8</v>
      </c>
      <c r="B13" s="11">
        <v>-78285</v>
      </c>
      <c r="C13" s="11">
        <v>-81938</v>
      </c>
      <c r="D13" s="25">
        <f t="shared" si="0"/>
        <v>-3653</v>
      </c>
    </row>
    <row r="14" spans="1:4" x14ac:dyDescent="0.2">
      <c r="A14" s="10">
        <v>9</v>
      </c>
      <c r="B14" s="11">
        <v>-79383</v>
      </c>
      <c r="C14" s="11">
        <v>-81100</v>
      </c>
      <c r="D14" s="25">
        <f t="shared" si="0"/>
        <v>-1717</v>
      </c>
    </row>
    <row r="15" spans="1:4" x14ac:dyDescent="0.2">
      <c r="A15" s="10">
        <v>10</v>
      </c>
      <c r="B15" s="11">
        <v>-80612</v>
      </c>
      <c r="C15" s="11">
        <v>-80889</v>
      </c>
      <c r="D15" s="25">
        <f t="shared" si="0"/>
        <v>-277</v>
      </c>
    </row>
    <row r="16" spans="1:4" x14ac:dyDescent="0.2">
      <c r="A16" s="10">
        <v>11</v>
      </c>
      <c r="B16" s="11">
        <v>-77113</v>
      </c>
      <c r="C16" s="11">
        <v>-79550</v>
      </c>
      <c r="D16" s="25">
        <f t="shared" si="0"/>
        <v>-2437</v>
      </c>
    </row>
    <row r="17" spans="1:4" x14ac:dyDescent="0.2">
      <c r="A17" s="10">
        <v>12</v>
      </c>
      <c r="B17" s="11">
        <v>-80716</v>
      </c>
      <c r="C17" s="11">
        <v>-81880</v>
      </c>
      <c r="D17" s="25">
        <f t="shared" si="0"/>
        <v>-1164</v>
      </c>
    </row>
    <row r="18" spans="1:4" x14ac:dyDescent="0.2">
      <c r="A18" s="10">
        <v>13</v>
      </c>
      <c r="B18" s="11">
        <v>-53012</v>
      </c>
      <c r="C18" s="11">
        <v>-47231</v>
      </c>
      <c r="D18" s="25">
        <f t="shared" si="0"/>
        <v>5781</v>
      </c>
    </row>
    <row r="19" spans="1:4" x14ac:dyDescent="0.2">
      <c r="A19" s="10">
        <v>14</v>
      </c>
      <c r="B19" s="11">
        <v>-39548</v>
      </c>
      <c r="C19" s="11">
        <v>-46164</v>
      </c>
      <c r="D19" s="25">
        <f t="shared" si="0"/>
        <v>-6616</v>
      </c>
    </row>
    <row r="20" spans="1:4" x14ac:dyDescent="0.2">
      <c r="A20" s="10">
        <v>15</v>
      </c>
      <c r="B20" s="11">
        <v>-38282</v>
      </c>
      <c r="C20" s="11">
        <v>-40001</v>
      </c>
      <c r="D20" s="25">
        <f t="shared" si="0"/>
        <v>-1719</v>
      </c>
    </row>
    <row r="21" spans="1:4" x14ac:dyDescent="0.2">
      <c r="A21" s="10">
        <v>16</v>
      </c>
      <c r="B21" s="11">
        <v>-40863</v>
      </c>
      <c r="C21" s="11">
        <v>-40001</v>
      </c>
      <c r="D21" s="25">
        <f t="shared" si="0"/>
        <v>862</v>
      </c>
    </row>
    <row r="22" spans="1:4" x14ac:dyDescent="0.2">
      <c r="A22" s="10">
        <v>17</v>
      </c>
      <c r="B22" s="108">
        <v>-78929</v>
      </c>
      <c r="C22" s="11">
        <v>-77228</v>
      </c>
      <c r="D22" s="25">
        <f t="shared" si="0"/>
        <v>1701</v>
      </c>
    </row>
    <row r="23" spans="1:4" x14ac:dyDescent="0.2">
      <c r="A23" s="10">
        <v>18</v>
      </c>
      <c r="B23" s="108">
        <v>-80798</v>
      </c>
      <c r="C23" s="11">
        <v>-79981</v>
      </c>
      <c r="D23" s="25">
        <f t="shared" si="0"/>
        <v>817</v>
      </c>
    </row>
    <row r="24" spans="1:4" x14ac:dyDescent="0.2">
      <c r="A24" s="10">
        <v>19</v>
      </c>
      <c r="B24" s="129">
        <v>-81778</v>
      </c>
      <c r="C24" s="11">
        <v>-81389</v>
      </c>
      <c r="D24" s="25">
        <f t="shared" si="0"/>
        <v>389</v>
      </c>
    </row>
    <row r="25" spans="1:4" x14ac:dyDescent="0.2">
      <c r="A25" s="10">
        <v>20</v>
      </c>
      <c r="B25" s="129">
        <v>-71744</v>
      </c>
      <c r="C25" s="11">
        <v>-69426</v>
      </c>
      <c r="D25" s="25">
        <f t="shared" si="0"/>
        <v>2318</v>
      </c>
    </row>
    <row r="26" spans="1:4" x14ac:dyDescent="0.2">
      <c r="A26" s="10">
        <v>21</v>
      </c>
      <c r="B26" s="129">
        <v>-68034</v>
      </c>
      <c r="C26" s="11">
        <v>-68428</v>
      </c>
      <c r="D26" s="25">
        <f t="shared" si="0"/>
        <v>-394</v>
      </c>
    </row>
    <row r="27" spans="1:4" x14ac:dyDescent="0.2">
      <c r="A27" s="10">
        <v>22</v>
      </c>
      <c r="B27" s="129">
        <v>-79946</v>
      </c>
      <c r="C27" s="11">
        <v>-78325</v>
      </c>
      <c r="D27" s="25">
        <f t="shared" si="0"/>
        <v>1621</v>
      </c>
    </row>
    <row r="28" spans="1:4" x14ac:dyDescent="0.2">
      <c r="A28" s="10">
        <v>23</v>
      </c>
      <c r="B28" s="129">
        <v>-80642</v>
      </c>
      <c r="C28" s="11">
        <v>-83734</v>
      </c>
      <c r="D28" s="25">
        <f t="shared" si="0"/>
        <v>-3092</v>
      </c>
    </row>
    <row r="29" spans="1:4" x14ac:dyDescent="0.2">
      <c r="A29" s="10">
        <v>24</v>
      </c>
      <c r="B29" s="129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29"/>
      <c r="C31" s="11"/>
      <c r="D31" s="25">
        <f t="shared" si="0"/>
        <v>0</v>
      </c>
    </row>
    <row r="32" spans="1: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-1650126</v>
      </c>
      <c r="C37" s="11">
        <f>SUM(C6:C36)</f>
        <v>-1640850</v>
      </c>
      <c r="D37" s="25">
        <f>SUM(D6:D36)</f>
        <v>9276</v>
      </c>
    </row>
    <row r="38" spans="1:4" x14ac:dyDescent="0.2">
      <c r="A38" s="26"/>
      <c r="C38" s="14"/>
      <c r="D38" s="345">
        <f>+summary!H4</f>
        <v>1.96</v>
      </c>
    </row>
    <row r="39" spans="1:4" x14ac:dyDescent="0.2">
      <c r="D39" s="138">
        <f>+D38*D37</f>
        <v>18180.96</v>
      </c>
    </row>
    <row r="40" spans="1:4" x14ac:dyDescent="0.2">
      <c r="A40" s="57">
        <v>37134</v>
      </c>
      <c r="C40" s="15"/>
      <c r="D40" s="493">
        <v>81685.100000000006</v>
      </c>
    </row>
    <row r="41" spans="1:4" x14ac:dyDescent="0.2">
      <c r="A41" s="57">
        <v>37157</v>
      </c>
      <c r="C41" s="48"/>
      <c r="D41" s="138">
        <f>+D40+D39</f>
        <v>99866.06</v>
      </c>
    </row>
    <row r="44" spans="1:4" x14ac:dyDescent="0.2">
      <c r="A44" s="32" t="s">
        <v>154</v>
      </c>
      <c r="B44" s="32"/>
      <c r="C44" s="32"/>
      <c r="D44" s="32"/>
    </row>
    <row r="45" spans="1:4" x14ac:dyDescent="0.2">
      <c r="A45" s="49">
        <f>+A40</f>
        <v>37134</v>
      </c>
      <c r="B45" s="32"/>
      <c r="C45" s="32"/>
      <c r="D45" s="494">
        <v>130492</v>
      </c>
    </row>
    <row r="46" spans="1:4" x14ac:dyDescent="0.2">
      <c r="A46" s="49">
        <f>+A41</f>
        <v>37157</v>
      </c>
      <c r="B46" s="32"/>
      <c r="C46" s="32"/>
      <c r="D46" s="376">
        <f>+D37</f>
        <v>9276</v>
      </c>
    </row>
    <row r="47" spans="1:4" x14ac:dyDescent="0.2">
      <c r="A47" s="32"/>
      <c r="B47" s="32"/>
      <c r="C47" s="32"/>
      <c r="D47" s="14">
        <f>+D46+D45</f>
        <v>139768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9" workbookViewId="3">
      <selection activeCell="C51" sqref="C51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35974</v>
      </c>
      <c r="C6" s="11">
        <v>36623</v>
      </c>
      <c r="D6" s="25">
        <f>+C6-B6</f>
        <v>649</v>
      </c>
    </row>
    <row r="7" spans="1:4" x14ac:dyDescent="0.2">
      <c r="A7" s="10">
        <v>2</v>
      </c>
      <c r="B7" s="11">
        <v>35392</v>
      </c>
      <c r="C7" s="11">
        <v>33797</v>
      </c>
      <c r="D7" s="25">
        <f t="shared" ref="D7:D36" si="0">+C7-B7</f>
        <v>-1595</v>
      </c>
    </row>
    <row r="8" spans="1:4" x14ac:dyDescent="0.2">
      <c r="A8" s="10">
        <v>3</v>
      </c>
      <c r="B8" s="11">
        <v>33223</v>
      </c>
      <c r="C8" s="11">
        <v>35432</v>
      </c>
      <c r="D8" s="25">
        <f t="shared" si="0"/>
        <v>2209</v>
      </c>
    </row>
    <row r="9" spans="1:4" x14ac:dyDescent="0.2">
      <c r="A9" s="10">
        <v>4</v>
      </c>
      <c r="B9" s="11">
        <v>31492</v>
      </c>
      <c r="C9" s="11">
        <v>36700</v>
      </c>
      <c r="D9" s="25">
        <f t="shared" si="0"/>
        <v>5208</v>
      </c>
    </row>
    <row r="10" spans="1:4" x14ac:dyDescent="0.2">
      <c r="A10" s="10">
        <v>5</v>
      </c>
      <c r="B10" s="11">
        <v>35052</v>
      </c>
      <c r="C10" s="11">
        <v>36700</v>
      </c>
      <c r="D10" s="25">
        <f t="shared" si="0"/>
        <v>1648</v>
      </c>
    </row>
    <row r="11" spans="1:4" x14ac:dyDescent="0.2">
      <c r="A11" s="10">
        <v>6</v>
      </c>
      <c r="B11" s="129">
        <v>36108</v>
      </c>
      <c r="C11" s="11">
        <v>36700</v>
      </c>
      <c r="D11" s="25">
        <f t="shared" si="0"/>
        <v>592</v>
      </c>
    </row>
    <row r="12" spans="1:4" x14ac:dyDescent="0.2">
      <c r="A12" s="10">
        <v>7</v>
      </c>
      <c r="B12" s="129">
        <v>35863</v>
      </c>
      <c r="C12" s="11">
        <v>32076</v>
      </c>
      <c r="D12" s="25">
        <f t="shared" si="0"/>
        <v>-3787</v>
      </c>
    </row>
    <row r="13" spans="1:4" x14ac:dyDescent="0.2">
      <c r="A13" s="10">
        <v>8</v>
      </c>
      <c r="B13" s="129">
        <v>36319</v>
      </c>
      <c r="C13" s="11">
        <v>36700</v>
      </c>
      <c r="D13" s="25">
        <f t="shared" si="0"/>
        <v>381</v>
      </c>
    </row>
    <row r="14" spans="1:4" x14ac:dyDescent="0.2">
      <c r="A14" s="10">
        <v>9</v>
      </c>
      <c r="B14" s="129">
        <v>35937</v>
      </c>
      <c r="C14" s="11">
        <v>36700</v>
      </c>
      <c r="D14" s="25">
        <f t="shared" si="0"/>
        <v>763</v>
      </c>
    </row>
    <row r="15" spans="1:4" x14ac:dyDescent="0.2">
      <c r="A15" s="10">
        <v>10</v>
      </c>
      <c r="B15" s="129">
        <v>35688</v>
      </c>
      <c r="C15" s="11">
        <v>36700</v>
      </c>
      <c r="D15" s="25">
        <f t="shared" si="0"/>
        <v>1012</v>
      </c>
    </row>
    <row r="16" spans="1:4" x14ac:dyDescent="0.2">
      <c r="A16" s="10">
        <v>11</v>
      </c>
      <c r="B16" s="129">
        <v>29460</v>
      </c>
      <c r="C16" s="11">
        <v>36700</v>
      </c>
      <c r="D16" s="25">
        <f t="shared" si="0"/>
        <v>7240</v>
      </c>
    </row>
    <row r="17" spans="1:4" x14ac:dyDescent="0.2">
      <c r="A17" s="10">
        <v>12</v>
      </c>
      <c r="B17" s="129">
        <v>41778</v>
      </c>
      <c r="C17" s="11">
        <v>36700</v>
      </c>
      <c r="D17" s="25">
        <f t="shared" si="0"/>
        <v>-5078</v>
      </c>
    </row>
    <row r="18" spans="1:4" x14ac:dyDescent="0.2">
      <c r="A18" s="10">
        <v>13</v>
      </c>
      <c r="B18" s="129">
        <v>41979</v>
      </c>
      <c r="C18" s="11">
        <v>33000</v>
      </c>
      <c r="D18" s="25">
        <f t="shared" si="0"/>
        <v>-8979</v>
      </c>
    </row>
    <row r="19" spans="1:4" x14ac:dyDescent="0.2">
      <c r="A19" s="10">
        <v>14</v>
      </c>
      <c r="B19" s="129">
        <v>28295</v>
      </c>
      <c r="C19" s="11">
        <v>32700</v>
      </c>
      <c r="D19" s="25">
        <f t="shared" si="0"/>
        <v>4405</v>
      </c>
    </row>
    <row r="20" spans="1:4" x14ac:dyDescent="0.2">
      <c r="A20" s="10">
        <v>15</v>
      </c>
      <c r="B20" s="129">
        <v>36955</v>
      </c>
      <c r="C20" s="11">
        <v>33000</v>
      </c>
      <c r="D20" s="25">
        <f t="shared" si="0"/>
        <v>-3955</v>
      </c>
    </row>
    <row r="21" spans="1:4" x14ac:dyDescent="0.2">
      <c r="A21" s="10">
        <v>16</v>
      </c>
      <c r="B21" s="11">
        <v>36326</v>
      </c>
      <c r="C21" s="11">
        <v>33000</v>
      </c>
      <c r="D21" s="25">
        <f t="shared" si="0"/>
        <v>-3326</v>
      </c>
    </row>
    <row r="22" spans="1:4" x14ac:dyDescent="0.2">
      <c r="A22" s="10">
        <v>17</v>
      </c>
      <c r="B22" s="11">
        <v>33412</v>
      </c>
      <c r="C22" s="11">
        <v>33000</v>
      </c>
      <c r="D22" s="25">
        <f t="shared" si="0"/>
        <v>-412</v>
      </c>
    </row>
    <row r="23" spans="1:4" x14ac:dyDescent="0.2">
      <c r="A23" s="10">
        <v>18</v>
      </c>
      <c r="B23" s="11">
        <v>35087</v>
      </c>
      <c r="C23" s="11">
        <v>33000</v>
      </c>
      <c r="D23" s="25">
        <f t="shared" si="0"/>
        <v>-2087</v>
      </c>
    </row>
    <row r="24" spans="1:4" x14ac:dyDescent="0.2">
      <c r="A24" s="10">
        <v>19</v>
      </c>
      <c r="B24" s="11">
        <v>35961</v>
      </c>
      <c r="C24" s="11">
        <v>33000</v>
      </c>
      <c r="D24" s="25">
        <f t="shared" si="0"/>
        <v>-2961</v>
      </c>
    </row>
    <row r="25" spans="1:4" x14ac:dyDescent="0.2">
      <c r="A25" s="10">
        <v>20</v>
      </c>
      <c r="B25" s="11">
        <v>35534</v>
      </c>
      <c r="C25" s="11">
        <v>34732</v>
      </c>
      <c r="D25" s="25">
        <f t="shared" si="0"/>
        <v>-802</v>
      </c>
    </row>
    <row r="26" spans="1:4" x14ac:dyDescent="0.2">
      <c r="A26" s="10">
        <v>21</v>
      </c>
      <c r="B26" s="11">
        <v>37450</v>
      </c>
      <c r="C26" s="11">
        <v>36000</v>
      </c>
      <c r="D26" s="25">
        <f t="shared" si="0"/>
        <v>-1450</v>
      </c>
    </row>
    <row r="27" spans="1:4" x14ac:dyDescent="0.2">
      <c r="A27" s="10">
        <v>22</v>
      </c>
      <c r="B27" s="11">
        <v>36078</v>
      </c>
      <c r="C27" s="11">
        <v>40000</v>
      </c>
      <c r="D27" s="25">
        <f t="shared" si="0"/>
        <v>3922</v>
      </c>
    </row>
    <row r="28" spans="1:4" x14ac:dyDescent="0.2">
      <c r="A28" s="10">
        <v>23</v>
      </c>
      <c r="B28" s="11">
        <v>36669</v>
      </c>
      <c r="C28" s="11">
        <v>40000</v>
      </c>
      <c r="D28" s="25">
        <f t="shared" si="0"/>
        <v>3331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816032</v>
      </c>
      <c r="C37" s="11">
        <f>SUM(C6:C36)</f>
        <v>812960</v>
      </c>
      <c r="D37" s="25">
        <f>SUM(D6:D36)</f>
        <v>-3072</v>
      </c>
    </row>
    <row r="38" spans="1:4" x14ac:dyDescent="0.2">
      <c r="A38" s="26"/>
      <c r="C38" s="14"/>
      <c r="D38" s="345">
        <f>+summary!H5</f>
        <v>2.0299999999999998</v>
      </c>
    </row>
    <row r="39" spans="1:4" x14ac:dyDescent="0.2">
      <c r="D39" s="138">
        <f>+D38*D37</f>
        <v>-6236.16</v>
      </c>
    </row>
    <row r="40" spans="1:4" x14ac:dyDescent="0.2">
      <c r="A40" s="57">
        <v>37134</v>
      </c>
      <c r="C40" s="15"/>
      <c r="D40" s="493">
        <v>-36028.699999999997</v>
      </c>
    </row>
    <row r="41" spans="1:4" x14ac:dyDescent="0.2">
      <c r="A41" s="57">
        <v>37157</v>
      </c>
      <c r="C41" s="48"/>
      <c r="D41" s="138">
        <f>+D40+D39</f>
        <v>-42264.86</v>
      </c>
    </row>
    <row r="44" spans="1:4" x14ac:dyDescent="0.2">
      <c r="A44" s="32" t="s">
        <v>154</v>
      </c>
      <c r="B44" s="32"/>
      <c r="C44" s="32"/>
      <c r="D44" s="32"/>
    </row>
    <row r="45" spans="1:4" x14ac:dyDescent="0.2">
      <c r="A45" s="49">
        <f>+A40</f>
        <v>37134</v>
      </c>
      <c r="B45" s="32"/>
      <c r="C45" s="32"/>
      <c r="D45" s="494">
        <v>-1370</v>
      </c>
    </row>
    <row r="46" spans="1:4" x14ac:dyDescent="0.2">
      <c r="A46" s="49">
        <f>+A41</f>
        <v>37157</v>
      </c>
      <c r="B46" s="32"/>
      <c r="C46" s="32"/>
      <c r="D46" s="376">
        <f>+D37</f>
        <v>-3072</v>
      </c>
    </row>
    <row r="47" spans="1:4" x14ac:dyDescent="0.2">
      <c r="A47" s="32"/>
      <c r="B47" s="32"/>
      <c r="C47" s="32"/>
      <c r="D47" s="14">
        <f>+D46+D45</f>
        <v>-4442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opLeftCell="A2" workbookViewId="1">
      <selection activeCell="G11" sqref="G11"/>
    </sheetView>
    <sheetView topLeftCell="A26" workbookViewId="2">
      <selection activeCell="J38" sqref="J38"/>
    </sheetView>
    <sheetView topLeftCell="A21" workbookViewId="3">
      <selection activeCell="C27" sqref="C27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7" bestFit="1" customWidth="1"/>
    <col min="17" max="17" width="8" style="442" bestFit="1" customWidth="1"/>
    <col min="18" max="18" width="11.42578125" style="267" bestFit="1" customWidth="1"/>
  </cols>
  <sheetData>
    <row r="1" spans="1:35" x14ac:dyDescent="0.2">
      <c r="B1" s="1" t="s">
        <v>127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87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41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275259</v>
      </c>
      <c r="C4" s="11">
        <v>281503</v>
      </c>
      <c r="D4" s="11">
        <v>69344</v>
      </c>
      <c r="E4" s="11">
        <v>72956</v>
      </c>
      <c r="F4" s="11">
        <v>70029</v>
      </c>
      <c r="G4" s="11">
        <v>60311</v>
      </c>
      <c r="H4" s="11">
        <v>80665</v>
      </c>
      <c r="I4" s="11">
        <v>75085</v>
      </c>
      <c r="J4" s="11">
        <f t="shared" ref="J4:J34" si="0">+C4+E4+G4+I4-H4-F4-D4-B4</f>
        <v>-5442</v>
      </c>
      <c r="M4" s="441" t="s">
        <v>40</v>
      </c>
      <c r="N4" s="4" t="s">
        <v>20</v>
      </c>
      <c r="O4" s="4" t="s">
        <v>21</v>
      </c>
      <c r="P4" s="439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286090</v>
      </c>
      <c r="C5" s="11">
        <v>306045</v>
      </c>
      <c r="D5" s="11">
        <v>63458</v>
      </c>
      <c r="E5" s="11">
        <v>72956</v>
      </c>
      <c r="F5" s="11">
        <v>59329</v>
      </c>
      <c r="G5" s="11">
        <v>62968</v>
      </c>
      <c r="H5" s="11">
        <v>93352</v>
      </c>
      <c r="I5" s="11">
        <v>60047</v>
      </c>
      <c r="J5" s="11">
        <f t="shared" si="0"/>
        <v>-213</v>
      </c>
      <c r="M5" s="441"/>
      <c r="N5" s="14"/>
      <c r="O5" s="14"/>
      <c r="P5" s="14">
        <f t="shared" ref="P5:P13" si="1">+O5-N5</f>
        <v>0</v>
      </c>
      <c r="Q5" s="387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294630</v>
      </c>
      <c r="C6" s="11">
        <v>290625</v>
      </c>
      <c r="D6" s="11">
        <v>56674</v>
      </c>
      <c r="E6" s="11">
        <v>72956</v>
      </c>
      <c r="F6" s="11">
        <v>58162</v>
      </c>
      <c r="G6" s="11">
        <v>54990</v>
      </c>
      <c r="H6" s="11">
        <v>61099</v>
      </c>
      <c r="I6" s="11">
        <v>60047</v>
      </c>
      <c r="J6" s="11">
        <f t="shared" si="0"/>
        <v>8053</v>
      </c>
      <c r="M6" s="441">
        <v>36861</v>
      </c>
      <c r="N6" s="24">
        <v>19698194</v>
      </c>
      <c r="O6" s="24">
        <v>19662410</v>
      </c>
      <c r="P6" s="14">
        <f t="shared" si="1"/>
        <v>-35784</v>
      </c>
      <c r="Q6" s="387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305301</v>
      </c>
      <c r="C7" s="11">
        <v>278666</v>
      </c>
      <c r="D7" s="11">
        <v>45173</v>
      </c>
      <c r="E7" s="11">
        <v>72956</v>
      </c>
      <c r="F7" s="11">
        <v>50926</v>
      </c>
      <c r="G7" s="11">
        <v>56783</v>
      </c>
      <c r="H7" s="11">
        <v>70201</v>
      </c>
      <c r="I7" s="11">
        <v>59892</v>
      </c>
      <c r="J7" s="11">
        <f t="shared" si="0"/>
        <v>-3304</v>
      </c>
      <c r="M7" s="441">
        <v>36892</v>
      </c>
      <c r="N7" s="24">
        <v>18949781</v>
      </c>
      <c r="O7" s="14">
        <v>18975457</v>
      </c>
      <c r="P7" s="14">
        <f t="shared" si="1"/>
        <v>25676</v>
      </c>
      <c r="Q7" s="387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296996</v>
      </c>
      <c r="C8" s="11">
        <v>298827</v>
      </c>
      <c r="D8" s="129">
        <v>72358</v>
      </c>
      <c r="E8" s="11">
        <v>72955</v>
      </c>
      <c r="F8" s="11">
        <v>60526</v>
      </c>
      <c r="G8" s="11">
        <v>52457</v>
      </c>
      <c r="H8" s="129">
        <v>106632</v>
      </c>
      <c r="I8" s="11">
        <v>109953</v>
      </c>
      <c r="J8" s="11">
        <f t="shared" si="0"/>
        <v>-2320</v>
      </c>
      <c r="M8" s="441">
        <v>36923</v>
      </c>
      <c r="N8" s="24">
        <v>15193330</v>
      </c>
      <c r="O8" s="14">
        <v>15256233</v>
      </c>
      <c r="P8" s="14">
        <f t="shared" si="1"/>
        <v>62903</v>
      </c>
      <c r="Q8" s="387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321837</v>
      </c>
      <c r="C9" s="11">
        <v>320618</v>
      </c>
      <c r="D9" s="11">
        <v>73894</v>
      </c>
      <c r="E9" s="11">
        <v>72956</v>
      </c>
      <c r="F9" s="11">
        <v>59574</v>
      </c>
      <c r="G9" s="11">
        <v>58414</v>
      </c>
      <c r="H9" s="11">
        <v>97078</v>
      </c>
      <c r="I9" s="11">
        <v>96567</v>
      </c>
      <c r="J9" s="11">
        <f t="shared" si="0"/>
        <v>-3828</v>
      </c>
      <c r="M9" s="441">
        <v>36951</v>
      </c>
      <c r="N9" s="24">
        <v>17049350</v>
      </c>
      <c r="O9" s="14">
        <v>17089226</v>
      </c>
      <c r="P9" s="14">
        <f t="shared" si="1"/>
        <v>39876</v>
      </c>
      <c r="Q9" s="387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294336</v>
      </c>
      <c r="C10" s="11">
        <v>288119</v>
      </c>
      <c r="D10" s="129">
        <v>73085</v>
      </c>
      <c r="E10" s="11">
        <v>72956</v>
      </c>
      <c r="F10" s="129">
        <v>66209</v>
      </c>
      <c r="G10" s="11">
        <v>59520</v>
      </c>
      <c r="H10" s="129">
        <v>102596</v>
      </c>
      <c r="I10" s="11">
        <v>108994</v>
      </c>
      <c r="J10" s="11">
        <f t="shared" si="0"/>
        <v>-6637</v>
      </c>
      <c r="M10" s="441">
        <v>36982</v>
      </c>
      <c r="N10" s="24">
        <v>17652369</v>
      </c>
      <c r="O10" s="14">
        <v>17743987</v>
      </c>
      <c r="P10" s="14">
        <f t="shared" si="1"/>
        <v>91618</v>
      </c>
      <c r="Q10" s="387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335913</v>
      </c>
      <c r="C11" s="11">
        <v>313363</v>
      </c>
      <c r="D11" s="11">
        <v>41184</v>
      </c>
      <c r="E11" s="11">
        <v>57956</v>
      </c>
      <c r="F11" s="11">
        <v>60789</v>
      </c>
      <c r="G11" s="11">
        <v>60685</v>
      </c>
      <c r="H11" s="11">
        <v>114585</v>
      </c>
      <c r="I11" s="11">
        <v>113362</v>
      </c>
      <c r="J11" s="11">
        <f t="shared" si="0"/>
        <v>-7105</v>
      </c>
      <c r="M11" s="441">
        <v>37012</v>
      </c>
      <c r="N11" s="24">
        <v>16124989</v>
      </c>
      <c r="O11" s="14">
        <v>16282021</v>
      </c>
      <c r="P11" s="14">
        <f t="shared" si="1"/>
        <v>157032</v>
      </c>
      <c r="Q11" s="387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324398</v>
      </c>
      <c r="C12" s="11">
        <v>316977</v>
      </c>
      <c r="D12" s="11">
        <v>71825</v>
      </c>
      <c r="E12" s="11">
        <v>72956</v>
      </c>
      <c r="F12" s="11">
        <v>62342</v>
      </c>
      <c r="G12" s="11">
        <v>62897</v>
      </c>
      <c r="H12" s="11">
        <v>118352</v>
      </c>
      <c r="I12" s="11">
        <v>115056</v>
      </c>
      <c r="J12" s="11">
        <f t="shared" si="0"/>
        <v>-9031</v>
      </c>
      <c r="M12" s="441">
        <v>37043</v>
      </c>
      <c r="N12" s="24">
        <v>15928675</v>
      </c>
      <c r="O12" s="14">
        <v>15936227</v>
      </c>
      <c r="P12" s="14">
        <f t="shared" si="1"/>
        <v>7552</v>
      </c>
      <c r="Q12" s="387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297356</v>
      </c>
      <c r="C13" s="11">
        <v>324409</v>
      </c>
      <c r="D13" s="129">
        <v>71852</v>
      </c>
      <c r="E13" s="11">
        <v>72956</v>
      </c>
      <c r="F13" s="129">
        <v>61608</v>
      </c>
      <c r="G13" s="11">
        <v>63378</v>
      </c>
      <c r="H13" s="129">
        <v>130859</v>
      </c>
      <c r="I13" s="11">
        <v>119204</v>
      </c>
      <c r="J13" s="11">
        <f t="shared" si="0"/>
        <v>18272</v>
      </c>
      <c r="M13" s="441">
        <v>37073</v>
      </c>
      <c r="N13" s="24">
        <v>16669639</v>
      </c>
      <c r="O13" s="14">
        <v>16693576</v>
      </c>
      <c r="P13" s="14">
        <f t="shared" si="1"/>
        <v>23937</v>
      </c>
      <c r="Q13" s="387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282398</v>
      </c>
      <c r="C14" s="11">
        <v>250750</v>
      </c>
      <c r="D14" s="11">
        <v>72080</v>
      </c>
      <c r="E14" s="11">
        <v>72956</v>
      </c>
      <c r="F14" s="11">
        <v>70350</v>
      </c>
      <c r="G14" s="11">
        <v>64373</v>
      </c>
      <c r="H14" s="11">
        <v>107979</v>
      </c>
      <c r="I14" s="11">
        <v>115292</v>
      </c>
      <c r="J14" s="11">
        <f t="shared" si="0"/>
        <v>-29436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307301</v>
      </c>
      <c r="C15" s="11">
        <v>313278</v>
      </c>
      <c r="D15" s="11">
        <v>73385</v>
      </c>
      <c r="E15" s="11">
        <v>72956</v>
      </c>
      <c r="F15" s="11">
        <v>73231</v>
      </c>
      <c r="G15" s="11">
        <v>69483</v>
      </c>
      <c r="H15" s="11">
        <v>136385</v>
      </c>
      <c r="I15" s="11">
        <v>129079</v>
      </c>
      <c r="J15" s="11">
        <f t="shared" si="0"/>
        <v>-5506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291094</v>
      </c>
      <c r="C16" s="11">
        <v>300275</v>
      </c>
      <c r="D16" s="11">
        <v>73005</v>
      </c>
      <c r="E16" s="11">
        <v>72956</v>
      </c>
      <c r="F16" s="11">
        <v>55147</v>
      </c>
      <c r="G16" s="11">
        <v>57862</v>
      </c>
      <c r="H16" s="11">
        <v>106009</v>
      </c>
      <c r="I16" s="11">
        <v>89909</v>
      </c>
      <c r="J16" s="11">
        <f t="shared" si="0"/>
        <v>-4253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300435</v>
      </c>
      <c r="C17" s="11">
        <v>306742</v>
      </c>
      <c r="D17" s="11">
        <v>73860</v>
      </c>
      <c r="E17" s="11">
        <v>72956</v>
      </c>
      <c r="F17" s="11">
        <v>72059</v>
      </c>
      <c r="G17" s="11">
        <v>64050</v>
      </c>
      <c r="H17" s="11">
        <v>124226</v>
      </c>
      <c r="I17" s="11">
        <v>122654</v>
      </c>
      <c r="J17" s="11">
        <f t="shared" si="0"/>
        <v>-4178</v>
      </c>
      <c r="M17" s="441"/>
      <c r="N17" s="24"/>
      <c r="O17" s="14"/>
      <c r="P17" s="14">
        <f>+O17-N17</f>
        <v>0</v>
      </c>
      <c r="Q17" s="387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314672</v>
      </c>
      <c r="C18" s="11">
        <v>318527</v>
      </c>
      <c r="D18" s="11">
        <v>67111</v>
      </c>
      <c r="E18" s="11">
        <v>72956</v>
      </c>
      <c r="F18" s="11">
        <v>56443</v>
      </c>
      <c r="G18" s="11">
        <v>55483</v>
      </c>
      <c r="H18" s="11">
        <v>132628</v>
      </c>
      <c r="I18" s="11">
        <v>123921</v>
      </c>
      <c r="J18" s="11">
        <f t="shared" si="0"/>
        <v>33</v>
      </c>
      <c r="M18" s="441"/>
      <c r="N18" s="24"/>
      <c r="O18" s="14"/>
      <c r="P18" s="14"/>
      <c r="Q18" s="387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303932</v>
      </c>
      <c r="C19" s="11">
        <v>305270</v>
      </c>
      <c r="D19" s="11">
        <v>72768</v>
      </c>
      <c r="E19" s="11">
        <v>72956</v>
      </c>
      <c r="F19" s="11">
        <v>55704</v>
      </c>
      <c r="G19" s="11">
        <v>55080</v>
      </c>
      <c r="H19" s="11">
        <v>103201</v>
      </c>
      <c r="I19" s="11">
        <v>100656</v>
      </c>
      <c r="J19" s="11">
        <f t="shared" si="0"/>
        <v>-1643</v>
      </c>
      <c r="M19" s="441"/>
      <c r="N19" s="14"/>
      <c r="O19" s="14"/>
      <c r="P19" s="14"/>
      <c r="Q19" s="387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319771</v>
      </c>
      <c r="C20" s="11">
        <v>319733</v>
      </c>
      <c r="D20" s="11">
        <v>73941</v>
      </c>
      <c r="E20" s="11">
        <v>72956</v>
      </c>
      <c r="F20" s="11">
        <v>813</v>
      </c>
      <c r="G20" s="11">
        <v>5</v>
      </c>
      <c r="H20" s="11">
        <v>98823</v>
      </c>
      <c r="I20" s="11">
        <v>97392</v>
      </c>
      <c r="J20" s="11">
        <f t="shared" si="0"/>
        <v>-3262</v>
      </c>
      <c r="M20" s="441"/>
      <c r="N20" s="14"/>
      <c r="O20" s="14"/>
      <c r="P20" s="15"/>
      <c r="Q20" s="387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311942</v>
      </c>
      <c r="C21" s="11">
        <v>321210</v>
      </c>
      <c r="D21" s="11">
        <v>73983</v>
      </c>
      <c r="E21" s="11">
        <v>72956</v>
      </c>
      <c r="F21" s="11"/>
      <c r="G21" s="11"/>
      <c r="H21" s="11">
        <v>109630</v>
      </c>
      <c r="I21" s="11">
        <v>101598</v>
      </c>
      <c r="J21" s="11">
        <f t="shared" si="0"/>
        <v>209</v>
      </c>
      <c r="M21" s="441"/>
      <c r="N21" s="24"/>
      <c r="O21" s="24"/>
      <c r="P21" s="110"/>
      <c r="Q21" s="443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299868</v>
      </c>
      <c r="C22" s="11">
        <v>300117</v>
      </c>
      <c r="D22" s="11">
        <v>60178</v>
      </c>
      <c r="E22" s="11">
        <v>72956</v>
      </c>
      <c r="F22" s="11"/>
      <c r="G22" s="11"/>
      <c r="H22" s="11">
        <v>107668</v>
      </c>
      <c r="I22" s="11">
        <v>103751</v>
      </c>
      <c r="J22" s="11">
        <f t="shared" si="0"/>
        <v>9110</v>
      </c>
      <c r="M22" s="32"/>
      <c r="N22" s="24"/>
      <c r="O22" s="24"/>
      <c r="P22" s="24">
        <f>SUM(P5:P21)</f>
        <v>372810</v>
      </c>
      <c r="Q22" s="443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262859</v>
      </c>
      <c r="C23" s="11">
        <v>284474</v>
      </c>
      <c r="D23" s="11">
        <v>72043</v>
      </c>
      <c r="E23" s="11">
        <v>72956</v>
      </c>
      <c r="F23" s="11">
        <v>17775</v>
      </c>
      <c r="G23" s="11">
        <v>15677</v>
      </c>
      <c r="H23" s="11">
        <v>129491</v>
      </c>
      <c r="I23" s="11">
        <v>110869</v>
      </c>
      <c r="J23" s="11">
        <f t="shared" si="0"/>
        <v>1808</v>
      </c>
      <c r="M23" s="32"/>
      <c r="N23" s="24"/>
      <c r="O23" s="24"/>
      <c r="P23" s="110"/>
      <c r="Q23" s="443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296530</v>
      </c>
      <c r="C24" s="11">
        <v>299130</v>
      </c>
      <c r="D24" s="11">
        <v>69804</v>
      </c>
      <c r="E24" s="11">
        <v>72956</v>
      </c>
      <c r="F24" s="11">
        <v>74372</v>
      </c>
      <c r="G24" s="11">
        <v>77876</v>
      </c>
      <c r="H24" s="11">
        <v>137849</v>
      </c>
      <c r="I24" s="11">
        <v>136834</v>
      </c>
      <c r="J24" s="11">
        <f t="shared" si="0"/>
        <v>8241</v>
      </c>
      <c r="M24" s="32"/>
      <c r="N24" s="24"/>
      <c r="O24" s="24"/>
      <c r="P24" s="110"/>
      <c r="Q24" s="443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312389</v>
      </c>
      <c r="C25" s="11">
        <v>327320</v>
      </c>
      <c r="D25" s="11">
        <v>78262</v>
      </c>
      <c r="E25" s="11">
        <v>71299</v>
      </c>
      <c r="F25" s="11">
        <v>75568</v>
      </c>
      <c r="G25" s="11">
        <v>71528</v>
      </c>
      <c r="H25" s="11">
        <v>121053</v>
      </c>
      <c r="I25" s="11">
        <v>128666</v>
      </c>
      <c r="J25" s="11">
        <f t="shared" si="0"/>
        <v>11541</v>
      </c>
      <c r="M25" s="32"/>
      <c r="N25" s="24"/>
      <c r="O25" s="24"/>
      <c r="P25" s="110"/>
      <c r="Q25" s="443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328624</v>
      </c>
      <c r="C26" s="11">
        <v>326720</v>
      </c>
      <c r="D26" s="11">
        <v>72145</v>
      </c>
      <c r="E26" s="11">
        <v>72956</v>
      </c>
      <c r="F26" s="11">
        <v>76707</v>
      </c>
      <c r="G26" s="11">
        <v>73432</v>
      </c>
      <c r="H26" s="11">
        <v>122422</v>
      </c>
      <c r="I26" s="11">
        <v>122551</v>
      </c>
      <c r="J26" s="11">
        <f t="shared" si="0"/>
        <v>-4239</v>
      </c>
      <c r="M26" s="32"/>
      <c r="N26" s="24"/>
      <c r="O26" s="24"/>
      <c r="P26" s="110"/>
      <c r="Q26" s="443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43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43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43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43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43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87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87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87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6963931</v>
      </c>
      <c r="C35" s="11">
        <f t="shared" ref="C35:I35" si="3">SUM(C4:C34)</f>
        <v>6992698</v>
      </c>
      <c r="D35" s="11">
        <f t="shared" si="3"/>
        <v>1571412</v>
      </c>
      <c r="E35" s="11">
        <f t="shared" si="3"/>
        <v>1661330</v>
      </c>
      <c r="F35" s="11">
        <f t="shared" si="3"/>
        <v>1237663</v>
      </c>
      <c r="G35" s="11">
        <f t="shared" si="3"/>
        <v>1197252</v>
      </c>
      <c r="H35" s="11">
        <f t="shared" si="3"/>
        <v>2512783</v>
      </c>
      <c r="I35" s="11">
        <f t="shared" si="3"/>
        <v>2401379</v>
      </c>
      <c r="J35" s="11">
        <f>SUM(J4:J34)</f>
        <v>-33130</v>
      </c>
      <c r="M35" s="32"/>
      <c r="N35" s="24"/>
      <c r="O35" s="32"/>
      <c r="P35" s="15"/>
      <c r="Q35" s="387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87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87"/>
      <c r="R37" s="110"/>
      <c r="S37" s="19"/>
      <c r="T37" s="104"/>
      <c r="U37" s="16"/>
      <c r="V37" s="15"/>
      <c r="W37" s="13"/>
    </row>
    <row r="38" spans="1:23" x14ac:dyDescent="0.2">
      <c r="A38" s="56">
        <v>37134</v>
      </c>
      <c r="C38" s="25"/>
      <c r="E38" s="25"/>
      <c r="G38" s="25"/>
      <c r="I38" s="25"/>
      <c r="J38" s="465">
        <v>275390</v>
      </c>
      <c r="M38" s="32"/>
      <c r="N38" s="24"/>
      <c r="O38" s="32"/>
      <c r="P38" s="15"/>
      <c r="Q38" s="387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87"/>
      <c r="R39" s="110"/>
      <c r="S39" s="19"/>
      <c r="T39" s="104"/>
      <c r="U39" s="16"/>
      <c r="V39" s="15"/>
      <c r="W39" s="13"/>
    </row>
    <row r="40" spans="1:23" x14ac:dyDescent="0.2">
      <c r="A40" s="33">
        <v>37157</v>
      </c>
      <c r="J40" s="51">
        <f>+J38+J35</f>
        <v>242260</v>
      </c>
      <c r="M40" s="32"/>
      <c r="N40" s="24"/>
      <c r="O40" s="32"/>
      <c r="P40" s="15"/>
      <c r="Q40" s="387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87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87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87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87"/>
      <c r="R44" s="110"/>
      <c r="S44" s="19"/>
      <c r="T44" s="104"/>
      <c r="U44" s="16"/>
      <c r="V44" s="15"/>
      <c r="W44" s="13"/>
    </row>
    <row r="45" spans="1:23" x14ac:dyDescent="0.2">
      <c r="A45" s="32" t="s">
        <v>155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87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37134</v>
      </c>
      <c r="B46" s="32"/>
      <c r="C46" s="32"/>
      <c r="D46" s="466">
        <v>1288237.99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87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37157</v>
      </c>
      <c r="B47" s="32"/>
      <c r="C47" s="32"/>
      <c r="D47" s="405">
        <f>+J35*'by type_area'!J3</f>
        <v>-60296.6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87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1227941.3899999999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87"/>
      <c r="R48" s="15"/>
      <c r="S48" s="19"/>
      <c r="T48" s="32"/>
    </row>
    <row r="49" spans="1:20" x14ac:dyDescent="0.2">
      <c r="A49" s="139"/>
      <c r="B49" s="119"/>
      <c r="C49" s="140"/>
      <c r="D49" s="40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87"/>
      <c r="R49" s="15"/>
      <c r="S49" s="32"/>
      <c r="T49" s="32"/>
    </row>
    <row r="50" spans="1:20" x14ac:dyDescent="0.2">
      <c r="A50" s="10"/>
      <c r="B50" s="11"/>
      <c r="C50" s="11"/>
      <c r="D50" s="40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87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87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87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87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87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87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87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87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87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87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87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87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87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87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87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87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87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87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43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43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43"/>
      <c r="R70" s="110"/>
      <c r="S70" s="19"/>
      <c r="T70" s="138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43"/>
      <c r="R71" s="110"/>
      <c r="S71" s="19"/>
      <c r="T71" s="138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43"/>
      <c r="R72" s="110"/>
      <c r="S72" s="19"/>
      <c r="T72" s="138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43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43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43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43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43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43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43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43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43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43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43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43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43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43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43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43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43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87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87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87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87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87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87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87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87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87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87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87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87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87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87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87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87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87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87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87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44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39"/>
      <c r="Q255" s="143"/>
      <c r="R255" s="439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40"/>
      <c r="Q256" s="445"/>
      <c r="R256" s="440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43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43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43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43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43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43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43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43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43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43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43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43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43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43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43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43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43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43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43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43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43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43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43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43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43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43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43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43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43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43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43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43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44"/>
      <c r="S295" s="1"/>
    </row>
    <row r="296" spans="9:21" x14ac:dyDescent="0.2">
      <c r="K296" s="2"/>
      <c r="M296" s="30"/>
      <c r="N296" s="4"/>
      <c r="O296" s="4"/>
      <c r="P296" s="439"/>
      <c r="Q296" s="143"/>
      <c r="R296" s="439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40"/>
      <c r="Q297" s="445"/>
      <c r="R297" s="440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43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43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43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43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43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43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43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43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43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43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43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43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43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43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43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43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43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43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43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43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43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43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43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43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43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43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43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43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43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43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43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43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44"/>
      <c r="S337" s="1"/>
    </row>
    <row r="338" spans="11:21" x14ac:dyDescent="0.2">
      <c r="K338" s="2"/>
      <c r="M338" s="30"/>
      <c r="N338" s="4"/>
      <c r="O338" s="4"/>
      <c r="P338" s="439"/>
      <c r="Q338" s="143"/>
      <c r="R338" s="439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40"/>
      <c r="Q339" s="445"/>
      <c r="R339" s="440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43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43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43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43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43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43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43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43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43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43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43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43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43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43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43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43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43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43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43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43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43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43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43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43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43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43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43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43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43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43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43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43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44"/>
      <c r="S379" s="1"/>
    </row>
    <row r="380" spans="11:21" x14ac:dyDescent="0.2">
      <c r="K380" s="2"/>
      <c r="M380" s="30"/>
      <c r="N380" s="4"/>
      <c r="O380" s="4"/>
      <c r="P380" s="439"/>
      <c r="Q380" s="143"/>
      <c r="R380" s="439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40"/>
      <c r="Q381" s="445"/>
      <c r="R381" s="440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43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43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43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43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43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43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43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43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43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43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43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43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43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43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43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43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43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43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43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43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43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43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43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43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43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43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43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43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43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43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43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43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44"/>
      <c r="S423" s="1"/>
    </row>
    <row r="424" spans="11:21" x14ac:dyDescent="0.2">
      <c r="K424" s="2"/>
      <c r="M424" s="30"/>
      <c r="N424" s="4"/>
      <c r="O424" s="4"/>
      <c r="P424" s="439"/>
      <c r="Q424" s="143"/>
      <c r="R424" s="439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40"/>
      <c r="Q425" s="445"/>
      <c r="R425" s="440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43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43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43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43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43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43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43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43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43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43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43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43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43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43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43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43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43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43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43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43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43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43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43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43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43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43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43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43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43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43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43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43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44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39"/>
      <c r="Q466" s="143"/>
      <c r="R466" s="43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40"/>
      <c r="Q467" s="445"/>
      <c r="R467" s="44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4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4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4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4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4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4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4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4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4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4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4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4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4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4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4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4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4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4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4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4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4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4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4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4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4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4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4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4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4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4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4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4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30" workbookViewId="3">
      <selection activeCell="C51" sqref="C51"/>
    </sheetView>
  </sheetViews>
  <sheetFormatPr defaultRowHeight="12.75" x14ac:dyDescent="0.2"/>
  <sheetData>
    <row r="3" spans="1:4" ht="15" x14ac:dyDescent="0.25">
      <c r="A3" s="134"/>
      <c r="B3" s="34" t="s">
        <v>134</v>
      </c>
    </row>
    <row r="4" spans="1:4" x14ac:dyDescent="0.2">
      <c r="A4" s="3"/>
      <c r="B4" s="59" t="s">
        <v>135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58538</v>
      </c>
      <c r="C6" s="11">
        <v>63848</v>
      </c>
      <c r="D6" s="25">
        <f>+C6-B6</f>
        <v>5310</v>
      </c>
    </row>
    <row r="7" spans="1:4" x14ac:dyDescent="0.2">
      <c r="A7" s="10">
        <v>2</v>
      </c>
      <c r="B7" s="129">
        <v>58642</v>
      </c>
      <c r="C7" s="11">
        <v>55697</v>
      </c>
      <c r="D7" s="25">
        <f t="shared" ref="D7:D36" si="0">+C7-B7</f>
        <v>-2945</v>
      </c>
    </row>
    <row r="8" spans="1:4" x14ac:dyDescent="0.2">
      <c r="A8" s="10">
        <v>3</v>
      </c>
      <c r="B8" s="11">
        <v>58406</v>
      </c>
      <c r="C8" s="11">
        <v>59792</v>
      </c>
      <c r="D8" s="25">
        <f t="shared" si="0"/>
        <v>1386</v>
      </c>
    </row>
    <row r="9" spans="1:4" x14ac:dyDescent="0.2">
      <c r="A9" s="10">
        <v>4</v>
      </c>
      <c r="B9" s="11">
        <v>59692</v>
      </c>
      <c r="C9" s="11">
        <v>63944</v>
      </c>
      <c r="D9" s="25">
        <f t="shared" si="0"/>
        <v>4252</v>
      </c>
    </row>
    <row r="10" spans="1:4" x14ac:dyDescent="0.2">
      <c r="A10" s="10">
        <v>5</v>
      </c>
      <c r="B10" s="11">
        <v>46721</v>
      </c>
      <c r="C10" s="11">
        <v>47218</v>
      </c>
      <c r="D10" s="25">
        <f t="shared" si="0"/>
        <v>497</v>
      </c>
    </row>
    <row r="11" spans="1:4" x14ac:dyDescent="0.2">
      <c r="A11" s="10">
        <v>6</v>
      </c>
      <c r="B11" s="11">
        <v>54155</v>
      </c>
      <c r="C11" s="11">
        <v>54685</v>
      </c>
      <c r="D11" s="25">
        <f t="shared" si="0"/>
        <v>530</v>
      </c>
    </row>
    <row r="12" spans="1:4" x14ac:dyDescent="0.2">
      <c r="A12" s="10">
        <v>7</v>
      </c>
      <c r="B12" s="11">
        <v>64066</v>
      </c>
      <c r="C12" s="11">
        <v>62444</v>
      </c>
      <c r="D12" s="25">
        <f t="shared" si="0"/>
        <v>-1622</v>
      </c>
    </row>
    <row r="13" spans="1:4" x14ac:dyDescent="0.2">
      <c r="A13" s="10">
        <v>8</v>
      </c>
      <c r="B13" s="11">
        <v>58452</v>
      </c>
      <c r="C13" s="11">
        <v>62839</v>
      </c>
      <c r="D13" s="25">
        <f t="shared" si="0"/>
        <v>4387</v>
      </c>
    </row>
    <row r="14" spans="1:4" x14ac:dyDescent="0.2">
      <c r="A14" s="10">
        <v>9</v>
      </c>
      <c r="B14" s="11">
        <v>59525</v>
      </c>
      <c r="C14" s="11">
        <v>62898</v>
      </c>
      <c r="D14" s="25">
        <f t="shared" si="0"/>
        <v>3373</v>
      </c>
    </row>
    <row r="15" spans="1:4" x14ac:dyDescent="0.2">
      <c r="A15" s="10">
        <v>10</v>
      </c>
      <c r="B15" s="11">
        <v>58572</v>
      </c>
      <c r="C15" s="11">
        <v>62898</v>
      </c>
      <c r="D15" s="25">
        <f t="shared" si="0"/>
        <v>4326</v>
      </c>
    </row>
    <row r="16" spans="1:4" x14ac:dyDescent="0.2">
      <c r="A16" s="10">
        <v>11</v>
      </c>
      <c r="B16" s="11">
        <v>64462</v>
      </c>
      <c r="C16" s="11">
        <v>63297</v>
      </c>
      <c r="D16" s="25">
        <f t="shared" si="0"/>
        <v>-1165</v>
      </c>
    </row>
    <row r="17" spans="1:4" x14ac:dyDescent="0.2">
      <c r="A17" s="10">
        <v>12</v>
      </c>
      <c r="B17" s="11">
        <v>54763</v>
      </c>
      <c r="C17" s="11">
        <v>53475</v>
      </c>
      <c r="D17" s="25">
        <f t="shared" si="0"/>
        <v>-1288</v>
      </c>
    </row>
    <row r="18" spans="1:4" x14ac:dyDescent="0.2">
      <c r="A18" s="10">
        <v>13</v>
      </c>
      <c r="B18" s="11">
        <v>63725</v>
      </c>
      <c r="C18" s="11">
        <v>61376</v>
      </c>
      <c r="D18" s="25">
        <f t="shared" si="0"/>
        <v>-2349</v>
      </c>
    </row>
    <row r="19" spans="1:4" x14ac:dyDescent="0.2">
      <c r="A19" s="10">
        <v>14</v>
      </c>
      <c r="B19" s="11">
        <v>64469</v>
      </c>
      <c r="C19" s="11">
        <v>63350</v>
      </c>
      <c r="D19" s="25">
        <f t="shared" si="0"/>
        <v>-1119</v>
      </c>
    </row>
    <row r="20" spans="1:4" x14ac:dyDescent="0.2">
      <c r="A20" s="10">
        <v>15</v>
      </c>
      <c r="B20" s="11">
        <v>65261</v>
      </c>
      <c r="C20" s="11">
        <v>64520</v>
      </c>
      <c r="D20" s="25">
        <f t="shared" si="0"/>
        <v>-741</v>
      </c>
    </row>
    <row r="21" spans="1:4" x14ac:dyDescent="0.2">
      <c r="A21" s="10">
        <v>16</v>
      </c>
      <c r="B21" s="11">
        <v>65102</v>
      </c>
      <c r="C21" s="11">
        <v>64520</v>
      </c>
      <c r="D21" s="25">
        <f t="shared" si="0"/>
        <v>-582</v>
      </c>
    </row>
    <row r="22" spans="1:4" x14ac:dyDescent="0.2">
      <c r="A22" s="10">
        <v>17</v>
      </c>
      <c r="B22" s="11">
        <v>65688</v>
      </c>
      <c r="C22" s="11">
        <v>64520</v>
      </c>
      <c r="D22" s="25">
        <f t="shared" si="0"/>
        <v>-1168</v>
      </c>
    </row>
    <row r="23" spans="1:4" x14ac:dyDescent="0.2">
      <c r="A23" s="10">
        <v>18</v>
      </c>
      <c r="B23" s="11">
        <v>61645</v>
      </c>
      <c r="C23" s="11">
        <v>61928</v>
      </c>
      <c r="D23" s="25">
        <f t="shared" si="0"/>
        <v>283</v>
      </c>
    </row>
    <row r="24" spans="1:4" x14ac:dyDescent="0.2">
      <c r="A24" s="10">
        <v>19</v>
      </c>
      <c r="B24" s="11">
        <v>61219</v>
      </c>
      <c r="C24" s="11">
        <v>59779</v>
      </c>
      <c r="D24" s="25">
        <f t="shared" si="0"/>
        <v>-1440</v>
      </c>
    </row>
    <row r="25" spans="1:4" x14ac:dyDescent="0.2">
      <c r="A25" s="10">
        <v>20</v>
      </c>
      <c r="B25" s="11">
        <v>63542</v>
      </c>
      <c r="C25" s="11">
        <v>62190</v>
      </c>
      <c r="D25" s="25">
        <f t="shared" si="0"/>
        <v>-1352</v>
      </c>
    </row>
    <row r="26" spans="1:4" x14ac:dyDescent="0.2">
      <c r="A26" s="10">
        <v>21</v>
      </c>
      <c r="B26" s="11">
        <v>62220</v>
      </c>
      <c r="C26" s="11">
        <v>62257</v>
      </c>
      <c r="D26" s="25">
        <f t="shared" si="0"/>
        <v>37</v>
      </c>
    </row>
    <row r="27" spans="1:4" x14ac:dyDescent="0.2">
      <c r="A27" s="10">
        <v>22</v>
      </c>
      <c r="B27" s="11">
        <v>63398</v>
      </c>
      <c r="C27" s="11">
        <v>62633</v>
      </c>
      <c r="D27" s="25">
        <f t="shared" si="0"/>
        <v>-765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1332263</v>
      </c>
      <c r="C37" s="11">
        <f>SUM(C6:C36)</f>
        <v>1340108</v>
      </c>
      <c r="D37" s="25">
        <f>SUM(D6:D36)</f>
        <v>7845</v>
      </c>
    </row>
    <row r="38" spans="1:4" x14ac:dyDescent="0.2">
      <c r="A38" s="26"/>
      <c r="C38" s="14"/>
      <c r="D38" s="345">
        <f>+summary!H5</f>
        <v>2.0299999999999998</v>
      </c>
    </row>
    <row r="39" spans="1:4" x14ac:dyDescent="0.2">
      <c r="D39" s="138">
        <f>+D38*D37</f>
        <v>15925.349999999999</v>
      </c>
    </row>
    <row r="40" spans="1:4" x14ac:dyDescent="0.2">
      <c r="A40" s="57">
        <v>37134</v>
      </c>
      <c r="C40" s="15"/>
      <c r="D40" s="488">
        <v>14916.9</v>
      </c>
    </row>
    <row r="41" spans="1:4" x14ac:dyDescent="0.2">
      <c r="A41" s="57">
        <v>37156</v>
      </c>
      <c r="C41" s="48"/>
      <c r="D41" s="138">
        <f>+D40+D39</f>
        <v>30842.25</v>
      </c>
    </row>
    <row r="45" spans="1:4" x14ac:dyDescent="0.2">
      <c r="A45" s="32" t="s">
        <v>154</v>
      </c>
      <c r="B45" s="32"/>
      <c r="C45" s="32"/>
      <c r="D45" s="32"/>
    </row>
    <row r="46" spans="1:4" x14ac:dyDescent="0.2">
      <c r="A46" s="49">
        <f>+A40</f>
        <v>37134</v>
      </c>
      <c r="B46" s="32"/>
      <c r="C46" s="32"/>
      <c r="D46" s="474">
        <v>5234</v>
      </c>
    </row>
    <row r="47" spans="1:4" x14ac:dyDescent="0.2">
      <c r="A47" s="49">
        <f>+A41</f>
        <v>37156</v>
      </c>
      <c r="B47" s="32"/>
      <c r="C47" s="32"/>
      <c r="D47" s="376">
        <f>+D37</f>
        <v>7845</v>
      </c>
    </row>
    <row r="48" spans="1:4" x14ac:dyDescent="0.2">
      <c r="A48" s="32"/>
      <c r="B48" s="32"/>
      <c r="C48" s="32"/>
      <c r="D48" s="14">
        <f>+D47+D46</f>
        <v>13079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34" workbookViewId="3">
      <selection activeCell="A42" sqref="A42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136</v>
      </c>
      <c r="C3" s="87"/>
      <c r="D3" s="87"/>
      <c r="E3" s="87"/>
    </row>
    <row r="4" spans="1:13" x14ac:dyDescent="0.2">
      <c r="A4" s="3"/>
      <c r="B4" s="347" t="s">
        <v>137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-1376</v>
      </c>
      <c r="C6" s="11">
        <v>-2139</v>
      </c>
      <c r="D6" s="25">
        <f>+C6-B6</f>
        <v>-763</v>
      </c>
    </row>
    <row r="7" spans="1:13" x14ac:dyDescent="0.2">
      <c r="A7" s="10">
        <v>2</v>
      </c>
      <c r="B7" s="11">
        <v>-2054</v>
      </c>
      <c r="C7" s="11">
        <v>-2139</v>
      </c>
      <c r="D7" s="25">
        <f t="shared" ref="D7:D36" si="0">+C7-B7</f>
        <v>-85</v>
      </c>
    </row>
    <row r="8" spans="1:13" x14ac:dyDescent="0.2">
      <c r="A8" s="10">
        <v>3</v>
      </c>
      <c r="B8" s="11">
        <v>-664</v>
      </c>
      <c r="C8" s="11">
        <v>-2139</v>
      </c>
      <c r="D8" s="25">
        <f t="shared" si="0"/>
        <v>-1475</v>
      </c>
    </row>
    <row r="9" spans="1:13" x14ac:dyDescent="0.2">
      <c r="A9" s="10">
        <v>4</v>
      </c>
      <c r="B9" s="11">
        <v>-1983</v>
      </c>
      <c r="C9" s="11">
        <v>-2139</v>
      </c>
      <c r="D9" s="25">
        <f t="shared" si="0"/>
        <v>-156</v>
      </c>
    </row>
    <row r="10" spans="1:13" x14ac:dyDescent="0.2">
      <c r="A10" s="10">
        <v>5</v>
      </c>
      <c r="B10" s="11">
        <v>-1856</v>
      </c>
      <c r="C10" s="11">
        <v>-2139</v>
      </c>
      <c r="D10" s="25">
        <f t="shared" si="0"/>
        <v>-283</v>
      </c>
    </row>
    <row r="11" spans="1:13" x14ac:dyDescent="0.2">
      <c r="A11" s="10">
        <v>6</v>
      </c>
      <c r="B11" s="11">
        <v>-1043</v>
      </c>
      <c r="C11" s="11">
        <v>-2139</v>
      </c>
      <c r="D11" s="25">
        <f t="shared" si="0"/>
        <v>-1096</v>
      </c>
    </row>
    <row r="12" spans="1:13" x14ac:dyDescent="0.2">
      <c r="A12" s="10">
        <v>7</v>
      </c>
      <c r="B12" s="11"/>
      <c r="C12" s="11">
        <v>-438</v>
      </c>
      <c r="D12" s="25">
        <f t="shared" si="0"/>
        <v>-438</v>
      </c>
    </row>
    <row r="13" spans="1:13" x14ac:dyDescent="0.2">
      <c r="A13" s="10">
        <v>8</v>
      </c>
      <c r="B13" s="11"/>
      <c r="C13" s="11">
        <v>-438</v>
      </c>
      <c r="D13" s="25">
        <f t="shared" si="0"/>
        <v>-438</v>
      </c>
      <c r="H13" s="118"/>
      <c r="I13" s="34"/>
      <c r="J13" s="34"/>
      <c r="K13" s="189"/>
      <c r="L13" s="447" t="s">
        <v>194</v>
      </c>
      <c r="M13" s="189"/>
    </row>
    <row r="14" spans="1:13" x14ac:dyDescent="0.2">
      <c r="A14" s="10">
        <v>9</v>
      </c>
      <c r="B14" s="11"/>
      <c r="C14" s="11">
        <v>-438</v>
      </c>
      <c r="D14" s="25">
        <f t="shared" si="0"/>
        <v>-438</v>
      </c>
      <c r="H14" s="118" t="s">
        <v>40</v>
      </c>
      <c r="I14" s="448" t="s">
        <v>20</v>
      </c>
      <c r="J14" s="448" t="s">
        <v>21</v>
      </c>
      <c r="K14" s="449" t="s">
        <v>50</v>
      </c>
      <c r="L14" s="447" t="s">
        <v>16</v>
      </c>
      <c r="M14" s="189" t="s">
        <v>28</v>
      </c>
    </row>
    <row r="15" spans="1:13" x14ac:dyDescent="0.2">
      <c r="A15" s="10">
        <v>10</v>
      </c>
      <c r="B15" s="11"/>
      <c r="C15" s="11">
        <v>-438</v>
      </c>
      <c r="D15" s="25">
        <f t="shared" si="0"/>
        <v>-438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>
        <v>-438</v>
      </c>
      <c r="D16" s="25">
        <f t="shared" si="0"/>
        <v>-438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47">
        <v>8.2100000000000009</v>
      </c>
      <c r="M16" s="452">
        <f t="shared" ref="M16:M22" si="2">+L16*K16</f>
        <v>-148748.78000000003</v>
      </c>
    </row>
    <row r="17" spans="1:15" x14ac:dyDescent="0.2">
      <c r="A17" s="10">
        <v>12</v>
      </c>
      <c r="B17" s="11"/>
      <c r="C17" s="11">
        <v>-408</v>
      </c>
      <c r="D17" s="25">
        <f t="shared" si="0"/>
        <v>-408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47">
        <v>5.62</v>
      </c>
      <c r="M17" s="452">
        <f t="shared" si="2"/>
        <v>-91100.2</v>
      </c>
    </row>
    <row r="18" spans="1:15" x14ac:dyDescent="0.2">
      <c r="A18" s="10">
        <v>13</v>
      </c>
      <c r="B18" s="11"/>
      <c r="C18" s="11">
        <v>-1118</v>
      </c>
      <c r="D18" s="25">
        <f t="shared" si="0"/>
        <v>-1118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47">
        <v>4.9800000000000004</v>
      </c>
      <c r="M18" s="452">
        <f t="shared" si="2"/>
        <v>-118748.1</v>
      </c>
    </row>
    <row r="19" spans="1:15" x14ac:dyDescent="0.2">
      <c r="A19" s="10">
        <v>14</v>
      </c>
      <c r="B19" s="11"/>
      <c r="C19" s="11">
        <v>-346</v>
      </c>
      <c r="D19" s="25">
        <f t="shared" si="0"/>
        <v>-346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47">
        <v>4.87</v>
      </c>
      <c r="M19" s="452">
        <f t="shared" si="2"/>
        <v>63012.93</v>
      </c>
      <c r="O19" s="267"/>
    </row>
    <row r="20" spans="1:15" x14ac:dyDescent="0.2">
      <c r="A20" s="10">
        <v>15</v>
      </c>
      <c r="B20" s="11"/>
      <c r="C20" s="11">
        <v>-369</v>
      </c>
      <c r="D20" s="25">
        <f t="shared" si="0"/>
        <v>-369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47">
        <v>3.82</v>
      </c>
      <c r="M20" s="452">
        <f t="shared" si="2"/>
        <v>32531.119999999999</v>
      </c>
    </row>
    <row r="21" spans="1:15" x14ac:dyDescent="0.2">
      <c r="A21" s="10">
        <v>16</v>
      </c>
      <c r="B21" s="11"/>
      <c r="C21" s="11">
        <v>-339</v>
      </c>
      <c r="D21" s="25">
        <f t="shared" si="0"/>
        <v>-339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47">
        <v>3.2</v>
      </c>
      <c r="M21" s="452">
        <f t="shared" si="2"/>
        <v>-47644.800000000003</v>
      </c>
    </row>
    <row r="22" spans="1:15" x14ac:dyDescent="0.2">
      <c r="A22" s="10">
        <v>17</v>
      </c>
      <c r="B22" s="11"/>
      <c r="C22" s="11">
        <v>-370</v>
      </c>
      <c r="D22" s="25">
        <f t="shared" si="0"/>
        <v>-370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47">
        <v>2.77</v>
      </c>
      <c r="M22" s="453">
        <f t="shared" si="2"/>
        <v>-43139.98</v>
      </c>
    </row>
    <row r="23" spans="1:15" ht="13.5" thickBot="1" x14ac:dyDescent="0.25">
      <c r="A23" s="10">
        <v>18</v>
      </c>
      <c r="B23" s="11"/>
      <c r="C23" s="11">
        <v>-401</v>
      </c>
      <c r="D23" s="25">
        <f t="shared" si="0"/>
        <v>-401</v>
      </c>
      <c r="H23" s="34"/>
      <c r="I23" s="119"/>
      <c r="J23" s="119"/>
      <c r="K23" s="119"/>
      <c r="L23" s="450"/>
      <c r="M23" s="451">
        <f>SUM(M16:M22)</f>
        <v>-353837.81000000006</v>
      </c>
      <c r="O23" s="267"/>
    </row>
    <row r="24" spans="1:15" ht="13.5" thickTop="1" x14ac:dyDescent="0.2">
      <c r="A24" s="10">
        <v>19</v>
      </c>
      <c r="B24" s="11"/>
      <c r="C24" s="11">
        <v>-438</v>
      </c>
      <c r="D24" s="25">
        <f t="shared" si="0"/>
        <v>-438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>
        <v>-395</v>
      </c>
      <c r="D25" s="25">
        <f t="shared" si="0"/>
        <v>-395</v>
      </c>
    </row>
    <row r="26" spans="1:15" x14ac:dyDescent="0.2">
      <c r="A26" s="10">
        <v>21</v>
      </c>
      <c r="B26" s="11"/>
      <c r="C26" s="11">
        <v>-389</v>
      </c>
      <c r="D26" s="25">
        <f t="shared" si="0"/>
        <v>-389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>
        <v>-372</v>
      </c>
      <c r="D27" s="25">
        <f t="shared" si="0"/>
        <v>-372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-8976</v>
      </c>
      <c r="C37" s="11">
        <f>SUM(C6:C36)</f>
        <v>-19969</v>
      </c>
      <c r="D37" s="25">
        <f>SUM(D6:D36)</f>
        <v>-10993</v>
      </c>
    </row>
    <row r="38" spans="1:4" x14ac:dyDescent="0.2">
      <c r="A38" s="26"/>
      <c r="C38" s="14"/>
      <c r="D38" s="345">
        <f>+summary!H4</f>
        <v>1.96</v>
      </c>
    </row>
    <row r="39" spans="1:4" x14ac:dyDescent="0.2">
      <c r="D39" s="138">
        <f>+D38*D37</f>
        <v>-21546.28</v>
      </c>
    </row>
    <row r="40" spans="1:4" x14ac:dyDescent="0.2">
      <c r="A40" s="57">
        <v>37134</v>
      </c>
      <c r="C40" s="15"/>
      <c r="D40" s="480">
        <v>-421481.58</v>
      </c>
    </row>
    <row r="41" spans="1:4" x14ac:dyDescent="0.2">
      <c r="A41" s="57">
        <v>37156</v>
      </c>
      <c r="C41" s="48"/>
      <c r="D41" s="138">
        <f>+D40+D39</f>
        <v>-443027.86</v>
      </c>
    </row>
    <row r="47" spans="1:4" x14ac:dyDescent="0.2">
      <c r="A47" s="32" t="s">
        <v>154</v>
      </c>
      <c r="B47" s="32"/>
      <c r="C47" s="32"/>
      <c r="D47" s="32"/>
    </row>
    <row r="48" spans="1:4" x14ac:dyDescent="0.2">
      <c r="A48" s="49">
        <f>+A40</f>
        <v>37134</v>
      </c>
      <c r="B48" s="32"/>
      <c r="C48" s="32"/>
      <c r="D48" s="474">
        <v>-77754</v>
      </c>
    </row>
    <row r="49" spans="1:4" x14ac:dyDescent="0.2">
      <c r="A49" s="49">
        <f>+A41</f>
        <v>37156</v>
      </c>
      <c r="B49" s="32"/>
      <c r="C49" s="32"/>
      <c r="D49" s="376">
        <f>+D37</f>
        <v>-10993</v>
      </c>
    </row>
    <row r="50" spans="1:4" x14ac:dyDescent="0.2">
      <c r="A50" s="32"/>
      <c r="B50" s="32"/>
      <c r="C50" s="32"/>
      <c r="D50" s="14">
        <f>+D49+D48</f>
        <v>-88747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7" workbookViewId="3">
      <selection activeCell="C29" sqref="C2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142</v>
      </c>
      <c r="C3" s="87"/>
      <c r="D3" s="87"/>
    </row>
    <row r="4" spans="1:4" x14ac:dyDescent="0.2">
      <c r="A4" s="3"/>
      <c r="B4" s="347" t="s">
        <v>139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-98383</v>
      </c>
      <c r="C6" s="11">
        <v>-75000</v>
      </c>
      <c r="D6" s="25">
        <f>+C6-B6</f>
        <v>23383</v>
      </c>
    </row>
    <row r="7" spans="1:4" x14ac:dyDescent="0.2">
      <c r="A7" s="10">
        <v>2</v>
      </c>
      <c r="B7" s="11">
        <v>-98232</v>
      </c>
      <c r="C7" s="11">
        <v>-95000</v>
      </c>
      <c r="D7" s="25">
        <f t="shared" ref="D7:D36" si="0">+C7-B7</f>
        <v>3232</v>
      </c>
    </row>
    <row r="8" spans="1:4" x14ac:dyDescent="0.2">
      <c r="A8" s="10">
        <v>3</v>
      </c>
      <c r="B8" s="11">
        <v>-47152</v>
      </c>
      <c r="C8" s="11">
        <v>-38250</v>
      </c>
      <c r="D8" s="25">
        <f t="shared" si="0"/>
        <v>8902</v>
      </c>
    </row>
    <row r="9" spans="1:4" x14ac:dyDescent="0.2">
      <c r="A9" s="10">
        <v>4</v>
      </c>
      <c r="B9" s="108">
        <v>-5</v>
      </c>
      <c r="C9" s="11">
        <v>-5000</v>
      </c>
      <c r="D9" s="25">
        <f t="shared" si="0"/>
        <v>-4995</v>
      </c>
    </row>
    <row r="10" spans="1:4" x14ac:dyDescent="0.2">
      <c r="A10" s="10">
        <v>5</v>
      </c>
      <c r="B10" s="108">
        <v>-31</v>
      </c>
      <c r="C10" s="11"/>
      <c r="D10" s="25">
        <f t="shared" si="0"/>
        <v>31</v>
      </c>
    </row>
    <row r="11" spans="1:4" x14ac:dyDescent="0.2">
      <c r="A11" s="10">
        <v>6</v>
      </c>
      <c r="B11" s="108">
        <v>0</v>
      </c>
      <c r="C11" s="11"/>
      <c r="D11" s="25">
        <f t="shared" si="0"/>
        <v>0</v>
      </c>
    </row>
    <row r="12" spans="1:4" x14ac:dyDescent="0.2">
      <c r="A12" s="10">
        <v>7</v>
      </c>
      <c r="B12" s="11">
        <v>-3</v>
      </c>
      <c r="C12" s="11"/>
      <c r="D12" s="25">
        <f t="shared" si="0"/>
        <v>3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>
        <v>-91</v>
      </c>
      <c r="C17" s="11"/>
      <c r="D17" s="25">
        <f t="shared" si="0"/>
        <v>91</v>
      </c>
    </row>
    <row r="18" spans="1:4" x14ac:dyDescent="0.2">
      <c r="A18" s="10">
        <v>13</v>
      </c>
      <c r="B18" s="11">
        <v>-262</v>
      </c>
      <c r="C18" s="11"/>
      <c r="D18" s="25">
        <f t="shared" si="0"/>
        <v>262</v>
      </c>
    </row>
    <row r="19" spans="1:4" x14ac:dyDescent="0.2">
      <c r="A19" s="10">
        <v>14</v>
      </c>
      <c r="B19" s="11">
        <v>-50241</v>
      </c>
      <c r="C19" s="11">
        <v>-34991</v>
      </c>
      <c r="D19" s="25">
        <f t="shared" si="0"/>
        <v>15250</v>
      </c>
    </row>
    <row r="20" spans="1:4" x14ac:dyDescent="0.2">
      <c r="A20" s="10">
        <v>15</v>
      </c>
      <c r="B20" s="11">
        <v>-73751</v>
      </c>
      <c r="C20" s="11">
        <v>-59903</v>
      </c>
      <c r="D20" s="25">
        <f t="shared" si="0"/>
        <v>13848</v>
      </c>
    </row>
    <row r="21" spans="1:4" x14ac:dyDescent="0.2">
      <c r="A21" s="10">
        <v>16</v>
      </c>
      <c r="B21" s="11">
        <v>-45049</v>
      </c>
      <c r="C21" s="11">
        <v>-40078</v>
      </c>
      <c r="D21" s="25">
        <f t="shared" si="0"/>
        <v>4971</v>
      </c>
    </row>
    <row r="22" spans="1:4" x14ac:dyDescent="0.2">
      <c r="A22" s="10">
        <v>17</v>
      </c>
      <c r="B22" s="11">
        <v>-39119</v>
      </c>
      <c r="C22" s="11">
        <v>-40422</v>
      </c>
      <c r="D22" s="25">
        <f t="shared" si="0"/>
        <v>-1303</v>
      </c>
    </row>
    <row r="23" spans="1:4" x14ac:dyDescent="0.2">
      <c r="A23" s="10">
        <v>18</v>
      </c>
      <c r="B23" s="11">
        <v>-39192</v>
      </c>
      <c r="C23" s="11">
        <v>-38093</v>
      </c>
      <c r="D23" s="25">
        <f t="shared" si="0"/>
        <v>1099</v>
      </c>
    </row>
    <row r="24" spans="1:4" x14ac:dyDescent="0.2">
      <c r="A24" s="10">
        <v>19</v>
      </c>
      <c r="B24" s="11">
        <v>-44852</v>
      </c>
      <c r="C24" s="11">
        <v>-44880</v>
      </c>
      <c r="D24" s="25">
        <f t="shared" si="0"/>
        <v>-28</v>
      </c>
    </row>
    <row r="25" spans="1:4" x14ac:dyDescent="0.2">
      <c r="A25" s="10">
        <v>20</v>
      </c>
      <c r="B25" s="11">
        <v>-1559</v>
      </c>
      <c r="C25" s="11">
        <v>-8068</v>
      </c>
      <c r="D25" s="25">
        <f t="shared" si="0"/>
        <v>-6509</v>
      </c>
    </row>
    <row r="26" spans="1:4" x14ac:dyDescent="0.2">
      <c r="A26" s="10">
        <v>21</v>
      </c>
      <c r="B26" s="11"/>
      <c r="C26" s="11">
        <v>-6446</v>
      </c>
      <c r="D26" s="25">
        <f t="shared" si="0"/>
        <v>-6446</v>
      </c>
    </row>
    <row r="27" spans="1:4" x14ac:dyDescent="0.2">
      <c r="A27" s="10">
        <v>22</v>
      </c>
      <c r="B27" s="11">
        <v>-2549</v>
      </c>
      <c r="C27" s="11"/>
      <c r="D27" s="25">
        <f t="shared" si="0"/>
        <v>2549</v>
      </c>
    </row>
    <row r="28" spans="1:4" x14ac:dyDescent="0.2">
      <c r="A28" s="10">
        <v>23</v>
      </c>
      <c r="B28" s="11">
        <v>-52440</v>
      </c>
      <c r="C28" s="11">
        <v>-47868</v>
      </c>
      <c r="D28" s="25">
        <f t="shared" si="0"/>
        <v>4572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-592911</v>
      </c>
      <c r="C37" s="11">
        <f>SUM(C6:C36)</f>
        <v>-533999</v>
      </c>
      <c r="D37" s="25">
        <f>SUM(D6:D36)</f>
        <v>58912</v>
      </c>
    </row>
    <row r="38" spans="1:4" x14ac:dyDescent="0.2">
      <c r="A38" s="26"/>
      <c r="C38" s="14"/>
      <c r="D38" s="345">
        <f>+summary!H4</f>
        <v>1.96</v>
      </c>
    </row>
    <row r="39" spans="1:4" x14ac:dyDescent="0.2">
      <c r="D39" s="138">
        <f>+D38*D37</f>
        <v>115467.52</v>
      </c>
    </row>
    <row r="40" spans="1:4" x14ac:dyDescent="0.2">
      <c r="A40" s="57">
        <v>37134</v>
      </c>
      <c r="C40" s="15"/>
      <c r="D40" s="359">
        <v>-173605</v>
      </c>
    </row>
    <row r="41" spans="1:4" x14ac:dyDescent="0.2">
      <c r="A41" s="57">
        <v>37157</v>
      </c>
      <c r="C41" s="48"/>
      <c r="D41" s="138">
        <f>+D40+D39</f>
        <v>-58137.479999999996</v>
      </c>
    </row>
    <row r="42" spans="1:4" x14ac:dyDescent="0.2">
      <c r="D42" s="24"/>
    </row>
    <row r="45" spans="1:4" x14ac:dyDescent="0.2">
      <c r="A45" s="32" t="s">
        <v>154</v>
      </c>
      <c r="B45" s="32"/>
      <c r="C45" s="32"/>
      <c r="D45" s="32"/>
    </row>
    <row r="46" spans="1:4" x14ac:dyDescent="0.2">
      <c r="A46" s="49">
        <f>+A40</f>
        <v>37134</v>
      </c>
      <c r="B46" s="32"/>
      <c r="C46" s="32"/>
      <c r="D46" s="212">
        <v>-86184</v>
      </c>
    </row>
    <row r="47" spans="1:4" x14ac:dyDescent="0.2">
      <c r="A47" s="49">
        <f>+A41</f>
        <v>37157</v>
      </c>
      <c r="B47" s="32"/>
      <c r="C47" s="32"/>
      <c r="D47" s="376">
        <f>+D37</f>
        <v>58912</v>
      </c>
    </row>
    <row r="48" spans="1:4" x14ac:dyDescent="0.2">
      <c r="A48" s="32"/>
      <c r="B48" s="32"/>
      <c r="C48" s="32"/>
      <c r="D48" s="14">
        <f>+D47+D46</f>
        <v>-27272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abSelected="1" topLeftCell="A2"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138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50</v>
      </c>
    </row>
    <row r="5" spans="1:13" x14ac:dyDescent="0.2">
      <c r="A5" s="87">
        <v>56659</v>
      </c>
      <c r="B5" s="342">
        <v>-23994</v>
      </c>
      <c r="C5" s="90">
        <v>-2772</v>
      </c>
      <c r="D5" s="90">
        <f>+C5-B5</f>
        <v>21222</v>
      </c>
      <c r="E5" s="285"/>
      <c r="F5" s="283"/>
    </row>
    <row r="6" spans="1:13" x14ac:dyDescent="0.2">
      <c r="A6" s="87">
        <v>500046</v>
      </c>
      <c r="B6" s="90">
        <v>-307</v>
      </c>
      <c r="C6" s="90"/>
      <c r="D6" s="90">
        <f t="shared" ref="D6:D11" si="0">+C6-B6</f>
        <v>307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>
        <v>-52988</v>
      </c>
      <c r="C8" s="90"/>
      <c r="D8" s="90">
        <f t="shared" si="0"/>
        <v>52988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74517</v>
      </c>
      <c r="E12" s="285"/>
      <c r="F12" s="283"/>
    </row>
    <row r="13" spans="1:13" x14ac:dyDescent="0.2">
      <c r="A13" s="87" t="s">
        <v>82</v>
      </c>
      <c r="B13" s="88"/>
      <c r="C13" s="88"/>
      <c r="D13" s="95">
        <f>+summary!H4</f>
        <v>1.96</v>
      </c>
      <c r="E13" s="287"/>
      <c r="F13" s="283"/>
    </row>
    <row r="14" spans="1:13" x14ac:dyDescent="0.2">
      <c r="A14" s="87"/>
      <c r="B14" s="88"/>
      <c r="C14" s="88"/>
      <c r="D14" s="96">
        <f>+D13*D12</f>
        <v>146053.32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37134</v>
      </c>
      <c r="B16" s="88"/>
      <c r="C16" s="88"/>
      <c r="D16" s="437">
        <v>-757792.37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37156</v>
      </c>
      <c r="B18" s="88"/>
      <c r="C18" s="88"/>
      <c r="D18" s="334">
        <f>+D16+D14</f>
        <v>-611739.05000000005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154</v>
      </c>
      <c r="B21" s="32"/>
      <c r="C21" s="32"/>
      <c r="D21" s="32"/>
    </row>
    <row r="22" spans="1:7" x14ac:dyDescent="0.2">
      <c r="A22" s="49">
        <f>+A16</f>
        <v>37134</v>
      </c>
      <c r="B22" s="32"/>
      <c r="C22" s="32"/>
      <c r="D22" s="212">
        <v>-152176</v>
      </c>
    </row>
    <row r="23" spans="1:7" x14ac:dyDescent="0.2">
      <c r="A23" s="49">
        <f>+A18</f>
        <v>37156</v>
      </c>
      <c r="B23" s="32"/>
      <c r="C23" s="32"/>
      <c r="D23" s="376">
        <f>+D12</f>
        <v>74517</v>
      </c>
    </row>
    <row r="24" spans="1:7" x14ac:dyDescent="0.2">
      <c r="A24" s="32"/>
      <c r="B24" s="32"/>
      <c r="C24" s="32"/>
      <c r="D24" s="14">
        <f>+D23+D22</f>
        <v>-77659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17" workbookViewId="3">
      <selection activeCell="C29" sqref="C29"/>
    </sheetView>
  </sheetViews>
  <sheetFormatPr defaultRowHeight="12.75" x14ac:dyDescent="0.2"/>
  <sheetData>
    <row r="3" spans="1:4" ht="15" x14ac:dyDescent="0.25">
      <c r="A3" s="134"/>
      <c r="B3" s="34" t="s">
        <v>144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-33502</v>
      </c>
      <c r="C6" s="11">
        <v>-30000</v>
      </c>
      <c r="D6" s="25">
        <f>+C6-B6</f>
        <v>3502</v>
      </c>
    </row>
    <row r="7" spans="1:4" x14ac:dyDescent="0.2">
      <c r="A7" s="10">
        <v>2</v>
      </c>
      <c r="B7" s="11">
        <v>-33521</v>
      </c>
      <c r="C7" s="11">
        <v>-30000</v>
      </c>
      <c r="D7" s="25">
        <f t="shared" ref="D7:D36" si="0">+C7-B7</f>
        <v>3521</v>
      </c>
    </row>
    <row r="8" spans="1:4" x14ac:dyDescent="0.2">
      <c r="A8" s="10">
        <v>3</v>
      </c>
      <c r="B8" s="11">
        <v>-33529</v>
      </c>
      <c r="C8" s="11">
        <v>-30000</v>
      </c>
      <c r="D8" s="25">
        <f t="shared" si="0"/>
        <v>3529</v>
      </c>
    </row>
    <row r="9" spans="1:4" x14ac:dyDescent="0.2">
      <c r="A9" s="10">
        <v>4</v>
      </c>
      <c r="B9" s="11">
        <v>-33511</v>
      </c>
      <c r="C9" s="11">
        <v>-30000</v>
      </c>
      <c r="D9" s="25">
        <f t="shared" si="0"/>
        <v>3511</v>
      </c>
    </row>
    <row r="10" spans="1:4" x14ac:dyDescent="0.2">
      <c r="A10" s="10">
        <v>5</v>
      </c>
      <c r="B10" s="11">
        <v>-11993</v>
      </c>
      <c r="C10" s="11">
        <v>-15000</v>
      </c>
      <c r="D10" s="25">
        <f t="shared" si="0"/>
        <v>-3007</v>
      </c>
    </row>
    <row r="11" spans="1:4" x14ac:dyDescent="0.2">
      <c r="A11" s="10">
        <v>6</v>
      </c>
      <c r="B11" s="11">
        <v>-38711</v>
      </c>
      <c r="C11" s="11">
        <v>-31073</v>
      </c>
      <c r="D11" s="25">
        <f t="shared" si="0"/>
        <v>7638</v>
      </c>
    </row>
    <row r="12" spans="1:4" x14ac:dyDescent="0.2">
      <c r="A12" s="10">
        <v>7</v>
      </c>
      <c r="B12" s="11">
        <v>-28581</v>
      </c>
      <c r="C12" s="11">
        <v>-25328</v>
      </c>
      <c r="D12" s="25">
        <f t="shared" si="0"/>
        <v>3253</v>
      </c>
    </row>
    <row r="13" spans="1:4" x14ac:dyDescent="0.2">
      <c r="A13" s="10">
        <v>8</v>
      </c>
      <c r="B13" s="11">
        <v>-22482</v>
      </c>
      <c r="C13" s="11">
        <v>-16116</v>
      </c>
      <c r="D13" s="25">
        <f t="shared" si="0"/>
        <v>6366</v>
      </c>
    </row>
    <row r="14" spans="1:4" x14ac:dyDescent="0.2">
      <c r="A14" s="10">
        <v>9</v>
      </c>
      <c r="B14" s="11">
        <v>-24134</v>
      </c>
      <c r="C14" s="11">
        <v>-16116</v>
      </c>
      <c r="D14" s="25">
        <f t="shared" si="0"/>
        <v>8018</v>
      </c>
    </row>
    <row r="15" spans="1:4" x14ac:dyDescent="0.2">
      <c r="A15" s="10">
        <v>10</v>
      </c>
      <c r="B15" s="11">
        <v>-9103</v>
      </c>
      <c r="C15" s="11">
        <v>-16116</v>
      </c>
      <c r="D15" s="25">
        <f t="shared" si="0"/>
        <v>-7013</v>
      </c>
    </row>
    <row r="16" spans="1:4" x14ac:dyDescent="0.2">
      <c r="A16" s="10">
        <v>11</v>
      </c>
      <c r="B16" s="11">
        <v>-32225</v>
      </c>
      <c r="C16" s="11">
        <v>-45000</v>
      </c>
      <c r="D16" s="25">
        <f t="shared" si="0"/>
        <v>-12775</v>
      </c>
    </row>
    <row r="17" spans="1:4" x14ac:dyDescent="0.2">
      <c r="A17" s="10">
        <v>12</v>
      </c>
      <c r="B17" s="11">
        <v>-1792</v>
      </c>
      <c r="C17" s="11">
        <v>-4107</v>
      </c>
      <c r="D17" s="25">
        <f t="shared" si="0"/>
        <v>-2315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>
        <v>-33335</v>
      </c>
      <c r="C19" s="11">
        <v>-35000</v>
      </c>
      <c r="D19" s="25">
        <f t="shared" si="0"/>
        <v>-1665</v>
      </c>
    </row>
    <row r="20" spans="1:4" x14ac:dyDescent="0.2">
      <c r="A20" s="10">
        <v>15</v>
      </c>
      <c r="B20" s="11">
        <v>-54147</v>
      </c>
      <c r="C20" s="11">
        <v>-54808</v>
      </c>
      <c r="D20" s="25">
        <f t="shared" si="0"/>
        <v>-661</v>
      </c>
    </row>
    <row r="21" spans="1:4" x14ac:dyDescent="0.2">
      <c r="A21" s="10">
        <v>16</v>
      </c>
      <c r="B21" s="11">
        <v>-55561</v>
      </c>
      <c r="C21" s="11">
        <v>-54808</v>
      </c>
      <c r="D21" s="25">
        <f t="shared" si="0"/>
        <v>753</v>
      </c>
    </row>
    <row r="22" spans="1:4" x14ac:dyDescent="0.2">
      <c r="A22" s="10">
        <v>17</v>
      </c>
      <c r="B22" s="11">
        <v>-55426</v>
      </c>
      <c r="C22" s="11">
        <v>-54808</v>
      </c>
      <c r="D22" s="25">
        <f t="shared" si="0"/>
        <v>618</v>
      </c>
    </row>
    <row r="23" spans="1:4" x14ac:dyDescent="0.2">
      <c r="A23" s="10">
        <v>18</v>
      </c>
      <c r="B23" s="11">
        <v>-27554</v>
      </c>
      <c r="C23" s="11">
        <v>-29000</v>
      </c>
      <c r="D23" s="25">
        <f t="shared" si="0"/>
        <v>-1446</v>
      </c>
    </row>
    <row r="24" spans="1:4" x14ac:dyDescent="0.2">
      <c r="A24" s="10">
        <v>19</v>
      </c>
      <c r="B24" s="11">
        <v>-10686</v>
      </c>
      <c r="C24" s="11">
        <v>-15000</v>
      </c>
      <c r="D24" s="25">
        <f t="shared" si="0"/>
        <v>-4314</v>
      </c>
    </row>
    <row r="25" spans="1:4" x14ac:dyDescent="0.2">
      <c r="A25" s="10">
        <v>20</v>
      </c>
      <c r="B25" s="11">
        <v>-21722</v>
      </c>
      <c r="C25" s="11">
        <v>-53000</v>
      </c>
      <c r="D25" s="25">
        <f t="shared" si="0"/>
        <v>-31278</v>
      </c>
    </row>
    <row r="26" spans="1:4" x14ac:dyDescent="0.2">
      <c r="A26" s="10">
        <v>21</v>
      </c>
      <c r="B26" s="11">
        <v>-52173</v>
      </c>
      <c r="C26" s="11">
        <v>-66199</v>
      </c>
      <c r="D26" s="25">
        <f t="shared" si="0"/>
        <v>-14026</v>
      </c>
    </row>
    <row r="27" spans="1:4" x14ac:dyDescent="0.2">
      <c r="A27" s="10">
        <v>22</v>
      </c>
      <c r="B27" s="11">
        <v>-62636</v>
      </c>
      <c r="C27" s="11">
        <v>-80000</v>
      </c>
      <c r="D27" s="25">
        <f t="shared" si="0"/>
        <v>-17364</v>
      </c>
    </row>
    <row r="28" spans="1:4" x14ac:dyDescent="0.2">
      <c r="A28" s="10">
        <v>23</v>
      </c>
      <c r="B28" s="11">
        <v>-70786</v>
      </c>
      <c r="C28" s="11">
        <v>-74560</v>
      </c>
      <c r="D28" s="25">
        <f t="shared" si="0"/>
        <v>-3774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-747110</v>
      </c>
      <c r="C37" s="11">
        <f>SUM(C6:C36)</f>
        <v>-806039</v>
      </c>
      <c r="D37" s="25">
        <f>SUM(D6:D36)</f>
        <v>-58929</v>
      </c>
    </row>
    <row r="38" spans="1:4" x14ac:dyDescent="0.2">
      <c r="A38" s="26"/>
      <c r="C38" s="14"/>
      <c r="D38" s="360"/>
    </row>
    <row r="39" spans="1:4" x14ac:dyDescent="0.2">
      <c r="D39" s="138"/>
    </row>
    <row r="40" spans="1:4" x14ac:dyDescent="0.2">
      <c r="A40" s="57">
        <v>37134</v>
      </c>
      <c r="C40" s="15"/>
      <c r="D40" s="465">
        <v>48988</v>
      </c>
    </row>
    <row r="41" spans="1:4" x14ac:dyDescent="0.2">
      <c r="A41" s="57">
        <v>37156</v>
      </c>
      <c r="C41" s="48"/>
      <c r="D41" s="25">
        <f>+D40+D37</f>
        <v>-9941</v>
      </c>
    </row>
    <row r="44" spans="1:4" x14ac:dyDescent="0.2">
      <c r="A44" s="32" t="s">
        <v>155</v>
      </c>
      <c r="B44" s="32"/>
      <c r="C44" s="32"/>
      <c r="D44" s="47"/>
    </row>
    <row r="45" spans="1:4" x14ac:dyDescent="0.2">
      <c r="A45" s="49">
        <f>+A40</f>
        <v>37134</v>
      </c>
      <c r="B45" s="32"/>
      <c r="C45" s="32"/>
      <c r="D45" s="466">
        <v>265496.81</v>
      </c>
    </row>
    <row r="46" spans="1:4" x14ac:dyDescent="0.2">
      <c r="A46" s="49">
        <f>+A41</f>
        <v>37156</v>
      </c>
      <c r="B46" s="32"/>
      <c r="C46" s="32"/>
      <c r="D46" s="405">
        <f>+D37*'by type_area'!J4</f>
        <v>-115500.84</v>
      </c>
    </row>
    <row r="47" spans="1:4" x14ac:dyDescent="0.2">
      <c r="A47" s="32"/>
      <c r="B47" s="32"/>
      <c r="C47" s="32"/>
      <c r="D47" s="202">
        <f>+D46+D45</f>
        <v>149995.97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32" workbookViewId="3">
      <selection activeCell="A51" sqref="A51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138938</v>
      </c>
      <c r="C7" s="11">
        <v>139223</v>
      </c>
      <c r="D7" s="25">
        <f>+C7-B7</f>
        <v>285</v>
      </c>
    </row>
    <row r="8" spans="1:4" x14ac:dyDescent="0.2">
      <c r="A8" s="10">
        <v>2</v>
      </c>
      <c r="B8" s="11">
        <v>155682</v>
      </c>
      <c r="C8" s="11">
        <v>154223</v>
      </c>
      <c r="D8" s="25">
        <f>+C8-B8</f>
        <v>-1459</v>
      </c>
    </row>
    <row r="9" spans="1:4" x14ac:dyDescent="0.2">
      <c r="A9" s="10">
        <v>3</v>
      </c>
      <c r="B9" s="11">
        <v>147918</v>
      </c>
      <c r="C9" s="11">
        <v>148033</v>
      </c>
      <c r="D9" s="25">
        <f t="shared" ref="D9:D37" si="0">+C9-B9</f>
        <v>115</v>
      </c>
    </row>
    <row r="10" spans="1:4" x14ac:dyDescent="0.2">
      <c r="A10" s="10">
        <v>4</v>
      </c>
      <c r="B10" s="11">
        <v>149888</v>
      </c>
      <c r="C10" s="11">
        <v>152957</v>
      </c>
      <c r="D10" s="25">
        <f t="shared" si="0"/>
        <v>3069</v>
      </c>
    </row>
    <row r="11" spans="1:4" x14ac:dyDescent="0.2">
      <c r="A11" s="10">
        <v>5</v>
      </c>
      <c r="B11" s="129">
        <v>124579</v>
      </c>
      <c r="C11" s="11">
        <v>124223</v>
      </c>
      <c r="D11" s="25">
        <f t="shared" si="0"/>
        <v>-356</v>
      </c>
    </row>
    <row r="12" spans="1:4" x14ac:dyDescent="0.2">
      <c r="A12" s="10">
        <v>6</v>
      </c>
      <c r="B12" s="11">
        <v>124012</v>
      </c>
      <c r="C12" s="11">
        <v>124223</v>
      </c>
      <c r="D12" s="25">
        <f t="shared" si="0"/>
        <v>211</v>
      </c>
    </row>
    <row r="13" spans="1:4" x14ac:dyDescent="0.2">
      <c r="A13" s="10">
        <v>7</v>
      </c>
      <c r="B13" s="129">
        <v>151138</v>
      </c>
      <c r="C13" s="11">
        <v>157505</v>
      </c>
      <c r="D13" s="25">
        <f t="shared" si="0"/>
        <v>6367</v>
      </c>
    </row>
    <row r="14" spans="1:4" x14ac:dyDescent="0.2">
      <c r="A14" s="10">
        <v>8</v>
      </c>
      <c r="B14" s="11">
        <v>131748</v>
      </c>
      <c r="C14" s="11">
        <v>131556</v>
      </c>
      <c r="D14" s="25">
        <f t="shared" si="0"/>
        <v>-192</v>
      </c>
    </row>
    <row r="15" spans="1:4" x14ac:dyDescent="0.2">
      <c r="A15" s="10">
        <v>9</v>
      </c>
      <c r="B15" s="11">
        <v>130001</v>
      </c>
      <c r="C15" s="11">
        <v>129381</v>
      </c>
      <c r="D15" s="25">
        <f t="shared" si="0"/>
        <v>-620</v>
      </c>
    </row>
    <row r="16" spans="1:4" x14ac:dyDescent="0.2">
      <c r="A16" s="10">
        <v>10</v>
      </c>
      <c r="B16" s="11">
        <v>134993</v>
      </c>
      <c r="C16" s="11">
        <v>134783</v>
      </c>
      <c r="D16" s="25">
        <f t="shared" si="0"/>
        <v>-210</v>
      </c>
    </row>
    <row r="17" spans="1:4" x14ac:dyDescent="0.2">
      <c r="A17" s="10">
        <v>11</v>
      </c>
      <c r="B17" s="11">
        <v>113234</v>
      </c>
      <c r="C17" s="11">
        <v>109304</v>
      </c>
      <c r="D17" s="25">
        <f t="shared" si="0"/>
        <v>-3930</v>
      </c>
    </row>
    <row r="18" spans="1:4" x14ac:dyDescent="0.2">
      <c r="A18" s="10">
        <v>12</v>
      </c>
      <c r="B18" s="11">
        <v>97640</v>
      </c>
      <c r="C18" s="11">
        <v>97712</v>
      </c>
      <c r="D18" s="25">
        <f t="shared" si="0"/>
        <v>72</v>
      </c>
    </row>
    <row r="19" spans="1:4" x14ac:dyDescent="0.2">
      <c r="A19" s="10">
        <v>13</v>
      </c>
      <c r="B19" s="11">
        <v>139297</v>
      </c>
      <c r="C19" s="11">
        <v>139125</v>
      </c>
      <c r="D19" s="25">
        <f t="shared" si="0"/>
        <v>-172</v>
      </c>
    </row>
    <row r="20" spans="1:4" x14ac:dyDescent="0.2">
      <c r="A20" s="10">
        <v>14</v>
      </c>
      <c r="B20" s="11">
        <v>88405</v>
      </c>
      <c r="C20" s="11">
        <v>88165</v>
      </c>
      <c r="D20" s="25">
        <f t="shared" si="0"/>
        <v>-240</v>
      </c>
    </row>
    <row r="21" spans="1:4" x14ac:dyDescent="0.2">
      <c r="A21" s="10">
        <v>15</v>
      </c>
      <c r="B21" s="11">
        <v>85109</v>
      </c>
      <c r="C21" s="11">
        <v>84988</v>
      </c>
      <c r="D21" s="25">
        <f t="shared" si="0"/>
        <v>-121</v>
      </c>
    </row>
    <row r="22" spans="1:4" x14ac:dyDescent="0.2">
      <c r="A22" s="10">
        <v>16</v>
      </c>
      <c r="B22" s="11">
        <v>112497</v>
      </c>
      <c r="C22" s="11">
        <v>112104</v>
      </c>
      <c r="D22" s="25">
        <f t="shared" si="0"/>
        <v>-393</v>
      </c>
    </row>
    <row r="23" spans="1:4" x14ac:dyDescent="0.2">
      <c r="A23" s="10">
        <v>17</v>
      </c>
      <c r="B23" s="11">
        <v>137155</v>
      </c>
      <c r="C23" s="11">
        <v>137134</v>
      </c>
      <c r="D23" s="25">
        <f t="shared" si="0"/>
        <v>-21</v>
      </c>
    </row>
    <row r="24" spans="1:4" x14ac:dyDescent="0.2">
      <c r="A24" s="10">
        <v>18</v>
      </c>
      <c r="B24" s="11">
        <v>120866</v>
      </c>
      <c r="C24" s="11">
        <v>120501</v>
      </c>
      <c r="D24" s="25">
        <f t="shared" si="0"/>
        <v>-365</v>
      </c>
    </row>
    <row r="25" spans="1:4" x14ac:dyDescent="0.2">
      <c r="A25" s="10">
        <v>19</v>
      </c>
      <c r="B25" s="11">
        <v>149368</v>
      </c>
      <c r="C25" s="11">
        <v>149005</v>
      </c>
      <c r="D25" s="25">
        <f t="shared" si="0"/>
        <v>-363</v>
      </c>
    </row>
    <row r="26" spans="1:4" x14ac:dyDescent="0.2">
      <c r="A26" s="10">
        <v>20</v>
      </c>
      <c r="B26" s="11">
        <v>130710</v>
      </c>
      <c r="C26" s="11">
        <v>130966</v>
      </c>
      <c r="D26" s="25">
        <f t="shared" si="0"/>
        <v>256</v>
      </c>
    </row>
    <row r="27" spans="1:4" x14ac:dyDescent="0.2">
      <c r="A27" s="10">
        <v>21</v>
      </c>
      <c r="B27" s="11">
        <v>114908</v>
      </c>
      <c r="C27" s="11">
        <v>114891</v>
      </c>
      <c r="D27" s="25">
        <f t="shared" si="0"/>
        <v>-17</v>
      </c>
    </row>
    <row r="28" spans="1:4" x14ac:dyDescent="0.2">
      <c r="A28" s="10">
        <v>22</v>
      </c>
      <c r="B28" s="11">
        <v>90162</v>
      </c>
      <c r="C28" s="11">
        <v>90283</v>
      </c>
      <c r="D28" s="25">
        <f t="shared" si="0"/>
        <v>121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2768248</v>
      </c>
      <c r="C38" s="11">
        <f>SUM(C7:C37)</f>
        <v>2770285</v>
      </c>
      <c r="D38" s="11">
        <f>SUM(D7:D37)</f>
        <v>2037</v>
      </c>
    </row>
    <row r="39" spans="1:4" x14ac:dyDescent="0.2">
      <c r="A39" s="26"/>
      <c r="C39" s="14"/>
      <c r="D39" s="106">
        <f>+summary!H3</f>
        <v>1.82</v>
      </c>
    </row>
    <row r="40" spans="1:4" x14ac:dyDescent="0.2">
      <c r="D40" s="138">
        <f>+D39*D38</f>
        <v>3707.34</v>
      </c>
    </row>
    <row r="41" spans="1:4" x14ac:dyDescent="0.2">
      <c r="A41" s="57">
        <v>37134</v>
      </c>
      <c r="C41" s="15"/>
      <c r="D41" s="368">
        <v>0</v>
      </c>
    </row>
    <row r="42" spans="1:4" x14ac:dyDescent="0.2">
      <c r="A42" s="57">
        <v>37156</v>
      </c>
      <c r="D42" s="337">
        <f>+D41+D40</f>
        <v>3707.34</v>
      </c>
    </row>
    <row r="46" spans="1:4" x14ac:dyDescent="0.2">
      <c r="A46" s="32" t="s">
        <v>154</v>
      </c>
      <c r="B46" s="32"/>
      <c r="C46" s="32"/>
      <c r="D46" s="32"/>
    </row>
    <row r="47" spans="1:4" x14ac:dyDescent="0.2">
      <c r="A47" s="49">
        <f>+A41</f>
        <v>37134</v>
      </c>
      <c r="B47" s="32"/>
      <c r="C47" s="32"/>
      <c r="D47" s="212">
        <v>0</v>
      </c>
    </row>
    <row r="48" spans="1:4" x14ac:dyDescent="0.2">
      <c r="A48" s="49">
        <f>+A42</f>
        <v>37156</v>
      </c>
      <c r="B48" s="32"/>
      <c r="C48" s="32"/>
      <c r="D48" s="376">
        <f>+D38</f>
        <v>2037</v>
      </c>
    </row>
    <row r="49" spans="1:4" x14ac:dyDescent="0.2">
      <c r="A49" s="32"/>
      <c r="B49" s="32"/>
      <c r="C49" s="32"/>
      <c r="D49" s="14">
        <f>+D48+D47</f>
        <v>2037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1" workbookViewId="3">
      <selection activeCell="B43" sqref="B43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-18474</v>
      </c>
      <c r="C5" s="11">
        <v>-500</v>
      </c>
      <c r="D5" s="11"/>
      <c r="E5" s="11">
        <v>-17302</v>
      </c>
      <c r="F5" s="11">
        <f>+C5-B5+E5-D5</f>
        <v>672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-17798</v>
      </c>
      <c r="C6" s="11">
        <v>-500</v>
      </c>
      <c r="D6" s="11"/>
      <c r="E6" s="11">
        <v>-17302</v>
      </c>
      <c r="F6" s="11">
        <f t="shared" ref="F6:F35" si="0">+C6-B6+E6-D6</f>
        <v>-4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-17797</v>
      </c>
      <c r="C7" s="11">
        <v>-500</v>
      </c>
      <c r="D7" s="11"/>
      <c r="E7" s="11">
        <v>-17302</v>
      </c>
      <c r="F7" s="11">
        <f t="shared" si="0"/>
        <v>-5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-18510</v>
      </c>
      <c r="C8" s="11">
        <v>-500</v>
      </c>
      <c r="D8" s="11"/>
      <c r="E8" s="11">
        <v>-17302</v>
      </c>
      <c r="F8" s="11">
        <f t="shared" si="0"/>
        <v>708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-28067</v>
      </c>
      <c r="C9" s="11"/>
      <c r="D9" s="11">
        <v>-19</v>
      </c>
      <c r="E9" s="11">
        <v>-27302</v>
      </c>
      <c r="F9" s="11">
        <f t="shared" si="0"/>
        <v>784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-32603</v>
      </c>
      <c r="C10" s="11">
        <v>-6315</v>
      </c>
      <c r="D10" s="11">
        <v>-4</v>
      </c>
      <c r="E10" s="11">
        <v>-25302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-28184</v>
      </c>
      <c r="C11" s="11"/>
      <c r="D11" s="129">
        <v>-2</v>
      </c>
      <c r="E11" s="11">
        <v>-27904</v>
      </c>
      <c r="F11" s="11">
        <f t="shared" si="0"/>
        <v>282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-40209</v>
      </c>
      <c r="C12" s="11">
        <v>-14724</v>
      </c>
      <c r="D12" s="11"/>
      <c r="E12" s="11">
        <v>-24700</v>
      </c>
      <c r="F12" s="11">
        <f t="shared" si="0"/>
        <v>785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-40733</v>
      </c>
      <c r="C13" s="11">
        <v>-14724</v>
      </c>
      <c r="D13" s="129"/>
      <c r="E13" s="11">
        <v>-24700</v>
      </c>
      <c r="F13" s="11">
        <f t="shared" si="0"/>
        <v>1309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-40617</v>
      </c>
      <c r="C14" s="11">
        <v>-14724</v>
      </c>
      <c r="D14" s="129">
        <v>-9</v>
      </c>
      <c r="E14" s="11">
        <v>-24700</v>
      </c>
      <c r="F14" s="11">
        <f t="shared" si="0"/>
        <v>1202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-23227</v>
      </c>
      <c r="C15" s="11"/>
      <c r="D15" s="11"/>
      <c r="E15" s="11">
        <v>-24200</v>
      </c>
      <c r="F15" s="11">
        <f t="shared" si="0"/>
        <v>-973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-41150</v>
      </c>
      <c r="C16" s="11"/>
      <c r="D16" s="11"/>
      <c r="E16" s="11">
        <v>-40658</v>
      </c>
      <c r="F16" s="11">
        <f t="shared" si="0"/>
        <v>492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-30551</v>
      </c>
      <c r="C17" s="11">
        <v>-5000</v>
      </c>
      <c r="D17" s="11"/>
      <c r="E17" s="11">
        <v>-27506</v>
      </c>
      <c r="F17" s="11">
        <f t="shared" si="0"/>
        <v>-1955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-47126</v>
      </c>
      <c r="C18" s="11">
        <v>-6000</v>
      </c>
      <c r="D18" s="11"/>
      <c r="E18" s="11">
        <v>-40998</v>
      </c>
      <c r="F18" s="11">
        <f t="shared" si="0"/>
        <v>128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-87040</v>
      </c>
      <c r="C19" s="11">
        <v>-54000</v>
      </c>
      <c r="D19" s="11"/>
      <c r="E19" s="11">
        <v>-32608</v>
      </c>
      <c r="F19" s="11">
        <f t="shared" si="0"/>
        <v>432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-68686</v>
      </c>
      <c r="C20" s="11">
        <v>-54000</v>
      </c>
      <c r="D20" s="11">
        <v>-19172</v>
      </c>
      <c r="E20" s="11">
        <v>-32608</v>
      </c>
      <c r="F20" s="11">
        <f t="shared" si="0"/>
        <v>1250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-60138</v>
      </c>
      <c r="C21" s="11">
        <v>-54000</v>
      </c>
      <c r="D21" s="11">
        <v>-27411</v>
      </c>
      <c r="E21" s="11">
        <v>-32608</v>
      </c>
      <c r="F21" s="11">
        <f t="shared" si="0"/>
        <v>941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-73176</v>
      </c>
      <c r="C22" s="11">
        <v>-20202</v>
      </c>
      <c r="D22" s="11">
        <v>-186</v>
      </c>
      <c r="E22" s="11">
        <v>-54709</v>
      </c>
      <c r="F22" s="11">
        <f t="shared" si="0"/>
        <v>-1549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>
        <v>-74991</v>
      </c>
      <c r="C23" s="11">
        <v>-40404</v>
      </c>
      <c r="D23" s="11"/>
      <c r="E23" s="11">
        <v>-35391</v>
      </c>
      <c r="F23" s="11">
        <f t="shared" si="0"/>
        <v>-804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>
        <v>-62822</v>
      </c>
      <c r="C24" s="11">
        <v>-74648</v>
      </c>
      <c r="D24" s="11">
        <v>-34224</v>
      </c>
      <c r="E24" s="11">
        <v>-25306</v>
      </c>
      <c r="F24" s="11">
        <f t="shared" si="0"/>
        <v>-2908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>
        <v>-82790</v>
      </c>
      <c r="C25" s="11">
        <v>-57989</v>
      </c>
      <c r="D25" s="11">
        <v>-35804</v>
      </c>
      <c r="E25" s="11">
        <v>-60408</v>
      </c>
      <c r="F25" s="11">
        <f t="shared" si="0"/>
        <v>197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>
        <v>-72527</v>
      </c>
      <c r="C26" s="11">
        <v>-40583</v>
      </c>
      <c r="D26" s="11">
        <v>-251</v>
      </c>
      <c r="E26" s="11">
        <v>-33469</v>
      </c>
      <c r="F26" s="11">
        <f t="shared" si="0"/>
        <v>-1274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>
        <v>-72983</v>
      </c>
      <c r="C27" s="11">
        <v>-40583</v>
      </c>
      <c r="D27" s="11"/>
      <c r="E27" s="11">
        <v>-33469</v>
      </c>
      <c r="F27" s="11">
        <f t="shared" si="0"/>
        <v>-1069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-1080199</v>
      </c>
      <c r="C36" s="44">
        <f>SUM(C5:C35)</f>
        <v>-499896</v>
      </c>
      <c r="D36" s="43">
        <f>SUM(D5:D35)</f>
        <v>-117082</v>
      </c>
      <c r="E36" s="44">
        <f>SUM(E5:E35)</f>
        <v>-697754</v>
      </c>
      <c r="F36" s="11">
        <f>SUM(F5:F35)</f>
        <v>-369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-580303</v>
      </c>
      <c r="D37" s="24"/>
      <c r="E37" s="24">
        <f>+D36-E36</f>
        <v>580672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37134</v>
      </c>
      <c r="C41" s="14"/>
      <c r="D41" s="50"/>
      <c r="E41" s="50"/>
      <c r="F41" s="475">
        <v>73003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37157</v>
      </c>
      <c r="C42" s="14"/>
      <c r="D42" s="50"/>
      <c r="E42" s="50"/>
      <c r="F42" s="51">
        <f>+F41+F36</f>
        <v>72634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155</v>
      </c>
      <c r="B46" s="32"/>
      <c r="C46" s="32"/>
      <c r="D46" s="47"/>
    </row>
    <row r="47" spans="1:12" x14ac:dyDescent="0.2">
      <c r="A47" s="49">
        <f>+B41</f>
        <v>37134</v>
      </c>
      <c r="B47" s="32"/>
      <c r="C47" s="32"/>
      <c r="D47" s="476">
        <v>71590.87</v>
      </c>
    </row>
    <row r="48" spans="1:12" x14ac:dyDescent="0.2">
      <c r="A48" s="49">
        <f>+B42</f>
        <v>37157</v>
      </c>
      <c r="B48" s="32"/>
      <c r="C48" s="32"/>
      <c r="D48" s="405">
        <f>+F36*'by type_area'!J4</f>
        <v>-723.24</v>
      </c>
    </row>
    <row r="49" spans="1:4" x14ac:dyDescent="0.2">
      <c r="A49" s="32"/>
      <c r="B49" s="32"/>
      <c r="C49" s="32"/>
      <c r="D49" s="202">
        <f>+D48+D47</f>
        <v>70867.62999999999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19" workbookViewId="3">
      <selection activeCell="A41" sqref="A41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-147113</v>
      </c>
      <c r="C4" s="11">
        <v>-146583</v>
      </c>
      <c r="D4" s="25">
        <f>+C4-B4</f>
        <v>530</v>
      </c>
    </row>
    <row r="5" spans="1:4" x14ac:dyDescent="0.2">
      <c r="A5" s="10">
        <v>2</v>
      </c>
      <c r="B5" s="129">
        <v>-126845</v>
      </c>
      <c r="C5" s="11">
        <v>-126583</v>
      </c>
      <c r="D5" s="25">
        <f t="shared" ref="D5:D34" si="0">+C5-B5</f>
        <v>262</v>
      </c>
    </row>
    <row r="6" spans="1:4" x14ac:dyDescent="0.2">
      <c r="A6" s="10">
        <v>3</v>
      </c>
      <c r="B6" s="129">
        <v>-160795</v>
      </c>
      <c r="C6" s="11">
        <v>-160124</v>
      </c>
      <c r="D6" s="25">
        <f t="shared" si="0"/>
        <v>671</v>
      </c>
    </row>
    <row r="7" spans="1:4" x14ac:dyDescent="0.2">
      <c r="A7" s="10">
        <v>4</v>
      </c>
      <c r="B7" s="129">
        <v>-187604</v>
      </c>
      <c r="C7" s="11">
        <v>-182390</v>
      </c>
      <c r="D7" s="25">
        <f t="shared" si="0"/>
        <v>5214</v>
      </c>
    </row>
    <row r="8" spans="1:4" x14ac:dyDescent="0.2">
      <c r="A8" s="10">
        <v>5</v>
      </c>
      <c r="B8" s="129">
        <v>-172148</v>
      </c>
      <c r="C8" s="11">
        <v>-171442</v>
      </c>
      <c r="D8" s="25">
        <f t="shared" si="0"/>
        <v>706</v>
      </c>
    </row>
    <row r="9" spans="1:4" x14ac:dyDescent="0.2">
      <c r="A9" s="10">
        <v>6</v>
      </c>
      <c r="B9" s="129">
        <v>-167318</v>
      </c>
      <c r="C9" s="11">
        <v>-166625</v>
      </c>
      <c r="D9" s="25">
        <f t="shared" si="0"/>
        <v>693</v>
      </c>
    </row>
    <row r="10" spans="1:4" x14ac:dyDescent="0.2">
      <c r="A10" s="10">
        <v>7</v>
      </c>
      <c r="B10" s="129">
        <v>-146770</v>
      </c>
      <c r="C10" s="11">
        <v>-148471</v>
      </c>
      <c r="D10" s="25">
        <f t="shared" si="0"/>
        <v>-1701</v>
      </c>
    </row>
    <row r="11" spans="1:4" x14ac:dyDescent="0.2">
      <c r="A11" s="10">
        <v>8</v>
      </c>
      <c r="B11" s="11">
        <v>-167550</v>
      </c>
      <c r="C11" s="11">
        <v>-166769</v>
      </c>
      <c r="D11" s="25">
        <f t="shared" si="0"/>
        <v>781</v>
      </c>
    </row>
    <row r="12" spans="1:4" x14ac:dyDescent="0.2">
      <c r="A12" s="10">
        <v>9</v>
      </c>
      <c r="B12" s="11">
        <v>-166261</v>
      </c>
      <c r="C12" s="11">
        <v>-164629</v>
      </c>
      <c r="D12" s="25">
        <f t="shared" si="0"/>
        <v>1632</v>
      </c>
    </row>
    <row r="13" spans="1:4" x14ac:dyDescent="0.2">
      <c r="A13" s="10">
        <v>10</v>
      </c>
      <c r="B13" s="11">
        <v>-158639</v>
      </c>
      <c r="C13" s="11">
        <v>-157063</v>
      </c>
      <c r="D13" s="25">
        <f t="shared" si="0"/>
        <v>1576</v>
      </c>
    </row>
    <row r="14" spans="1:4" x14ac:dyDescent="0.2">
      <c r="A14" s="10">
        <v>11</v>
      </c>
      <c r="B14" s="11">
        <v>-154740</v>
      </c>
      <c r="C14" s="11">
        <v>-154588</v>
      </c>
      <c r="D14" s="25">
        <f t="shared" si="0"/>
        <v>152</v>
      </c>
    </row>
    <row r="15" spans="1:4" x14ac:dyDescent="0.2">
      <c r="A15" s="10">
        <v>12</v>
      </c>
      <c r="B15" s="11">
        <v>-175579</v>
      </c>
      <c r="C15" s="11">
        <v>-174787</v>
      </c>
      <c r="D15" s="25">
        <f t="shared" si="0"/>
        <v>792</v>
      </c>
    </row>
    <row r="16" spans="1:4" x14ac:dyDescent="0.2">
      <c r="A16" s="10">
        <v>13</v>
      </c>
      <c r="B16" s="11">
        <v>-133651</v>
      </c>
      <c r="C16" s="11">
        <v>-133501</v>
      </c>
      <c r="D16" s="25">
        <f t="shared" si="0"/>
        <v>150</v>
      </c>
    </row>
    <row r="17" spans="1:4" x14ac:dyDescent="0.2">
      <c r="A17" s="10">
        <v>14</v>
      </c>
      <c r="B17" s="11">
        <v>-126298</v>
      </c>
      <c r="C17" s="11">
        <v>-125312</v>
      </c>
      <c r="D17" s="25">
        <f t="shared" si="0"/>
        <v>986</v>
      </c>
    </row>
    <row r="18" spans="1:4" x14ac:dyDescent="0.2">
      <c r="A18" s="10">
        <v>15</v>
      </c>
      <c r="B18" s="11">
        <v>-134173</v>
      </c>
      <c r="C18" s="11">
        <v>-132950</v>
      </c>
      <c r="D18" s="25">
        <f t="shared" si="0"/>
        <v>1223</v>
      </c>
    </row>
    <row r="19" spans="1:4" x14ac:dyDescent="0.2">
      <c r="A19" s="10">
        <v>16</v>
      </c>
      <c r="B19" s="11">
        <v>-155249</v>
      </c>
      <c r="C19" s="11">
        <v>-154056</v>
      </c>
      <c r="D19" s="25">
        <f t="shared" si="0"/>
        <v>1193</v>
      </c>
    </row>
    <row r="20" spans="1:4" x14ac:dyDescent="0.2">
      <c r="A20" s="10">
        <v>17</v>
      </c>
      <c r="B20" s="11">
        <v>-146321</v>
      </c>
      <c r="C20" s="11">
        <v>-145963</v>
      </c>
      <c r="D20" s="25">
        <f t="shared" si="0"/>
        <v>358</v>
      </c>
    </row>
    <row r="21" spans="1:4" x14ac:dyDescent="0.2">
      <c r="A21" s="10">
        <v>18</v>
      </c>
      <c r="B21" s="108">
        <v>-124092</v>
      </c>
      <c r="C21" s="11">
        <v>-123717</v>
      </c>
      <c r="D21" s="25">
        <f t="shared" si="0"/>
        <v>375</v>
      </c>
    </row>
    <row r="22" spans="1:4" x14ac:dyDescent="0.2">
      <c r="A22" s="10">
        <v>19</v>
      </c>
      <c r="B22" s="108">
        <v>-74875</v>
      </c>
      <c r="C22" s="11">
        <v>-74201</v>
      </c>
      <c r="D22" s="25">
        <f t="shared" si="0"/>
        <v>674</v>
      </c>
    </row>
    <row r="23" spans="1:4" x14ac:dyDescent="0.2">
      <c r="A23" s="10">
        <v>20</v>
      </c>
      <c r="B23" s="11">
        <v>-186736</v>
      </c>
      <c r="C23" s="11">
        <v>-186184</v>
      </c>
      <c r="D23" s="25">
        <f t="shared" si="0"/>
        <v>552</v>
      </c>
    </row>
    <row r="24" spans="1:4" x14ac:dyDescent="0.2">
      <c r="A24" s="10">
        <v>21</v>
      </c>
      <c r="B24" s="108">
        <v>-152827</v>
      </c>
      <c r="C24" s="11">
        <v>-144683</v>
      </c>
      <c r="D24" s="25">
        <f t="shared" si="0"/>
        <v>8144</v>
      </c>
    </row>
    <row r="25" spans="1:4" x14ac:dyDescent="0.2">
      <c r="A25" s="10">
        <v>22</v>
      </c>
      <c r="B25" s="11">
        <v>-136241</v>
      </c>
      <c r="C25" s="11">
        <v>-135394</v>
      </c>
      <c r="D25" s="25">
        <f t="shared" si="0"/>
        <v>847</v>
      </c>
    </row>
    <row r="26" spans="1:4" x14ac:dyDescent="0.2">
      <c r="A26" s="10">
        <v>23</v>
      </c>
      <c r="B26" s="108">
        <v>-71630</v>
      </c>
      <c r="C26" s="11">
        <v>-71255</v>
      </c>
      <c r="D26" s="25">
        <f t="shared" si="0"/>
        <v>375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-3373455</v>
      </c>
      <c r="C35" s="11">
        <f>SUM(C4:C34)</f>
        <v>-3347270</v>
      </c>
      <c r="D35" s="11">
        <f>SUM(D4:D34)</f>
        <v>26185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37134</v>
      </c>
      <c r="D38" s="490">
        <v>43542</v>
      </c>
    </row>
    <row r="39" spans="1:30" x14ac:dyDescent="0.2">
      <c r="A39" s="12"/>
      <c r="D39" s="24"/>
    </row>
    <row r="40" spans="1:30" x14ac:dyDescent="0.2">
      <c r="A40" s="249">
        <v>37157</v>
      </c>
      <c r="D40" s="24">
        <f>+D38+D35</f>
        <v>69727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155</v>
      </c>
      <c r="B44" s="32"/>
      <c r="C44" s="32"/>
      <c r="D44" s="47"/>
      <c r="K44"/>
    </row>
    <row r="45" spans="1:30" x14ac:dyDescent="0.2">
      <c r="A45" s="49">
        <f>+A38</f>
        <v>37134</v>
      </c>
      <c r="B45" s="32"/>
      <c r="C45" s="32"/>
      <c r="D45" s="491">
        <v>-104445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37157</v>
      </c>
      <c r="B46" s="32"/>
      <c r="C46" s="32"/>
      <c r="D46" s="405">
        <f>+D35*'by type_area'!J4</f>
        <v>51322.6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-53122.400000000001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4" workbookViewId="3">
      <selection activeCell="D41" sqref="D4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-623008</v>
      </c>
      <c r="C4" s="11">
        <v>-616826</v>
      </c>
      <c r="D4" s="11">
        <v>-25138</v>
      </c>
      <c r="E4" s="11">
        <v>-25000</v>
      </c>
      <c r="F4" s="25">
        <f>+E4+C4-D4-B4</f>
        <v>6320</v>
      </c>
      <c r="H4" s="10"/>
      <c r="I4" s="11"/>
    </row>
    <row r="5" spans="1:11" x14ac:dyDescent="0.2">
      <c r="A5" s="10">
        <v>2</v>
      </c>
      <c r="B5" s="11">
        <v>-610523</v>
      </c>
      <c r="C5" s="11">
        <v>-585078</v>
      </c>
      <c r="D5" s="11">
        <v>-25001</v>
      </c>
      <c r="E5" s="11">
        <v>-25000</v>
      </c>
      <c r="F5" s="25">
        <f t="shared" ref="F5:F34" si="0">+C5-B5+E5-D5</f>
        <v>25446</v>
      </c>
      <c r="H5" s="10"/>
      <c r="I5" s="11"/>
    </row>
    <row r="6" spans="1:11" x14ac:dyDescent="0.2">
      <c r="A6" s="10">
        <v>3</v>
      </c>
      <c r="B6" s="11">
        <v>-663655</v>
      </c>
      <c r="C6" s="11">
        <v>-658037</v>
      </c>
      <c r="D6" s="11">
        <v>-25919</v>
      </c>
      <c r="E6" s="11">
        <v>-25000</v>
      </c>
      <c r="F6" s="25">
        <f t="shared" si="0"/>
        <v>6537</v>
      </c>
      <c r="H6" s="10"/>
      <c r="I6" s="11"/>
    </row>
    <row r="7" spans="1:11" x14ac:dyDescent="0.2">
      <c r="A7" s="10">
        <v>4</v>
      </c>
      <c r="B7" s="11">
        <v>-684927</v>
      </c>
      <c r="C7" s="11">
        <v>-709416</v>
      </c>
      <c r="D7" s="11">
        <v>-23707</v>
      </c>
      <c r="E7" s="11">
        <v>-25000</v>
      </c>
      <c r="F7" s="25">
        <f t="shared" si="0"/>
        <v>-25782</v>
      </c>
      <c r="H7" s="10"/>
      <c r="I7" s="11"/>
      <c r="K7" s="25"/>
    </row>
    <row r="8" spans="1:11" x14ac:dyDescent="0.2">
      <c r="A8" s="10">
        <v>5</v>
      </c>
      <c r="B8" s="129">
        <v>-709597</v>
      </c>
      <c r="C8" s="11">
        <v>-718815</v>
      </c>
      <c r="D8" s="11">
        <v>-25000</v>
      </c>
      <c r="E8" s="11">
        <v>-25000</v>
      </c>
      <c r="F8" s="25">
        <f t="shared" si="0"/>
        <v>-9218</v>
      </c>
      <c r="H8" s="10"/>
      <c r="I8" s="11"/>
    </row>
    <row r="9" spans="1:11" x14ac:dyDescent="0.2">
      <c r="A9" s="10">
        <v>6</v>
      </c>
      <c r="B9" s="11">
        <v>-713428</v>
      </c>
      <c r="C9" s="11">
        <v>-714110</v>
      </c>
      <c r="D9" s="11">
        <v>-25002</v>
      </c>
      <c r="E9" s="11">
        <v>-25000</v>
      </c>
      <c r="F9" s="25">
        <f t="shared" si="0"/>
        <v>-680</v>
      </c>
      <c r="H9" s="10"/>
      <c r="I9" s="11"/>
    </row>
    <row r="10" spans="1:11" x14ac:dyDescent="0.2">
      <c r="A10" s="10">
        <v>7</v>
      </c>
      <c r="B10" s="129">
        <v>-720273</v>
      </c>
      <c r="C10" s="11">
        <v>-719066</v>
      </c>
      <c r="D10" s="129">
        <v>-25488</v>
      </c>
      <c r="E10" s="11">
        <v>-25000</v>
      </c>
      <c r="F10" s="25">
        <f t="shared" si="0"/>
        <v>1695</v>
      </c>
      <c r="H10" s="10"/>
      <c r="I10" s="11"/>
    </row>
    <row r="11" spans="1:11" x14ac:dyDescent="0.2">
      <c r="A11" s="10">
        <v>8</v>
      </c>
      <c r="B11" s="11">
        <v>-709442</v>
      </c>
      <c r="C11" s="11">
        <v>-697388</v>
      </c>
      <c r="D11" s="11">
        <v>-24057</v>
      </c>
      <c r="E11" s="11">
        <v>-25000</v>
      </c>
      <c r="F11" s="25">
        <f t="shared" si="0"/>
        <v>11111</v>
      </c>
      <c r="H11" s="10"/>
      <c r="I11" s="11"/>
    </row>
    <row r="12" spans="1:11" x14ac:dyDescent="0.2">
      <c r="A12" s="10">
        <v>9</v>
      </c>
      <c r="B12" s="11">
        <v>-702534</v>
      </c>
      <c r="C12" s="11">
        <v>-702433</v>
      </c>
      <c r="D12" s="11">
        <v>-24999</v>
      </c>
      <c r="E12" s="11">
        <v>-25000</v>
      </c>
      <c r="F12" s="25">
        <f t="shared" si="0"/>
        <v>100</v>
      </c>
      <c r="H12" s="10"/>
      <c r="I12" s="11"/>
    </row>
    <row r="13" spans="1:11" x14ac:dyDescent="0.2">
      <c r="A13" s="10">
        <v>10</v>
      </c>
      <c r="B13" s="11">
        <v>-673048</v>
      </c>
      <c r="C13" s="11">
        <v>-701948</v>
      </c>
      <c r="D13" s="129">
        <v>-43196</v>
      </c>
      <c r="E13" s="11">
        <v>-25000</v>
      </c>
      <c r="F13" s="25">
        <f t="shared" si="0"/>
        <v>-10704</v>
      </c>
      <c r="H13" s="10"/>
      <c r="I13" s="11"/>
    </row>
    <row r="14" spans="1:11" x14ac:dyDescent="0.2">
      <c r="A14" s="10">
        <v>11</v>
      </c>
      <c r="B14" s="11">
        <v>-717759</v>
      </c>
      <c r="C14" s="11">
        <v>-710462</v>
      </c>
      <c r="D14" s="11">
        <v>-25501</v>
      </c>
      <c r="E14" s="11">
        <v>-25000</v>
      </c>
      <c r="F14" s="25">
        <f t="shared" si="0"/>
        <v>7798</v>
      </c>
      <c r="H14" s="10"/>
      <c r="I14" s="11"/>
    </row>
    <row r="15" spans="1:11" x14ac:dyDescent="0.2">
      <c r="A15" s="10">
        <v>12</v>
      </c>
      <c r="B15" s="11">
        <v>-695728</v>
      </c>
      <c r="C15" s="11">
        <v>-695888</v>
      </c>
      <c r="D15" s="11">
        <v>-62</v>
      </c>
      <c r="E15" s="11"/>
      <c r="F15" s="25">
        <f t="shared" si="0"/>
        <v>-98</v>
      </c>
      <c r="H15" s="10"/>
      <c r="I15" s="11"/>
    </row>
    <row r="16" spans="1:11" x14ac:dyDescent="0.2">
      <c r="A16" s="10">
        <v>13</v>
      </c>
      <c r="B16" s="11">
        <v>-711977</v>
      </c>
      <c r="C16" s="11">
        <v>-720128</v>
      </c>
      <c r="D16" s="11">
        <v>-31257</v>
      </c>
      <c r="E16" s="11">
        <v>-25000</v>
      </c>
      <c r="F16" s="25">
        <f t="shared" si="0"/>
        <v>-1894</v>
      </c>
      <c r="H16" s="10"/>
      <c r="I16" s="11"/>
      <c r="K16" s="25"/>
    </row>
    <row r="17" spans="1:11" x14ac:dyDescent="0.2">
      <c r="A17" s="10">
        <v>14</v>
      </c>
      <c r="B17" s="11">
        <v>-667051</v>
      </c>
      <c r="C17" s="11">
        <v>-645610</v>
      </c>
      <c r="D17" s="11">
        <v>-441</v>
      </c>
      <c r="E17" s="11"/>
      <c r="F17" s="25">
        <f t="shared" si="0"/>
        <v>21882</v>
      </c>
      <c r="H17" s="10"/>
      <c r="I17" s="11"/>
    </row>
    <row r="18" spans="1:11" x14ac:dyDescent="0.2">
      <c r="A18" s="10">
        <v>15</v>
      </c>
      <c r="B18" s="11">
        <v>-620405</v>
      </c>
      <c r="C18" s="11">
        <v>-615674</v>
      </c>
      <c r="D18" s="11"/>
      <c r="E18" s="11"/>
      <c r="F18" s="25">
        <f t="shared" si="0"/>
        <v>4731</v>
      </c>
      <c r="H18" s="10"/>
      <c r="I18" s="11"/>
    </row>
    <row r="19" spans="1:11" x14ac:dyDescent="0.2">
      <c r="A19" s="10">
        <v>16</v>
      </c>
      <c r="B19" s="11">
        <v>-615349</v>
      </c>
      <c r="C19" s="11">
        <v>-615618</v>
      </c>
      <c r="D19" s="11"/>
      <c r="E19" s="11"/>
      <c r="F19" s="25">
        <f t="shared" si="0"/>
        <v>-269</v>
      </c>
      <c r="H19" s="10"/>
      <c r="I19" s="11"/>
    </row>
    <row r="20" spans="1:11" x14ac:dyDescent="0.2">
      <c r="A20" s="10">
        <v>17</v>
      </c>
      <c r="B20" s="11">
        <v>-607398</v>
      </c>
      <c r="C20" s="11">
        <v>-609438</v>
      </c>
      <c r="D20" s="11"/>
      <c r="E20" s="11"/>
      <c r="F20" s="25">
        <f t="shared" si="0"/>
        <v>-2040</v>
      </c>
      <c r="H20" s="10"/>
      <c r="I20" s="11"/>
    </row>
    <row r="21" spans="1:11" x14ac:dyDescent="0.2">
      <c r="A21" s="10">
        <v>18</v>
      </c>
      <c r="B21" s="11">
        <v>-685084</v>
      </c>
      <c r="C21" s="11">
        <v>-679623</v>
      </c>
      <c r="D21" s="11"/>
      <c r="E21" s="11"/>
      <c r="F21" s="25">
        <f t="shared" si="0"/>
        <v>5461</v>
      </c>
      <c r="H21" s="10"/>
      <c r="I21" s="11"/>
    </row>
    <row r="22" spans="1:11" x14ac:dyDescent="0.2">
      <c r="A22" s="10">
        <v>19</v>
      </c>
      <c r="B22" s="11">
        <v>-708148</v>
      </c>
      <c r="C22" s="11">
        <v>-709958</v>
      </c>
      <c r="D22" s="11">
        <v>-1</v>
      </c>
      <c r="E22" s="11"/>
      <c r="F22" s="25">
        <f t="shared" si="0"/>
        <v>-1809</v>
      </c>
      <c r="H22" s="10"/>
      <c r="I22" s="11"/>
    </row>
    <row r="23" spans="1:11" x14ac:dyDescent="0.2">
      <c r="A23" s="10">
        <v>20</v>
      </c>
      <c r="B23" s="11">
        <v>-632821</v>
      </c>
      <c r="C23" s="11">
        <v>-582775</v>
      </c>
      <c r="D23" s="11"/>
      <c r="E23" s="11"/>
      <c r="F23" s="25">
        <f t="shared" si="0"/>
        <v>50046</v>
      </c>
      <c r="H23" s="10"/>
      <c r="I23" s="11"/>
    </row>
    <row r="24" spans="1:11" x14ac:dyDescent="0.2">
      <c r="A24" s="10">
        <v>21</v>
      </c>
      <c r="B24" s="11">
        <v>-606326</v>
      </c>
      <c r="C24" s="11">
        <v>-590151</v>
      </c>
      <c r="D24" s="129"/>
      <c r="E24" s="11"/>
      <c r="F24" s="25">
        <f t="shared" si="0"/>
        <v>16175</v>
      </c>
      <c r="H24" s="10"/>
      <c r="I24" s="11"/>
      <c r="K24" s="25"/>
    </row>
    <row r="25" spans="1:11" x14ac:dyDescent="0.2">
      <c r="A25" s="10">
        <v>22</v>
      </c>
      <c r="B25" s="11">
        <v>-609261</v>
      </c>
      <c r="C25" s="11">
        <v>-589970</v>
      </c>
      <c r="D25" s="11"/>
      <c r="E25" s="11"/>
      <c r="F25" s="25">
        <f t="shared" si="0"/>
        <v>19291</v>
      </c>
      <c r="H25" s="10"/>
      <c r="I25" s="11"/>
    </row>
    <row r="26" spans="1:11" x14ac:dyDescent="0.2">
      <c r="A26" s="10">
        <v>23</v>
      </c>
      <c r="B26" s="11">
        <v>-610310</v>
      </c>
      <c r="C26" s="11">
        <v>-585021</v>
      </c>
      <c r="D26" s="11"/>
      <c r="E26" s="11"/>
      <c r="F26" s="25">
        <f t="shared" si="0"/>
        <v>25289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-15298052</v>
      </c>
      <c r="C35" s="11">
        <f>SUM(C4:C34)</f>
        <v>-15173433</v>
      </c>
      <c r="D35" s="11">
        <f>SUM(D4:D34)</f>
        <v>-324769</v>
      </c>
      <c r="E35" s="11">
        <f>SUM(E4:E34)</f>
        <v>-300000</v>
      </c>
      <c r="F35" s="11">
        <f>SUM(F4:F34)</f>
        <v>149388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37134</v>
      </c>
      <c r="F38" s="471">
        <v>151133</v>
      </c>
    </row>
    <row r="39" spans="1:45" x14ac:dyDescent="0.2">
      <c r="A39" s="2"/>
      <c r="F39" s="24"/>
    </row>
    <row r="40" spans="1:45" x14ac:dyDescent="0.2">
      <c r="A40" s="57">
        <v>37157</v>
      </c>
      <c r="F40" s="51">
        <f>+F38+F35</f>
        <v>300521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155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37134</v>
      </c>
      <c r="B45" s="32"/>
      <c r="C45" s="32"/>
      <c r="D45" s="436">
        <v>465120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37157</v>
      </c>
      <c r="B46" s="32"/>
      <c r="C46" s="32"/>
      <c r="D46" s="405">
        <f>+F35*'by type_area'!J4</f>
        <v>292800.48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757920.48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3" workbookViewId="3">
      <selection activeCell="G39" sqref="G39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-89270</v>
      </c>
      <c r="C4" s="11">
        <v>-72220</v>
      </c>
      <c r="D4" s="11">
        <v>0</v>
      </c>
      <c r="E4" s="11">
        <v>-16950</v>
      </c>
      <c r="F4" s="11"/>
      <c r="G4" s="11"/>
      <c r="H4" s="11">
        <f>+G4+E4+C4-F4-D4-B4</f>
        <v>100</v>
      </c>
      <c r="I4" s="11"/>
      <c r="J4" s="102"/>
      <c r="K4" s="446"/>
      <c r="L4" s="446"/>
      <c r="M4" s="446"/>
      <c r="N4" s="446"/>
      <c r="O4" s="295"/>
      <c r="P4" s="295"/>
    </row>
    <row r="5" spans="1:17" ht="12.75" x14ac:dyDescent="0.2">
      <c r="A5" s="41">
        <v>2</v>
      </c>
      <c r="B5" s="11">
        <v>-96891</v>
      </c>
      <c r="C5" s="11">
        <v>-72220</v>
      </c>
      <c r="D5" s="129">
        <v>0</v>
      </c>
      <c r="E5" s="11">
        <v>-24950</v>
      </c>
      <c r="F5" s="11"/>
      <c r="G5" s="11"/>
      <c r="H5" s="11">
        <f t="shared" ref="H5:H34" si="0">+G5+E5+C5-F5-D5-B5</f>
        <v>-279</v>
      </c>
      <c r="I5" s="11"/>
      <c r="J5" s="102"/>
      <c r="K5" s="118"/>
      <c r="L5" s="34"/>
      <c r="M5" s="34"/>
      <c r="N5" s="189"/>
      <c r="O5" s="447" t="s">
        <v>194</v>
      </c>
      <c r="P5" s="189"/>
      <c r="Q5" s="2"/>
    </row>
    <row r="6" spans="1:17" ht="12.75" x14ac:dyDescent="0.2">
      <c r="A6" s="41">
        <v>3</v>
      </c>
      <c r="B6" s="11">
        <v>-97824</v>
      </c>
      <c r="C6" s="11">
        <v>-72220</v>
      </c>
      <c r="D6" s="11"/>
      <c r="E6" s="11">
        <v>-24950</v>
      </c>
      <c r="F6" s="11"/>
      <c r="G6" s="11"/>
      <c r="H6" s="11">
        <f t="shared" si="0"/>
        <v>654</v>
      </c>
      <c r="I6" s="11"/>
      <c r="J6" s="102"/>
      <c r="K6" s="118" t="s">
        <v>40</v>
      </c>
      <c r="L6" s="448" t="s">
        <v>20</v>
      </c>
      <c r="M6" s="448" t="s">
        <v>21</v>
      </c>
      <c r="N6" s="449" t="s">
        <v>50</v>
      </c>
      <c r="O6" s="447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-102043</v>
      </c>
      <c r="C7" s="11">
        <v>-77338</v>
      </c>
      <c r="D7" s="129"/>
      <c r="E7" s="11">
        <v>-24624</v>
      </c>
      <c r="F7" s="11"/>
      <c r="G7" s="11"/>
      <c r="H7" s="11">
        <f t="shared" si="0"/>
        <v>81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-85354</v>
      </c>
      <c r="C8" s="11">
        <v>-69960</v>
      </c>
      <c r="D8" s="11"/>
      <c r="E8" s="11">
        <v>-14933</v>
      </c>
      <c r="F8" s="11"/>
      <c r="G8" s="11"/>
      <c r="H8" s="11">
        <f t="shared" si="0"/>
        <v>461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-48847</v>
      </c>
      <c r="C9" s="11">
        <v>-43328</v>
      </c>
      <c r="D9" s="11"/>
      <c r="E9" s="11">
        <v>-4968</v>
      </c>
      <c r="F9" s="11"/>
      <c r="G9" s="11"/>
      <c r="H9" s="11">
        <f t="shared" si="0"/>
        <v>551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47">
        <v>8.2100000000000009</v>
      </c>
      <c r="P9" s="452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-92703</v>
      </c>
      <c r="C10" s="11">
        <v>-80852</v>
      </c>
      <c r="D10" s="11"/>
      <c r="E10" s="11">
        <v>-11848</v>
      </c>
      <c r="F10" s="11"/>
      <c r="G10" s="11"/>
      <c r="H10" s="11">
        <f t="shared" si="0"/>
        <v>3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47">
        <v>5.62</v>
      </c>
      <c r="P10" s="452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-118238</v>
      </c>
      <c r="C11" s="11">
        <v>-73499</v>
      </c>
      <c r="D11" s="129"/>
      <c r="E11" s="11">
        <v>-44100</v>
      </c>
      <c r="F11" s="11"/>
      <c r="G11" s="11"/>
      <c r="H11" s="11">
        <f t="shared" si="0"/>
        <v>639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47">
        <v>4.9800000000000004</v>
      </c>
      <c r="P11" s="452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-108131</v>
      </c>
      <c r="C12" s="11">
        <v>-67831</v>
      </c>
      <c r="D12" s="11"/>
      <c r="E12" s="11">
        <v>-44100</v>
      </c>
      <c r="F12" s="11"/>
      <c r="G12" s="11"/>
      <c r="H12" s="11">
        <f t="shared" si="0"/>
        <v>-3800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47">
        <v>4.87</v>
      </c>
      <c r="P12" s="452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-117446</v>
      </c>
      <c r="C13" s="11">
        <v>-72624</v>
      </c>
      <c r="D13" s="11"/>
      <c r="E13" s="129">
        <v>-44100</v>
      </c>
      <c r="F13" s="11"/>
      <c r="G13" s="11"/>
      <c r="H13" s="11">
        <f t="shared" si="0"/>
        <v>722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47">
        <v>3.82</v>
      </c>
      <c r="P13" s="452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-71313</v>
      </c>
      <c r="C14" s="11">
        <v>-71801</v>
      </c>
      <c r="D14" s="11"/>
      <c r="E14" s="11"/>
      <c r="F14" s="11"/>
      <c r="G14" s="11"/>
      <c r="H14" s="11">
        <f t="shared" si="0"/>
        <v>-488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47">
        <v>3.2</v>
      </c>
      <c r="P14" s="452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-93812</v>
      </c>
      <c r="C15" s="11">
        <v>-78819</v>
      </c>
      <c r="D15" s="11"/>
      <c r="E15" s="11">
        <v>-14695</v>
      </c>
      <c r="F15" s="11"/>
      <c r="G15" s="11"/>
      <c r="H15" s="11">
        <f t="shared" si="0"/>
        <v>298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47">
        <v>2.77</v>
      </c>
      <c r="P15" s="453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-116838</v>
      </c>
      <c r="C16" s="11">
        <v>-102869</v>
      </c>
      <c r="D16" s="11"/>
      <c r="E16" s="11">
        <v>-14950</v>
      </c>
      <c r="F16" s="11"/>
      <c r="G16" s="11"/>
      <c r="H16" s="11">
        <f t="shared" si="0"/>
        <v>-981</v>
      </c>
      <c r="I16" s="11"/>
      <c r="J16" s="102"/>
      <c r="K16" s="34"/>
      <c r="L16" s="119"/>
      <c r="M16" s="119"/>
      <c r="N16" s="119"/>
      <c r="O16" s="450"/>
      <c r="P16" s="451">
        <f>SUM(P9:P15)</f>
        <v>460835.37</v>
      </c>
      <c r="Q16" s="2"/>
    </row>
    <row r="17" spans="1:17" ht="13.5" thickTop="1" x14ac:dyDescent="0.2">
      <c r="A17" s="41">
        <v>14</v>
      </c>
      <c r="B17" s="11">
        <v>-137469</v>
      </c>
      <c r="C17" s="11">
        <v>-112243</v>
      </c>
      <c r="D17" s="11"/>
      <c r="E17" s="11">
        <v>-23575</v>
      </c>
      <c r="F17" s="11"/>
      <c r="G17" s="11"/>
      <c r="H17" s="11">
        <f t="shared" si="0"/>
        <v>1651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-126244</v>
      </c>
      <c r="C18" s="11">
        <v>-125717</v>
      </c>
      <c r="D18" s="11">
        <v>-24768</v>
      </c>
      <c r="E18" s="11">
        <v>-23900</v>
      </c>
      <c r="F18" s="11"/>
      <c r="G18" s="11"/>
      <c r="H18" s="11">
        <f t="shared" si="0"/>
        <v>1395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>
        <v>-124446</v>
      </c>
      <c r="C19" s="11">
        <v>-125649</v>
      </c>
      <c r="D19" s="11">
        <v>-26997</v>
      </c>
      <c r="E19" s="11">
        <v>-23475</v>
      </c>
      <c r="F19" s="11"/>
      <c r="G19" s="11"/>
      <c r="H19" s="11">
        <f t="shared" si="0"/>
        <v>2319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>
        <v>-122387</v>
      </c>
      <c r="C20" s="11">
        <v>-126207</v>
      </c>
      <c r="D20" s="11">
        <v>-28598</v>
      </c>
      <c r="E20" s="11">
        <v>-23922</v>
      </c>
      <c r="F20" s="11"/>
      <c r="G20" s="11"/>
      <c r="H20" s="11">
        <f t="shared" si="0"/>
        <v>856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-108356</v>
      </c>
      <c r="C21" s="11">
        <v>-94698</v>
      </c>
      <c r="D21" s="11">
        <v>-798</v>
      </c>
      <c r="E21" s="11">
        <v>-14282</v>
      </c>
      <c r="F21" s="11"/>
      <c r="G21" s="11"/>
      <c r="H21" s="11">
        <f t="shared" si="0"/>
        <v>174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-114725</v>
      </c>
      <c r="C22" s="11">
        <v>-105190</v>
      </c>
      <c r="D22" s="11"/>
      <c r="E22" s="11">
        <v>-9460</v>
      </c>
      <c r="F22" s="11"/>
      <c r="G22" s="11"/>
      <c r="H22" s="11">
        <f t="shared" si="0"/>
        <v>75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-76579</v>
      </c>
      <c r="C23" s="11">
        <v>-62903</v>
      </c>
      <c r="D23" s="11"/>
      <c r="E23" s="11">
        <v>-14515</v>
      </c>
      <c r="F23" s="11"/>
      <c r="G23" s="11"/>
      <c r="H23" s="11">
        <f t="shared" si="0"/>
        <v>-839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-119961</v>
      </c>
      <c r="C24" s="11">
        <v>-114049</v>
      </c>
      <c r="D24" s="11">
        <v>-9635</v>
      </c>
      <c r="E24" s="11">
        <v>-16604</v>
      </c>
      <c r="F24" s="11"/>
      <c r="G24" s="11"/>
      <c r="H24" s="11">
        <f t="shared" si="0"/>
        <v>-1057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-105798</v>
      </c>
      <c r="C25" s="11">
        <v>-93449</v>
      </c>
      <c r="D25" s="11">
        <v>-572</v>
      </c>
      <c r="E25" s="11">
        <v>-13946</v>
      </c>
      <c r="F25" s="11"/>
      <c r="G25" s="11"/>
      <c r="H25" s="11">
        <f t="shared" si="0"/>
        <v>-1025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>
        <v>-114411</v>
      </c>
      <c r="C26" s="11">
        <v>-102286</v>
      </c>
      <c r="D26" s="11"/>
      <c r="E26" s="11">
        <v>-13687</v>
      </c>
      <c r="F26" s="11"/>
      <c r="G26" s="11"/>
      <c r="H26" s="11">
        <f t="shared" si="0"/>
        <v>-1562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-2389086</v>
      </c>
      <c r="C35" s="44">
        <f t="shared" si="3"/>
        <v>-2017972</v>
      </c>
      <c r="D35" s="11">
        <f t="shared" si="3"/>
        <v>-91368</v>
      </c>
      <c r="E35" s="44">
        <f t="shared" si="3"/>
        <v>-462534</v>
      </c>
      <c r="F35" s="11">
        <f t="shared" si="3"/>
        <v>0</v>
      </c>
      <c r="G35" s="11">
        <f t="shared" si="3"/>
        <v>0</v>
      </c>
      <c r="H35" s="11">
        <f t="shared" si="3"/>
        <v>-52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1.96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-101.92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37134</v>
      </c>
      <c r="F38" s="47"/>
      <c r="G38" s="48"/>
      <c r="H38" s="480">
        <v>457935.18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37157</v>
      </c>
      <c r="F39" s="47"/>
      <c r="G39" s="47"/>
      <c r="H39" s="137">
        <f>+H38+H37</f>
        <v>457833.26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154</v>
      </c>
      <c r="F45" s="11"/>
      <c r="G45" s="11"/>
      <c r="H45" s="11"/>
      <c r="J45" s="102"/>
    </row>
    <row r="46" spans="1:14" x14ac:dyDescent="0.2">
      <c r="A46" s="101"/>
      <c r="B46" s="49">
        <f>+E38</f>
        <v>37134</v>
      </c>
      <c r="E46" s="492">
        <v>110189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f>+E39</f>
        <v>37157</v>
      </c>
      <c r="E47" s="376">
        <f>+H35</f>
        <v>-52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110137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8" workbookViewId="3">
      <selection activeCell="D50" sqref="D5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f>-250508-750</f>
        <v>-251258</v>
      </c>
      <c r="E5" s="11">
        <v>-251915</v>
      </c>
      <c r="F5" s="11"/>
      <c r="G5" s="11"/>
      <c r="H5" s="24">
        <f>+E5-D5+C5-B5</f>
        <v>-657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f>-266868-750</f>
        <v>-267618</v>
      </c>
      <c r="E6" s="11">
        <v>-268107</v>
      </c>
      <c r="F6" s="11"/>
      <c r="G6" s="11"/>
      <c r="H6" s="24">
        <f t="shared" ref="H6:H35" si="0">+E6-D6+C6-B6</f>
        <v>-489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f>-280823-750</f>
        <v>-281573</v>
      </c>
      <c r="E7" s="129">
        <v>-279686</v>
      </c>
      <c r="F7" s="11"/>
      <c r="G7" s="11"/>
      <c r="H7" s="24">
        <f t="shared" si="0"/>
        <v>1887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f>-269685-750</f>
        <v>-270435</v>
      </c>
      <c r="E8" s="129">
        <v>-270741</v>
      </c>
      <c r="F8" s="11"/>
      <c r="G8" s="11"/>
      <c r="H8" s="24">
        <f t="shared" si="0"/>
        <v>-306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f>-292953-750</f>
        <v>-293703</v>
      </c>
      <c r="E9" s="11">
        <v>-307670</v>
      </c>
      <c r="F9" s="11"/>
      <c r="G9" s="11"/>
      <c r="H9" s="24">
        <f t="shared" si="0"/>
        <v>-13967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f>-302287-750</f>
        <v>-303037</v>
      </c>
      <c r="E10" s="11">
        <v>-324302</v>
      </c>
      <c r="F10" s="11"/>
      <c r="G10" s="11"/>
      <c r="H10" s="24">
        <f t="shared" si="0"/>
        <v>-21265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>
        <v>25</v>
      </c>
      <c r="C11" s="11"/>
      <c r="D11" s="11">
        <f>-316556-750</f>
        <v>-317306</v>
      </c>
      <c r="E11" s="11">
        <v>-315034</v>
      </c>
      <c r="F11" s="11">
        <v>25</v>
      </c>
      <c r="G11" s="11"/>
      <c r="H11" s="24">
        <f t="shared" si="0"/>
        <v>2247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f>-299575-750</f>
        <v>-300325</v>
      </c>
      <c r="E12" s="11">
        <v>-292964</v>
      </c>
      <c r="F12" s="11"/>
      <c r="G12" s="11"/>
      <c r="H12" s="24">
        <f t="shared" si="0"/>
        <v>7361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f>-299393-750</f>
        <v>-300143</v>
      </c>
      <c r="E13" s="11">
        <v>-300098</v>
      </c>
      <c r="F13" s="11"/>
      <c r="G13" s="11"/>
      <c r="H13" s="24">
        <f t="shared" si="0"/>
        <v>45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f>-304849-750</f>
        <v>-305599</v>
      </c>
      <c r="E14" s="11">
        <v>-290831</v>
      </c>
      <c r="F14" s="11"/>
      <c r="G14" s="11"/>
      <c r="H14" s="24">
        <f t="shared" si="0"/>
        <v>14768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f>-311901-750</f>
        <v>-312651</v>
      </c>
      <c r="E15" s="11">
        <v>-310222</v>
      </c>
      <c r="F15" s="11"/>
      <c r="G15" s="11"/>
      <c r="H15" s="24">
        <f t="shared" si="0"/>
        <v>2429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f>-316740-750</f>
        <v>-317490</v>
      </c>
      <c r="E16" s="11">
        <v>-316878</v>
      </c>
      <c r="F16" s="11"/>
      <c r="G16" s="11"/>
      <c r="H16" s="24">
        <f t="shared" si="0"/>
        <v>612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f>-259400-750</f>
        <v>-260150</v>
      </c>
      <c r="E17" s="11">
        <v>-259196</v>
      </c>
      <c r="F17" s="11"/>
      <c r="G17" s="11"/>
      <c r="H17" s="24">
        <f t="shared" si="0"/>
        <v>954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f>-317090-750</f>
        <v>-317840</v>
      </c>
      <c r="E18" s="11">
        <v>-321641</v>
      </c>
      <c r="F18" s="11"/>
      <c r="G18" s="11"/>
      <c r="H18" s="24">
        <f t="shared" si="0"/>
        <v>-3801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f>-294314-750</f>
        <v>-295064</v>
      </c>
      <c r="E19" s="11">
        <v>-292920</v>
      </c>
      <c r="F19" s="11"/>
      <c r="G19" s="11"/>
      <c r="H19" s="24">
        <f t="shared" si="0"/>
        <v>2144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f>-298603-750</f>
        <v>-299353</v>
      </c>
      <c r="E20" s="11">
        <v>-301810</v>
      </c>
      <c r="F20" s="11"/>
      <c r="G20" s="11"/>
      <c r="H20" s="24">
        <f t="shared" si="0"/>
        <v>-2457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f>-267728-750</f>
        <v>-268478</v>
      </c>
      <c r="E21" s="11">
        <v>-269282</v>
      </c>
      <c r="F21" s="11"/>
      <c r="G21" s="11"/>
      <c r="H21" s="24">
        <f t="shared" si="0"/>
        <v>-804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f>-293746-750</f>
        <v>-294496</v>
      </c>
      <c r="E22" s="11">
        <v>-292599</v>
      </c>
      <c r="F22" s="11"/>
      <c r="G22" s="11"/>
      <c r="H22" s="24">
        <f t="shared" si="0"/>
        <v>1897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f>-303611-750</f>
        <v>-304361</v>
      </c>
      <c r="E23" s="11">
        <v>-303149</v>
      </c>
      <c r="F23" s="11"/>
      <c r="G23" s="11"/>
      <c r="H23" s="24">
        <f t="shared" si="0"/>
        <v>1212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>
        <f>-242504-750</f>
        <v>-243254</v>
      </c>
      <c r="E24" s="11">
        <v>-246441</v>
      </c>
      <c r="F24" s="11"/>
      <c r="G24" s="11"/>
      <c r="H24" s="24">
        <f t="shared" si="0"/>
        <v>-3187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f>-294995-750</f>
        <v>-295745</v>
      </c>
      <c r="E25" s="11">
        <v>-297552</v>
      </c>
      <c r="F25" s="11"/>
      <c r="G25" s="11"/>
      <c r="H25" s="24">
        <f t="shared" si="0"/>
        <v>-1807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f>-268006-750</f>
        <v>-268756</v>
      </c>
      <c r="E26" s="11">
        <v>-268856</v>
      </c>
      <c r="F26" s="11"/>
      <c r="G26" s="11"/>
      <c r="H26" s="24">
        <f t="shared" si="0"/>
        <v>-100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25</v>
      </c>
      <c r="C36" s="11">
        <f t="shared" si="15"/>
        <v>0</v>
      </c>
      <c r="D36" s="11">
        <f t="shared" si="15"/>
        <v>-6368635</v>
      </c>
      <c r="E36" s="11">
        <f t="shared" si="15"/>
        <v>-6381894</v>
      </c>
      <c r="F36" s="11">
        <f t="shared" si="15"/>
        <v>25</v>
      </c>
      <c r="G36" s="11">
        <f t="shared" si="15"/>
        <v>0</v>
      </c>
      <c r="H36" s="11">
        <f t="shared" si="15"/>
        <v>-13284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-25</v>
      </c>
      <c r="E37" s="25">
        <f>+E36-D36</f>
        <v>-13259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37134</v>
      </c>
      <c r="B38" s="2" t="s">
        <v>46</v>
      </c>
      <c r="C38" s="468">
        <v>64269</v>
      </c>
      <c r="D38" s="338"/>
      <c r="E38" s="467">
        <v>-65974</v>
      </c>
      <c r="F38" s="24"/>
      <c r="G38" s="24"/>
      <c r="H38" s="240">
        <f>+C38+E38+G38</f>
        <v>-1705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37156</v>
      </c>
      <c r="B39" s="2" t="s">
        <v>46</v>
      </c>
      <c r="C39" s="131">
        <f>+C38+C37</f>
        <v>64244</v>
      </c>
      <c r="D39" s="259"/>
      <c r="E39" s="131">
        <f>+E38+E37</f>
        <v>-79233</v>
      </c>
      <c r="F39" s="259"/>
      <c r="G39" s="131"/>
      <c r="H39" s="131">
        <f>+H38+H36</f>
        <v>-14989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67"/>
      <c r="E41" s="367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155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37134</v>
      </c>
      <c r="B44" s="32"/>
      <c r="C44" s="469">
        <v>-1582961.01</v>
      </c>
      <c r="D44" s="207"/>
      <c r="E44" s="470">
        <v>942518.92</v>
      </c>
      <c r="F44" s="47">
        <f>+E44+C44</f>
        <v>-640442.09</v>
      </c>
      <c r="G44" s="252"/>
      <c r="H44" s="40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37156</v>
      </c>
      <c r="B45" s="32"/>
      <c r="C45" s="47">
        <f>+C37*summary!H4</f>
        <v>-49</v>
      </c>
      <c r="D45" s="207"/>
      <c r="E45" s="407">
        <f>+E37*summary!H3</f>
        <v>-24131.38</v>
      </c>
      <c r="F45" s="47">
        <f>+E45+C45</f>
        <v>-24180.38</v>
      </c>
      <c r="G45" s="252"/>
      <c r="H45" s="40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-1583010.01</v>
      </c>
      <c r="D46" s="207"/>
      <c r="E46" s="407">
        <f>+E45+E44</f>
        <v>918387.54</v>
      </c>
      <c r="F46" s="47">
        <f>+E46+C46</f>
        <v>-664622.47</v>
      </c>
      <c r="G46" s="252"/>
      <c r="H46" s="40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07"/>
      <c r="D47" s="407"/>
      <c r="E47" s="407"/>
      <c r="F47" s="47"/>
      <c r="G47" s="252"/>
      <c r="H47" s="40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6" workbookViewId="3">
      <selection activeCell="C29" sqref="C29"/>
    </sheetView>
  </sheetViews>
  <sheetFormatPr defaultRowHeight="12.75" x14ac:dyDescent="0.2"/>
  <cols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205</v>
      </c>
      <c r="C4" s="295"/>
      <c r="D4" s="295"/>
      <c r="E4" s="3"/>
      <c r="F4" s="1"/>
      <c r="I4" s="3"/>
      <c r="J4" s="1"/>
      <c r="M4" s="3"/>
      <c r="N4" s="1"/>
    </row>
    <row r="5" spans="1:16" x14ac:dyDescent="0.2">
      <c r="A5" s="366" t="s">
        <v>11</v>
      </c>
      <c r="B5" s="498" t="s">
        <v>20</v>
      </c>
      <c r="C5" s="498" t="s">
        <v>21</v>
      </c>
      <c r="D5" s="498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99">
        <v>1</v>
      </c>
      <c r="B6" s="446">
        <v>139453</v>
      </c>
      <c r="C6" s="446">
        <v>137487</v>
      </c>
      <c r="D6" s="321">
        <f>+C6-B6</f>
        <v>-1966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99">
        <v>2</v>
      </c>
      <c r="B7" s="507">
        <v>136238</v>
      </c>
      <c r="C7" s="446">
        <v>132590</v>
      </c>
      <c r="D7" s="321">
        <f>+C7-B7</f>
        <v>-3648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99">
        <v>3</v>
      </c>
      <c r="B8" s="507">
        <v>140193</v>
      </c>
      <c r="C8" s="446">
        <v>138247</v>
      </c>
      <c r="D8" s="321">
        <f t="shared" ref="D8:D36" si="0">+C8-B8</f>
        <v>-1946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99">
        <v>4</v>
      </c>
      <c r="B9" s="507">
        <v>139552</v>
      </c>
      <c r="C9" s="446">
        <v>143874</v>
      </c>
      <c r="D9" s="321">
        <f t="shared" si="0"/>
        <v>4322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99">
        <v>5</v>
      </c>
      <c r="B10" s="507">
        <v>107543</v>
      </c>
      <c r="C10" s="446">
        <v>105917</v>
      </c>
      <c r="D10" s="321">
        <f t="shared" si="0"/>
        <v>-1626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99">
        <v>6</v>
      </c>
      <c r="B11" s="507">
        <v>84585</v>
      </c>
      <c r="C11" s="446">
        <v>78803</v>
      </c>
      <c r="D11" s="321">
        <f t="shared" si="0"/>
        <v>-5782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99">
        <v>7</v>
      </c>
      <c r="B12" s="507">
        <v>91306</v>
      </c>
      <c r="C12" s="446">
        <v>89095</v>
      </c>
      <c r="D12" s="321">
        <f t="shared" si="0"/>
        <v>-2211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99">
        <v>8</v>
      </c>
      <c r="B13" s="446">
        <v>137167</v>
      </c>
      <c r="C13" s="446">
        <v>135312</v>
      </c>
      <c r="D13" s="321">
        <f t="shared" si="0"/>
        <v>-1855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99">
        <v>9</v>
      </c>
      <c r="B14" s="446">
        <v>137690</v>
      </c>
      <c r="C14" s="446">
        <v>134643</v>
      </c>
      <c r="D14" s="321">
        <f t="shared" si="0"/>
        <v>-3047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99">
        <v>10</v>
      </c>
      <c r="B15" s="446">
        <v>128225</v>
      </c>
      <c r="C15" s="446">
        <v>130397</v>
      </c>
      <c r="D15" s="321">
        <f t="shared" si="0"/>
        <v>2172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99">
        <v>11</v>
      </c>
      <c r="B16" s="446">
        <v>136545</v>
      </c>
      <c r="C16" s="446">
        <v>132866</v>
      </c>
      <c r="D16" s="321">
        <f t="shared" si="0"/>
        <v>-3679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99">
        <v>12</v>
      </c>
      <c r="B17" s="446">
        <v>127883</v>
      </c>
      <c r="C17" s="446">
        <v>126132</v>
      </c>
      <c r="D17" s="321">
        <f t="shared" si="0"/>
        <v>-1751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99">
        <v>13</v>
      </c>
      <c r="B18" s="446">
        <v>130163</v>
      </c>
      <c r="C18" s="446">
        <v>129359</v>
      </c>
      <c r="D18" s="321">
        <f t="shared" si="0"/>
        <v>-804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99">
        <v>14</v>
      </c>
      <c r="B19" s="446">
        <v>142784</v>
      </c>
      <c r="C19" s="446">
        <v>149034</v>
      </c>
      <c r="D19" s="321">
        <f t="shared" si="0"/>
        <v>6250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99">
        <v>15</v>
      </c>
      <c r="B20" s="446">
        <v>128945</v>
      </c>
      <c r="C20" s="446">
        <v>128745</v>
      </c>
      <c r="D20" s="321">
        <f t="shared" si="0"/>
        <v>-200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99">
        <v>16</v>
      </c>
      <c r="B21" s="446">
        <v>133900</v>
      </c>
      <c r="C21" s="446">
        <v>131606</v>
      </c>
      <c r="D21" s="321">
        <f t="shared" si="0"/>
        <v>-2294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99">
        <v>17</v>
      </c>
      <c r="B22" s="509">
        <v>133203</v>
      </c>
      <c r="C22" s="446">
        <v>133203</v>
      </c>
      <c r="D22" s="321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99">
        <v>18</v>
      </c>
      <c r="B23" s="446">
        <v>136733</v>
      </c>
      <c r="C23" s="446">
        <v>134371</v>
      </c>
      <c r="D23" s="321">
        <f t="shared" si="0"/>
        <v>-2362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99">
        <v>19</v>
      </c>
      <c r="B24" s="446">
        <v>147463</v>
      </c>
      <c r="C24" s="446">
        <v>145224</v>
      </c>
      <c r="D24" s="321">
        <f t="shared" si="0"/>
        <v>-2239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99">
        <v>20</v>
      </c>
      <c r="B25" s="446">
        <v>138339</v>
      </c>
      <c r="C25" s="446">
        <v>136579</v>
      </c>
      <c r="D25" s="321">
        <f t="shared" si="0"/>
        <v>-1760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99">
        <v>21</v>
      </c>
      <c r="B26" s="446">
        <v>147869</v>
      </c>
      <c r="C26" s="446">
        <v>145541</v>
      </c>
      <c r="D26" s="321">
        <f t="shared" si="0"/>
        <v>-2328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99">
        <v>22</v>
      </c>
      <c r="B27" s="446">
        <v>137991</v>
      </c>
      <c r="C27" s="446">
        <v>136259</v>
      </c>
      <c r="D27" s="321">
        <f t="shared" si="0"/>
        <v>-1732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99">
        <v>23</v>
      </c>
      <c r="B28" s="446">
        <v>138286</v>
      </c>
      <c r="C28" s="446">
        <v>136130</v>
      </c>
      <c r="D28" s="321">
        <f t="shared" si="0"/>
        <v>-2156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99">
        <v>24</v>
      </c>
      <c r="B29" s="446"/>
      <c r="C29" s="446"/>
      <c r="D29" s="321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99">
        <v>25</v>
      </c>
      <c r="B30" s="446"/>
      <c r="C30" s="446"/>
      <c r="D30" s="321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99">
        <v>26</v>
      </c>
      <c r="B31" s="446"/>
      <c r="C31" s="446"/>
      <c r="D31" s="321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99">
        <v>27</v>
      </c>
      <c r="B32" s="446"/>
      <c r="C32" s="446"/>
      <c r="D32" s="321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99">
        <v>28</v>
      </c>
      <c r="B33" s="446"/>
      <c r="C33" s="446"/>
      <c r="D33" s="321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99">
        <v>29</v>
      </c>
      <c r="B34" s="446"/>
      <c r="C34" s="446"/>
      <c r="D34" s="321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99">
        <v>30</v>
      </c>
      <c r="B35" s="446"/>
      <c r="C35" s="446"/>
      <c r="D35" s="321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99">
        <v>31</v>
      </c>
      <c r="B36" s="446"/>
      <c r="C36" s="446"/>
      <c r="D36" s="321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99"/>
      <c r="B37" s="446">
        <f>SUM(B6:B36)</f>
        <v>3022056</v>
      </c>
      <c r="C37" s="446">
        <f>SUM(C6:C36)</f>
        <v>2991414</v>
      </c>
      <c r="D37" s="446">
        <f>SUM(D6:D36)</f>
        <v>-30642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500"/>
      <c r="B38" s="295"/>
      <c r="C38" s="501"/>
      <c r="D38" s="295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6">
        <v>37134</v>
      </c>
      <c r="B39" s="295"/>
      <c r="C39" s="504"/>
      <c r="D39" s="508">
        <v>87070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6">
        <v>37157</v>
      </c>
      <c r="B40" s="295"/>
      <c r="C40" s="506"/>
      <c r="D40" s="321">
        <f>+D39+D37</f>
        <v>56428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155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37134</v>
      </c>
      <c r="B45" s="32"/>
      <c r="C45" s="32"/>
      <c r="D45" s="476">
        <v>495759.6</v>
      </c>
    </row>
    <row r="46" spans="1:16" x14ac:dyDescent="0.2">
      <c r="A46" s="49">
        <f>+A40</f>
        <v>37157</v>
      </c>
      <c r="B46" s="32"/>
      <c r="C46" s="32"/>
      <c r="D46" s="405">
        <f>+D37*'by type_area'!J3</f>
        <v>-55768.44</v>
      </c>
    </row>
    <row r="47" spans="1:16" x14ac:dyDescent="0.2">
      <c r="A47" s="32"/>
      <c r="B47" s="32"/>
      <c r="C47" s="32"/>
      <c r="D47" s="202">
        <f>+D46+D45</f>
        <v>439991.16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2001-09-24T22:51:54Z</cp:lastPrinted>
  <dcterms:created xsi:type="dcterms:W3CDTF">2000-03-28T16:52:23Z</dcterms:created>
  <dcterms:modified xsi:type="dcterms:W3CDTF">2023-09-17T17:08:03Z</dcterms:modified>
</cp:coreProperties>
</file>