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27A5E0-9044-491F-A4E1-BCDA1F4534D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<sst xmlns="http://schemas.openxmlformats.org/spreadsheetml/2006/main" count="1484" uniqueCount="565">
  <si>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</si>
  <si>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</si>
  <si>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</si>
  <si>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</si>
  <si>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</si>
  <si>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</si>
  <si>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</si>
  <si>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</si>
  <si>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</si>
  <si>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</si>
  <si>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</si>
  <si>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</si>
  <si>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</si>
  <si>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</si>
  <si>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</si>
  <si>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</si>
  <si>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</si>
  <si>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</si>
  <si>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</si>
  <si>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</si>
  <si>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</si>
  <si>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</si>
  <si>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</si>
  <si>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</si>
  <si>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</si>
  <si>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</si>
  <si>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</si>
  <si>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</si>
  <si>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</si>
  <si>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</si>
  <si>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</si>
  <si>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</si>
  <si>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</si>
  <si>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</si>
  <si>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</si>
  <si>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</si>
  <si>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</si>
  <si>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</si>
  <si>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</si>
  <si>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</si>
  <si>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</si>
  <si>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</si>
  <si>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</si>
  <si>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</si>
  <si>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</si>
  <si>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</si>
  <si>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</si>
  <si>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</si>
  <si>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</si>
  <si>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</si>
  <si>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</si>
  <si>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</si>
  <si>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</si>
  <si>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</si>
  <si>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</si>
  <si>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</si>
  <si>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</si>
  <si>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</si>
  <si>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</si>
  <si>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</si>
  <si>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</si>
  <si>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</si>
  <si>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</si>
  <si>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</si>
  <si>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</si>
  <si>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</si>
  <si>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</si>
  <si>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</si>
  <si>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</si>
  <si>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</si>
  <si>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</si>
  <si>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</si>
  <si>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</si>
  <si>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</si>
  <si>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</si>
  <si>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</si>
  <si>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</si>
  <si>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</si>
  <si>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</si>
  <si>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</si>
  <si>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</si>
  <si>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</si>
  <si>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</si>
  <si>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</si>
  <si>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</si>
  <si>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</si>
  <si>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</si>
  <si>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</si>
  <si>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</si>
  <si>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</si>
  <si>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</si>
  <si>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</si>
  <si>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</si>
  <si>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</si>
  <si>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</si>
  <si>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</si>
  <si>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</si>
  <si>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</si>
  <si>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</si>
  <si>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</si>
  <si>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</si>
  <si>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</si>
  <si>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</si>
  <si>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</si>
  <si>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</si>
  <si>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</si>
  <si>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</si>
  <si>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</si>
  <si>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</si>
  <si>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</si>
  <si>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</si>
  <si>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</si>
  <si>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</si>
  <si>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</si>
  <si>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</si>
  <si>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</si>
  <si>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</si>
  <si>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</si>
  <si>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</si>
  <si>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</si>
  <si>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</si>
  <si>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</si>
  <si>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</si>
  <si>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</si>
  <si>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</si>
  <si>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</si>
  <si>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</si>
  <si>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</si>
  <si>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</si>
  <si>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</si>
  <si>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</si>
  <si>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</si>
  <si>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</si>
  <si>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</si>
  <si>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</si>
  <si>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</si>
  <si>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</si>
  <si>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</si>
  <si>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</si>
  <si>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</si>
  <si>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</si>
  <si>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</si>
  <si>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</si>
  <si>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</si>
  <si>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</si>
  <si>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</si>
  <si>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</si>
  <si>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</si>
  <si>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</si>
  <si>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</si>
  <si>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</si>
  <si>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</si>
  <si>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</si>
  <si>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</si>
  <si>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</si>
  <si>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</si>
  <si>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</si>
  <si>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</si>
  <si>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</si>
  <si>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</si>
  <si>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</si>
  <si>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</si>
  <si>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</si>
  <si>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</si>
  <si>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</si>
  <si>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</si>
  <si>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</si>
  <si>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</si>
  <si>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</si>
  <si>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</si>
  <si>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</si>
  <si>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</si>
  <si>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</si>
  <si>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</si>
  <si>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</si>
  <si>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</si>
  <si>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</si>
  <si>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</si>
  <si>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</si>
  <si>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</si>
  <si>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</si>
  <si>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</si>
  <si>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</si>
  <si>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</si>
  <si>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</si>
  <si>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</si>
  <si>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</si>
  <si>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</si>
  <si>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</si>
  <si>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</si>
  <si>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</si>
  <si>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</si>
  <si>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</si>
  <si>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</si>
  <si>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</si>
  <si>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</si>
  <si>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</si>
  <si>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</si>
  <si>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</si>
  <si>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</si>
  <si>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</si>
  <si>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</si>
  <si>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</si>
  <si>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</si>
  <si>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</si>
  <si>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Brigham Common Raptor I</t>
  </si>
  <si>
    <t>Inland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</si>
  <si>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</si>
  <si>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</si>
  <si>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</si>
  <si>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</si>
  <si>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</si>
  <si>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</si>
  <si>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</si>
  <si>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</si>
  <si>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</si>
  <si>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</si>
  <si>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</si>
  <si>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</si>
  <si>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</si>
  <si>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HV Marine Warrants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</si>
  <si>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</si>
  <si>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</si>
  <si>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</si>
  <si>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</si>
  <si>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</si>
  <si>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</si>
  <si>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</si>
  <si>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</si>
  <si>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</si>
  <si>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</si>
  <si>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</si>
  <si>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</si>
  <si>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</si>
  <si>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</si>
  <si>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</si>
  <si>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</si>
  <si>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</si>
  <si>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</si>
  <si>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</si>
  <si>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</si>
  <si>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</si>
  <si>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</si>
  <si>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</si>
  <si>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</si>
  <si>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</si>
  <si>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</si>
  <si>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</si>
  <si>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</si>
  <si>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</si>
  <si>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</si>
  <si>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</si>
  <si>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</si>
  <si>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</si>
  <si>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</si>
  <si>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</si>
  <si>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</si>
  <si>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</si>
  <si>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</si>
  <si>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</si>
  <si>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</si>
  <si>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</si>
  <si>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</si>
  <si>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</si>
  <si>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</si>
  <si>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</si>
  <si>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</si>
  <si>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</si>
  <si>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</si>
  <si>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</si>
  <si>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</si>
  <si>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</si>
  <si>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</si>
  <si>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</si>
  <si>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</si>
  <si>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</si>
  <si>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</si>
  <si>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</si>
  <si>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</si>
  <si>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</si>
  <si>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</si>
  <si>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</si>
  <si>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</si>
  <si>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</si>
  <si>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</si>
  <si>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</si>
  <si>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</si>
  <si>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</si>
  <si>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</si>
  <si>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</si>
  <si>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</si>
  <si>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</si>
  <si>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</si>
  <si>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</si>
  <si>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</si>
  <si>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</si>
  <si>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</si>
  <si>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</si>
  <si>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</si>
  <si>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</si>
  <si>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</si>
  <si>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</si>
  <si>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</si>
  <si>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</si>
  <si>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</si>
  <si>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</si>
  <si>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</si>
  <si>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</si>
  <si>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</si>
  <si>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</si>
  <si>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</si>
  <si>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</si>
  <si>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</si>
  <si>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</si>
  <si>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</si>
  <si>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</si>
  <si>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</si>
  <si>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</si>
  <si>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</si>
  <si>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</si>
  <si>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</si>
  <si>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</si>
  <si>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</si>
  <si>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</si>
  <si>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</si>
  <si>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</si>
  <si>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</si>
  <si>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</si>
  <si>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</si>
  <si>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</si>
  <si>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</si>
  <si>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</si>
  <si>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</si>
  <si>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</si>
  <si>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</si>
  <si>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</si>
  <si>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</si>
  <si>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</si>
  <si>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</si>
  <si>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</si>
  <si>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</si>
  <si>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</si>
  <si>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</si>
  <si>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</si>
  <si>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</si>
  <si>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</si>
  <si>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</si>
  <si>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</si>
  <si>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</si>
  <si>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</si>
  <si>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</si>
  <si>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</si>
  <si>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</si>
  <si>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</si>
  <si>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</si>
  <si>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</si>
  <si>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</si>
  <si>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</si>
  <si>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</si>
  <si>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</si>
  <si>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</si>
  <si>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</si>
  <si>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</si>
  <si>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</si>
  <si>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</si>
  <si>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</si>
  <si>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</si>
  <si>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</si>
  <si>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</si>
  <si>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</si>
  <si>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</si>
  <si>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</si>
  <si>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</si>
  <si>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</si>
  <si>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</si>
  <si>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</si>
  <si>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</si>
  <si>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</si>
  <si>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</si>
  <si>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</si>
  <si>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</si>
  <si>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</si>
  <si>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</si>
  <si>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</si>
  <si>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</si>
  <si>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</si>
  <si>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</si>
  <si>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</si>
  <si>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</si>
  <si>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</si>
  <si>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</si>
  <si>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</si>
  <si>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</si>
  <si>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</si>
  <si>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</si>
  <si>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</si>
  <si>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</si>
  <si>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</si>
  <si>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</si>
  <si>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</si>
  <si>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</si>
  <si>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</si>
  <si>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</si>
  <si>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</si>
  <si>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</si>
  <si>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</si>
  <si>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</si>
  <si>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</si>
  <si>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</si>
  <si>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</si>
  <si>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</si>
  <si>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</si>
  <si>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</si>
  <si>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</si>
  <si>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</si>
  <si>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</si>
  <si>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</si>
  <si>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</si>
  <si>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</si>
  <si>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</si>
  <si>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</si>
  <si>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</si>
  <si>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</si>
  <si>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</si>
  <si>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</si>
  <si>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</si>
  <si>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</si>
  <si>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</si>
  <si>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</si>
  <si>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</si>
  <si>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</si>
  <si>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</si>
  <si>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</si>
  <si>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</si>
  <si>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</si>
  <si>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</si>
  <si>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</si>
  <si>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</si>
  <si>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</si>
  <si>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</si>
  <si>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</si>
  <si>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</si>
  <si>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</si>
  <si>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</si>
  <si>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</si>
  <si>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</si>
  <si>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</si>
  <si>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</si>
  <si>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</si>
  <si>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</si>
  <si>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</si>
  <si>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</si>
  <si>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</si>
  <si>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</si>
  <si>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</si>
  <si>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</si>
  <si>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</si>
  <si>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</si>
  <si>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</si>
  <si>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</si>
  <si>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</si>
  <si>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</si>
  <si>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</si>
  <si>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</si>
  <si>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</si>
  <si>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</si>
  <si>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</si>
  <si>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</si>
  <si>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</si>
  <si>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</si>
  <si>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</si>
  <si>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</si>
  <si>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</si>
  <si>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</si>
  <si>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</si>
  <si>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</si>
  <si>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</si>
  <si>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</si>
  <si>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</si>
  <si>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</si>
  <si>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</si>
  <si>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</si>
  <si>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</si>
  <si>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</si>
  <si>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</si>
  <si>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</si>
  <si>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</si>
  <si>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</si>
  <si>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</si>
  <si>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</si>
  <si>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</si>
  <si>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</si>
  <si>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</si>
  <si>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</si>
  <si>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</si>
  <si>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</si>
  <si>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</si>
  <si>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</si>
  <si>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</si>
  <si>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</si>
  <si>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</si>
  <si>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</si>
  <si>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</si>
  <si>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</si>
  <si>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</si>
  <si>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</si>
  <si>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</si>
  <si>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</si>
  <si>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</si>
  <si>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</si>
  <si>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</si>
  <si>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</si>
  <si>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</si>
  <si>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</si>
  <si>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</si>
  <si>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</si>
  <si>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</si>
  <si>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</si>
  <si>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</si>
  <si>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</si>
  <si>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</si>
  <si>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</si>
  <si>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</si>
  <si>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</si>
  <si>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</si>
  <si>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</si>
  <si>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</si>
  <si>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</si>
  <si>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</si>
  <si>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</si>
  <si>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</si>
  <si>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</si>
  <si>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</si>
  <si>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</si>
  <si>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</si>
  <si>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</si>
  <si>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</si>
  <si>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</si>
  <si>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</si>
  <si>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</si>
  <si>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</si>
  <si>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</si>
  <si>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</si>
  <si>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</si>
  <si>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</si>
  <si>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</si>
  <si>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</si>
  <si>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</si>
  <si>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</si>
  <si>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</si>
  <si>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</si>
  <si>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</si>
  <si>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</si>
  <si>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</si>
  <si>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</si>
  <si>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</si>
  <si>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</si>
  <si>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</si>
  <si>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</si>
  <si>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</si>
  <si>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</si>
  <si>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</si>
  <si>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</si>
  <si>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</si>
  <si>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MPR to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</si>
</sst>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4" sqref="C4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79" t="s">
        <v>128</v>
      </c>
      <c r="C2" s="279"/>
      <c r="D2" s="279"/>
      <c r="E2" s="27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36920</v>
      </c>
      <c r="D5" s="67" t="s">
        <v>20</v>
      </c>
      <c r="E5" s="68">
        <f>+C5-1</f>
        <v>36919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-298955088.49888664</v>
      </c>
      <c r="D12" s="71">
        <f>+'Daily Position'!S59</f>
        <v>-73827735.572398722</v>
      </c>
      <c r="E12" s="71">
        <f>+C12-D12</f>
        <v>-225127352.92648792</v>
      </c>
      <c r="F12" s="63"/>
    </row>
    <row r="13" spans="1:6" x14ac:dyDescent="0.25">
      <c r="A13" s="62"/>
      <c r="B13" s="64" t="s">
        <v>10</v>
      </c>
      <c r="C13" s="56">
        <f>+C15-C12</f>
        <v>-100456203.71704996</v>
      </c>
      <c r="D13" s="56">
        <f>+D15-D12</f>
        <v>0</v>
      </c>
      <c r="E13" s="56">
        <f>+E15-E12</f>
        <v>-100456203.71704996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-399411292.2159366</v>
      </c>
      <c r="D15" s="57">
        <f>+'Daily Position'!Q59</f>
        <v>-73827735.572398722</v>
      </c>
      <c r="E15" s="57">
        <f>+C15-D15</f>
        <v>-325583556.64353788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-110784070.3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R46" activePane="bottomRight" state="frozen"/>
      <selection pane="topRight" activeCell="B1" sqref="B1"/>
      <selection pane="bottomLeft" activeCell="A3" sqref="A3"/>
      <selection pane="bottomRight" activeCell="X55" sqref="X55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bestFit="1" customWidth="1"/>
    <col min="25" max="25" width="19.375" bestFit="1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516</v>
      </c>
      <c r="K1" s="285"/>
      <c r="L1" s="285"/>
      <c r="M1" s="28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  <c r="Z1" s="280" t="s">
        <v>558</v>
      </c>
      <c r="AA1" s="281"/>
      <c r="AB1" s="280" t="s">
        <v>557</v>
      </c>
      <c r="AC1" s="281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236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236</v>
      </c>
      <c r="V2" s="83" t="s">
        <v>482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2.099980879133561</v>
      </c>
      <c r="O4" s="260">
        <f>+Summary!$C$5</f>
        <v>36920</v>
      </c>
      <c r="P4" s="4">
        <f>IF(O4&lt;B4,0,ROUND((+N4*(H4-IF(J4&gt;O4-1,0,L4))),2)-ROUND(((H4-IF(J4&gt;O4-1,0,L4))*G4),2))</f>
        <v>71861.170000000013</v>
      </c>
      <c r="Q4" s="4">
        <v>0</v>
      </c>
      <c r="R4" s="5">
        <f t="shared" ref="R4:R13" si="1">+P4+Q4</f>
        <v>71861.170000000013</v>
      </c>
      <c r="S4" s="4">
        <v>0</v>
      </c>
      <c r="T4" s="4">
        <f>IF(Summary!$E$5&lt;'Daily Position'!B4,0,ROUND(+U4*(H4-L4),2)+M4-I4)</f>
        <v>66965.87</v>
      </c>
      <c r="U4" s="2">
        <f>+VLOOKUP(+Summary!$E$5,StkPrices,+'Stock Prices'!H$2)</f>
        <v>2.0372206953941956</v>
      </c>
      <c r="V4" s="2"/>
      <c r="W4" s="140">
        <f>+N4*H4-'MPR Raptor'!U60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-47966.35</v>
      </c>
      <c r="AD4" s="140">
        <f>-AC4+'MPR Raptor'!AH60</f>
        <v>-4.505244352912996E-3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22.875</v>
      </c>
      <c r="O5" s="260">
        <f>+Summary!$C$5</f>
        <v>36920</v>
      </c>
      <c r="P5" s="4">
        <f>IF(O5&lt;B5,0,ROUND((+N5*(H5-IF(J5&gt;O5-1,0,L5))),2)-ROUND(((H5-IF(J5&gt;O5-1,0,L5))*G5),2))</f>
        <v>-30760848.570000004</v>
      </c>
      <c r="Q5" s="4">
        <f>IF(J5&lt;(O5+1),(+K5-G5)*L5,0)</f>
        <v>-7079860.9399998812</v>
      </c>
      <c r="R5" s="5">
        <f>+P5+Q5</f>
        <v>-37840709.509999886</v>
      </c>
      <c r="S5" s="4">
        <f>IF(J5&lt;O5,+Q5,0)</f>
        <v>-7079860.9399998812</v>
      </c>
      <c r="T5" s="4">
        <f>IF(Summary!$E$5&lt;'Daily Position'!B5,0,ROUND(+U5*(H5-L5),2)+M5-I5)</f>
        <v>-37713071.140000001</v>
      </c>
      <c r="U5" s="2">
        <f>+VLOOKUP(+Summary!$E$5,StkPrices,+'Stock Prices'!D$2)</f>
        <v>23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1806937.68</v>
      </c>
      <c r="AD5" s="140">
        <f>'MPR Raptor'!AH29-AC5</f>
        <v>-7.5000005308538675E-3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32</v>
      </c>
      <c r="O6" s="260">
        <f>+Summary!$C$5</f>
        <v>36920</v>
      </c>
      <c r="P6" s="4">
        <f>IF(O6&lt;B6,0,ROUND((+N6*(H6-IF(J6&gt;O6-1,0,L6))),2)-ROUND(((H6-IF(J6&gt;O6-1,0,L6))*G6),2))</f>
        <v>-142561593</v>
      </c>
      <c r="Q6" s="4">
        <f>IF(J6&lt;(O6+1),(+K6-G6)*L6,0)</f>
        <v>-132061.01999999999</v>
      </c>
      <c r="R6" s="5">
        <f>+P6+Q6</f>
        <v>-142693654.02000001</v>
      </c>
      <c r="S6" s="4">
        <f>IF(J6&lt;O6,+Q6,0)</f>
        <v>-132061.01999999999</v>
      </c>
      <c r="T6" s="4">
        <f>IF(Summary!$E$5&lt;'Daily Position'!B6,0,ROUND(+U6*(H6-L6),2)+M6-I6)</f>
        <v>-143512973.52000001</v>
      </c>
      <c r="U6" s="2">
        <f>+VLOOKUP(+Summary!$E$5,StkPrices,+'Stock Prices'!C$2)</f>
        <v>31.25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8062455.7300000004</v>
      </c>
      <c r="AD6" s="140">
        <f>'MPR Raptor'!AH7-AC6</f>
        <v>3.3333338797092438E-3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6.9898168168904204</v>
      </c>
      <c r="O7" s="260">
        <f>+Summary!$C$5</f>
        <v>36920</v>
      </c>
      <c r="P7" s="4">
        <f t="shared" ref="P7:P13" si="4">IF(O7&lt;B7,0,ROUND((+N7*(H7-IF(J7&gt;O7-1,0,L7))),2)-ROUND(((H7-IF(J7&gt;O7-1,0,L7))*G7),2))</f>
        <v>436627.23999999987</v>
      </c>
      <c r="Q7" s="4">
        <v>0</v>
      </c>
      <c r="R7" s="5">
        <f t="shared" si="1"/>
        <v>436627.23999999987</v>
      </c>
      <c r="S7" s="4">
        <v>0</v>
      </c>
      <c r="T7" s="4">
        <f>IF(Summary!$E$5&lt;'Daily Position'!B7,0,ROUND(+U7*(H7-L7),2)+M7-I7)</f>
        <v>417807.61</v>
      </c>
      <c r="U7" s="2">
        <f>+VLOOKUP(+Summary!$E$5,StkPrices,+'Stock Prices'!G$2)</f>
        <v>6.8693711738126817</v>
      </c>
      <c r="V7" s="2"/>
      <c r="W7" s="140">
        <f>+N7*H7-'MPR Raptor'!U59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147469.47</v>
      </c>
      <c r="AD7" s="140">
        <f>-AC7+'MPR Raptor'!AH59</f>
        <v>2.5726525927893817E-4</v>
      </c>
    </row>
    <row r="8" spans="1:30" x14ac:dyDescent="0.25">
      <c r="A8" s="137" t="s">
        <v>514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14.75</v>
      </c>
      <c r="O8" s="260">
        <f>+Summary!$C$5</f>
        <v>36920</v>
      </c>
      <c r="P8" s="4">
        <f>IF(O8&lt;B8,0,ROUND((+N8*H8),2)-I8-Q8)</f>
        <v>-96360531.5</v>
      </c>
      <c r="Q8" s="4">
        <v>0</v>
      </c>
      <c r="R8" s="5">
        <f>+P8+Q8</f>
        <v>-96360531.5</v>
      </c>
      <c r="S8" s="4">
        <v>0</v>
      </c>
      <c r="T8" s="4">
        <f>IF(Summary!$E$5&lt;'Daily Position'!B8,0,ROUND(+U8*(H8-L8),2)+M8-I8)</f>
        <v>-96946469.120000005</v>
      </c>
      <c r="U8" s="2">
        <f>IF(O8&gt;X8-1,+VLOOKUP(+Summary!$E$5,StkPrices,'Stock Prices'!L2),0)</f>
        <v>14.3125</v>
      </c>
      <c r="V8" s="2"/>
      <c r="W8" s="140">
        <f>+N8*H8-'MPR Raptor'!U72</f>
        <v>0</v>
      </c>
      <c r="X8" s="1">
        <v>36874</v>
      </c>
      <c r="Y8" t="s">
        <v>515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-3348215</v>
      </c>
      <c r="AD8" s="140">
        <f>-AC8+'MPR Raptor'!AH72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</v>
      </c>
      <c r="O9" s="260">
        <f>+Summary!$C$5</f>
        <v>36920</v>
      </c>
      <c r="P9" s="4">
        <f t="shared" si="4"/>
        <v>-52404.630000000005</v>
      </c>
      <c r="Q9" s="4">
        <v>0</v>
      </c>
      <c r="R9" s="5">
        <f t="shared" si="1"/>
        <v>-52404.630000000005</v>
      </c>
      <c r="S9" s="4">
        <v>0</v>
      </c>
      <c r="T9" s="4">
        <f>IF(Summary!$E$5&lt;'Daily Position'!B9,0,ROUND(+U9*(H9-L9),2)+M9-I9)</f>
        <v>-52404.630000000005</v>
      </c>
      <c r="U9" s="2">
        <f>+VLOOKUP(+Summary!$E$5,StkPrices,+'Stock Prices'!J$2)</f>
        <v>5</v>
      </c>
      <c r="V9" s="2"/>
      <c r="W9" s="140">
        <f>+N9*H9-'MPR Raptor'!U71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29945.5</v>
      </c>
      <c r="AD9" s="140">
        <f>-AC9+'MPR Raptor'!AH71</f>
        <v>0</v>
      </c>
    </row>
    <row r="10" spans="1:30" x14ac:dyDescent="0.25">
      <c r="A10" t="s">
        <v>435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36920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520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7.1875</v>
      </c>
      <c r="O11" s="260">
        <f>+Summary!$C$5</f>
        <v>36920</v>
      </c>
      <c r="P11" s="4">
        <f t="shared" si="4"/>
        <v>-69444.97</v>
      </c>
      <c r="Q11" s="4">
        <f>IF(J11&lt;(O11+1),(+K11-G11)*L11,0)</f>
        <v>0</v>
      </c>
      <c r="R11" s="5">
        <f t="shared" si="1"/>
        <v>-69444.97</v>
      </c>
      <c r="S11" s="4">
        <f>IF(J11&lt;O11,+Q11,0)</f>
        <v>0</v>
      </c>
      <c r="T11" s="4">
        <f>IF(Summary!$E$5&lt;'Daily Position'!B11,0,ROUND(+U11*(H11-L11),2)+M11-I11)</f>
        <v>-68811.56</v>
      </c>
      <c r="U11" s="2">
        <f>IF(O11=(X11+1),+'Stock Prices'!F65/(229391/12234952),+VLOOKUP(+Summary!$E$5,StkPrices,'Stock Prices'!F2))</f>
        <v>7.25</v>
      </c>
      <c r="V11" s="2"/>
      <c r="W11" s="140">
        <f>+N11*(H11+H12-L11-L12)-'MPR Raptor'!U48</f>
        <v>0</v>
      </c>
      <c r="X11" s="270">
        <v>36824</v>
      </c>
      <c r="Y11" s="3" t="s">
        <v>519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-6967.54</v>
      </c>
      <c r="AD11" s="140">
        <f>-AC11+'MPR Raptor'!AH48</f>
        <v>2.5000001423904905E-3</v>
      </c>
    </row>
    <row r="12" spans="1:30" x14ac:dyDescent="0.25">
      <c r="A12" t="s">
        <v>521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7.1875</v>
      </c>
      <c r="O12" s="260">
        <f>+Summary!$C$5</f>
        <v>36920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7.25</v>
      </c>
      <c r="V12" s="2"/>
      <c r="W12" s="140"/>
      <c r="X12" s="270">
        <v>36824</v>
      </c>
      <c r="Y12" s="3" t="s">
        <v>519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36920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478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36920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Raptor'!U66+'Private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'MPR Raptor'!AH65-AC16</f>
        <v>0</v>
      </c>
    </row>
    <row r="17" spans="1:30" x14ac:dyDescent="0.25">
      <c r="A17" s="137" t="s">
        <v>222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36920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449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36920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223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517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36920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224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517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36920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IF(O20&gt;X20,0,+U20-I20)</f>
        <v>0</v>
      </c>
      <c r="U20" s="4">
        <f>VLOOKUP(+Summary!$E$5,Privates,V20)</f>
        <v>0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513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36920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515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225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36920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Raptor'!U67+'Private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Raptor'!AH67</f>
        <v>0</v>
      </c>
    </row>
    <row r="23" spans="1:30" x14ac:dyDescent="0.25">
      <c r="A23" t="s">
        <v>474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36920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Raptor'!U50+'Private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Raptor'!AH50</f>
        <v>0</v>
      </c>
    </row>
    <row r="24" spans="1:30" x14ac:dyDescent="0.25">
      <c r="A24" s="137" t="s">
        <v>226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517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36920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464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36920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2.7939677238464355E-7</v>
      </c>
      <c r="U25" s="4">
        <f>VLOOKUP(+Summary!$E$5,Privates,V25)</f>
        <v>23507915.000000279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437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36920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0</v>
      </c>
      <c r="U26" s="4">
        <f>VLOOKUP(+Summary!$E$5,Privates,V26)</f>
        <v>10372212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465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36920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0</v>
      </c>
      <c r="U27" s="4">
        <f>VLOOKUP(+Summary!$E$5,Privates,V27)</f>
        <v>1302980</v>
      </c>
      <c r="V27" s="232">
        <f t="shared" si="10"/>
        <v>13</v>
      </c>
      <c r="W27" s="140">
        <f>+N27-'MPR Raptor'!U52+'Private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Raptor'!AH52</f>
        <v>0</v>
      </c>
    </row>
    <row r="28" spans="1:30" x14ac:dyDescent="0.25">
      <c r="A28" s="137" t="s">
        <v>466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36920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0</v>
      </c>
      <c r="U28" s="4">
        <f>VLOOKUP(+Summary!$E$5,Privates,V28)</f>
        <v>3486752</v>
      </c>
      <c r="V28" s="232">
        <f t="shared" si="10"/>
        <v>14</v>
      </c>
      <c r="W28" s="140">
        <f>+N28-'MPR Raptor'!U57+'Private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Raptor'!AH57</f>
        <v>0</v>
      </c>
    </row>
    <row r="29" spans="1:30" x14ac:dyDescent="0.25">
      <c r="A29" s="137" t="s">
        <v>227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36920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0</v>
      </c>
      <c r="U29" s="4">
        <f>VLOOKUP(+Summary!$E$5,Privates,V29)</f>
        <v>429210</v>
      </c>
      <c r="V29" s="232">
        <f t="shared" si="10"/>
        <v>15</v>
      </c>
      <c r="W29" s="140">
        <f>+N29-'MPR Raptor'!U53+'Private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Raptor'!AH53</f>
        <v>0</v>
      </c>
    </row>
    <row r="30" spans="1:30" x14ac:dyDescent="0.25">
      <c r="A30" s="137" t="s">
        <v>228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36920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0</v>
      </c>
      <c r="U30" s="4">
        <f>VLOOKUP(+Summary!$E$5,Privates,V30)</f>
        <v>470790</v>
      </c>
      <c r="V30" s="232">
        <f t="shared" si="10"/>
        <v>16</v>
      </c>
      <c r="W30" s="140">
        <f>+N30-'MPR Raptor'!U54+'Private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Raptor'!AH54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36920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Raptor'!U76+'Private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Raptor'!AH76</f>
        <v>0</v>
      </c>
    </row>
    <row r="32" spans="1:30" x14ac:dyDescent="0.25">
      <c r="A32" s="137" t="s">
        <v>229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36920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Raptor'!U55+'Private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Raptor'!AH55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36920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230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36920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237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36920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231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517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36920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232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36920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Raptor'!U74+'Private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Raptor'!AH74</f>
        <v>0</v>
      </c>
    </row>
    <row r="38" spans="1:30" x14ac:dyDescent="0.25">
      <c r="A38" s="137" t="s">
        <v>233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36920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Raptor'!U77+'Private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Raptor'!AH77</f>
        <v>0</v>
      </c>
    </row>
    <row r="39" spans="1:30" x14ac:dyDescent="0.25">
      <c r="A39" s="137" t="s">
        <v>234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36920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475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36920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235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36920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238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36920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467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36920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468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36920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439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36920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Raptor'!U64+'Private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Raptor'!AH64</f>
        <v>0</v>
      </c>
    </row>
    <row r="46" spans="1:30" x14ac:dyDescent="0.25">
      <c r="A46" s="137" t="s">
        <v>438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36920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Raptor'!U69+'Private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Raptor'!AH69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483</v>
      </c>
      <c r="E47" s="4">
        <v>36066314</v>
      </c>
      <c r="F47" s="77" t="s">
        <v>540</v>
      </c>
      <c r="I47" s="4">
        <v>93746590</v>
      </c>
      <c r="J47" s="260">
        <v>36910</v>
      </c>
      <c r="K47" s="69" t="s">
        <v>560</v>
      </c>
      <c r="L47" s="3"/>
      <c r="M47" s="4">
        <v>63109023.640000001</v>
      </c>
      <c r="N47" s="4">
        <f t="shared" si="5"/>
        <v>30637565.036477998</v>
      </c>
      <c r="O47" s="260">
        <f>+Summary!$C$5</f>
        <v>36920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-1.3235220015048981</v>
      </c>
      <c r="U47" s="4">
        <f>VLOOKUP(+Summary!$E$5,Privates,V47)</f>
        <v>93746588.676477998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239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2.099980879133561</v>
      </c>
      <c r="O50" s="260">
        <f>+Summary!$C$5</f>
        <v>36920</v>
      </c>
      <c r="P50" s="4">
        <f>IF(O50&lt;B50,0,ROUND((+N50*H50),2)-I50-Q50)</f>
        <v>43260.42</v>
      </c>
      <c r="Q50" s="4">
        <v>0</v>
      </c>
      <c r="R50" s="5">
        <f t="shared" ref="R50:R56" si="12">+P50+Q50</f>
        <v>43260.42</v>
      </c>
      <c r="S50" s="4">
        <v>0</v>
      </c>
      <c r="T50" s="4">
        <f>IF(Summary!$E$5&lt;'Daily Position'!B50,0,ROUND(+U50*(H50-L50),2)+M50-I50)</f>
        <v>40313.449999999997</v>
      </c>
      <c r="U50" s="69">
        <f>+U4</f>
        <v>2.0372206953941956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-28875.75</v>
      </c>
      <c r="AD50" s="140">
        <f>'MPR Raptor'!AH19-AC50</f>
        <v>4.5878428936703131E-3</v>
      </c>
    </row>
    <row r="51" spans="1:30" x14ac:dyDescent="0.25">
      <c r="A51" t="s">
        <v>435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36920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7.1875</v>
      </c>
      <c r="O52" s="260">
        <f>+Summary!$C$5</f>
        <v>36920</v>
      </c>
      <c r="P52" s="4">
        <f>IF(O52&lt;B52,0,ROUND((+N52*(H52-L52)),2)-ROUND(((H52-L52)*G52),2))</f>
        <v>-41805.870000000003</v>
      </c>
      <c r="Q52" s="4">
        <f>IF(J52&lt;(O52+1),(+K52-G52)*L52,0)</f>
        <v>0</v>
      </c>
      <c r="R52" s="5">
        <f t="shared" si="12"/>
        <v>-41805.870000000003</v>
      </c>
      <c r="S52" s="4">
        <f>IF(J52&lt;O52,+Q52,0)</f>
        <v>0</v>
      </c>
      <c r="T52" s="4">
        <f>IF(Summary!$E$5&lt;'Daily Position'!B52,0,ROUND(+U52*(H52-L52),2)+M52-I52)</f>
        <v>-41424.560000000005</v>
      </c>
      <c r="U52" s="69">
        <f>+U11</f>
        <v>7.25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-4194.45</v>
      </c>
      <c r="AD52" s="140">
        <f>'MPR Raptor'!AH34-AC52</f>
        <v>-7.5750000078187441E-3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7.1875</v>
      </c>
      <c r="O53" s="260">
        <f>+Summary!$C$5</f>
        <v>36920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7.25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36920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222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36920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41192.653699999471</v>
      </c>
      <c r="X55" t="s">
        <v>564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228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36920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0</v>
      </c>
      <c r="U56" s="4">
        <f>ROUND(+U30/0.6*0.3612,2)</f>
        <v>283415.58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-325583556.64353776</v>
      </c>
      <c r="Q59" s="78">
        <f>SUM(Q3:Q58)</f>
        <v>-73827735.572398722</v>
      </c>
      <c r="R59" s="78">
        <f>SUM(R3:R58)</f>
        <v>-399411292.2159366</v>
      </c>
      <c r="S59" s="239">
        <f>SUM(S3:S58)</f>
        <v>-73827735.572398722</v>
      </c>
      <c r="T59" s="78">
        <f>SUM(T3:T58)</f>
        <v>-298955088.49888664</v>
      </c>
      <c r="U59" s="215"/>
      <c r="V59" s="215"/>
      <c r="W59" s="78">
        <f>SUM(W3:W58)</f>
        <v>41192.653700004012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-95389622.230000004</v>
      </c>
      <c r="AD59" s="78">
        <f>SUM(AD3:AD58)</f>
        <v>-0.12890180271188001</v>
      </c>
    </row>
    <row r="60" spans="1:30" ht="16.5" thickTop="1" x14ac:dyDescent="0.25"/>
    <row r="61" spans="1:30" x14ac:dyDescent="0.25">
      <c r="G61" s="2" t="s">
        <v>516</v>
      </c>
      <c r="Q61" s="2">
        <f>SUMIF(Q3:Q58,"&lt;0",Q3:Q58)</f>
        <v>-74791624.710549891</v>
      </c>
      <c r="R61" t="s">
        <v>531</v>
      </c>
      <c r="W61" s="5"/>
      <c r="AA61" s="5"/>
      <c r="AC61" s="220">
        <f>+AC59-'MPR Raptor'!AH83+'MPR Raptor'!AH79+'MPR Raptor'!AH38+AD59</f>
        <v>-8.1590769696049392E-9</v>
      </c>
      <c r="AD61" t="s">
        <v>533</v>
      </c>
    </row>
    <row r="62" spans="1:30" x14ac:dyDescent="0.25">
      <c r="G62" s="2" t="s">
        <v>326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532</v>
      </c>
      <c r="W62" s="5"/>
      <c r="AA62" s="3"/>
    </row>
    <row r="63" spans="1:30" x14ac:dyDescent="0.25">
      <c r="G63" s="2" t="s">
        <v>320</v>
      </c>
      <c r="I63" s="56">
        <f>+I19+I20+I24+I36+M47</f>
        <v>81826448.640000001</v>
      </c>
      <c r="Q63" s="220">
        <f>+Q61+Q62-Q59</f>
        <v>0</v>
      </c>
      <c r="R63" t="s">
        <v>533</v>
      </c>
      <c r="W63" s="5"/>
      <c r="AA63" s="5"/>
    </row>
    <row r="64" spans="1:30" x14ac:dyDescent="0.25">
      <c r="W64" s="220"/>
    </row>
    <row r="65" spans="7:23" x14ac:dyDescent="0.25">
      <c r="G65" s="2" t="s">
        <v>518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28" activePane="bottomLeft" state="frozen"/>
      <selection pane="bottomLeft" activeCell="A129" sqref="A129"/>
    </sheetView>
  </sheetViews>
  <sheetFormatPr defaultRowHeight="15.75" x14ac:dyDescent="0.25"/>
  <cols>
    <col min="1" max="1" width="10" style="1" bestFit="1" customWidth="1"/>
    <col min="2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530</v>
      </c>
      <c r="F3" s="274" t="s">
        <v>541</v>
      </c>
      <c r="G3" s="274" t="s">
        <v>167</v>
      </c>
      <c r="H3" s="274" t="s">
        <v>168</v>
      </c>
      <c r="I3" s="274" t="s">
        <v>462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436</v>
      </c>
      <c r="F4" s="126" t="s">
        <v>541</v>
      </c>
      <c r="G4" s="126" t="s">
        <v>173</v>
      </c>
      <c r="H4" s="126" t="s">
        <v>174</v>
      </c>
      <c r="I4" s="126" t="s">
        <v>463</v>
      </c>
      <c r="J4" s="126" t="s">
        <v>176</v>
      </c>
      <c r="K4" s="126" t="s">
        <v>171</v>
      </c>
      <c r="L4" s="126" t="s">
        <v>522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36920</v>
      </c>
      <c r="C377" s="128">
        <f>INDEX(MPRR, MATCH("Avici EBS Raptor I",'MPR Raptor'!$E$3:$E$140,), MATCH("Per Share",'MPR Raptor'!$E$3:$CM$3,))</f>
        <v>32</v>
      </c>
      <c r="D377" s="128">
        <f>INDEX(MPRR, MATCH("Active Power Raptor I",'MPR Raptor'!$E$3:$E$140,), MATCH("Per Share",'MPR Raptor'!$E$3:$CM$3,))</f>
        <v>22.875</v>
      </c>
      <c r="F377" s="128">
        <f>INDEX(MPRR, MATCH("DevX Energy Common Raptor I",'MPR Raptor'!$E$3:$E$140,), MATCH("Per Share",'MPR Raptor'!$E$3:$CM$3,))</f>
        <v>7.1875</v>
      </c>
      <c r="G377" s="128">
        <f>INDEX(MPRR, MATCH("Carrizo Warrants Raptor I",'MPR Raptor'!$E$3:$E$140,), MATCH("Per Share",'MPR Raptor'!$E$3:$CM$3,))</f>
        <v>6.9898168168904204</v>
      </c>
      <c r="H377" s="128">
        <f>INDEX(MPRR, MATCH("3TEC Warrants Raptor I",'MPR Raptor'!$E$3:$E$140,), MATCH("Per Share",'MPR Raptor'!$E$3:$CM$3,))</f>
        <v>2.099980879133561</v>
      </c>
      <c r="I377" s="128">
        <f>INDEX(MPRR, MATCH("3TEC Warrants EGF Raptor I",'MPR Raptor'!$E$3:$E$140,), MATCH("Per Share",'MPR Raptor'!$E$3:$CM$3,))</f>
        <v>2.099980879133561</v>
      </c>
      <c r="J377" s="128">
        <f>INDEX(MPRR, MATCH("Paradigm Common Raptor I",'MPR Raptor'!$E$3:$E$140,), MATCH("Per Share",'MPR Raptor'!$E$3:$CM$3,))</f>
        <v>5</v>
      </c>
      <c r="L377" s="128">
        <f>INDEX(MPRR, MATCH("Catalytica Common TRS Raptor I",'MPR Raptor'!$E$3:$E$140,), MATCH("Per Share",'MPR Raptor'!$E$3:$CM$3,))</f>
        <v>14.75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27" activePane="bottomRight" state="frozen"/>
      <selection activeCell="A2" sqref="A2"/>
      <selection pane="topRight" activeCell="B2" sqref="B2"/>
      <selection pane="bottomLeft" activeCell="A4" sqref="A4"/>
      <selection pane="bottomRight" activeCell="A128" sqref="A128:IV128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478</v>
      </c>
      <c r="C3" s="229" t="s">
        <v>222</v>
      </c>
      <c r="D3" s="229" t="s">
        <v>449</v>
      </c>
      <c r="E3" s="229" t="s">
        <v>223</v>
      </c>
      <c r="F3" s="229" t="s">
        <v>224</v>
      </c>
      <c r="G3" s="229" t="s">
        <v>180</v>
      </c>
      <c r="H3" s="229" t="s">
        <v>225</v>
      </c>
      <c r="I3" s="230" t="s">
        <v>474</v>
      </c>
      <c r="J3" s="229" t="s">
        <v>226</v>
      </c>
      <c r="K3" s="229" t="s">
        <v>464</v>
      </c>
      <c r="L3" s="229" t="s">
        <v>437</v>
      </c>
      <c r="M3" s="229" t="s">
        <v>465</v>
      </c>
      <c r="N3" s="229" t="s">
        <v>466</v>
      </c>
      <c r="O3" s="229" t="s">
        <v>227</v>
      </c>
      <c r="P3" s="229" t="s">
        <v>228</v>
      </c>
      <c r="Q3" s="229" t="s">
        <v>182</v>
      </c>
      <c r="R3" s="229" t="s">
        <v>229</v>
      </c>
      <c r="S3" s="229" t="s">
        <v>181</v>
      </c>
      <c r="T3" s="229" t="s">
        <v>230</v>
      </c>
      <c r="U3" s="229" t="s">
        <v>237</v>
      </c>
      <c r="V3" s="229" t="s">
        <v>231</v>
      </c>
      <c r="W3" s="229" t="s">
        <v>232</v>
      </c>
      <c r="X3" s="229" t="s">
        <v>233</v>
      </c>
      <c r="Y3" s="229" t="s">
        <v>234</v>
      </c>
      <c r="Z3" s="229" t="s">
        <v>475</v>
      </c>
      <c r="AA3" s="229" t="s">
        <v>235</v>
      </c>
      <c r="AB3" s="229" t="s">
        <v>238</v>
      </c>
      <c r="AC3" s="230" t="s">
        <v>467</v>
      </c>
      <c r="AD3" s="230" t="s">
        <v>468</v>
      </c>
      <c r="AE3" s="229" t="s">
        <v>439</v>
      </c>
      <c r="AF3" s="229" t="s">
        <v>438</v>
      </c>
      <c r="AG3" s="229" t="s">
        <v>183</v>
      </c>
      <c r="AH3" s="229" t="s">
        <v>239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36920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MATCH("HV Marine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2776315.4209155957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355" activePane="bottomRight" state="frozen"/>
      <selection activeCell="A3" sqref="A3"/>
      <selection pane="topRight" activeCell="B3" sqref="B3"/>
      <selection pane="bottomLeft" activeCell="A4" sqref="A4"/>
      <selection pane="bottomRight" activeCell="A377" sqref="A377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478</v>
      </c>
      <c r="C3" s="229" t="s">
        <v>222</v>
      </c>
      <c r="D3" s="229" t="s">
        <v>449</v>
      </c>
      <c r="E3" s="229" t="s">
        <v>223</v>
      </c>
      <c r="F3" s="229" t="s">
        <v>224</v>
      </c>
      <c r="G3" s="229" t="s">
        <v>180</v>
      </c>
      <c r="H3" s="229" t="s">
        <v>225</v>
      </c>
      <c r="I3" s="230" t="s">
        <v>474</v>
      </c>
      <c r="J3" s="229" t="s">
        <v>226</v>
      </c>
      <c r="K3" s="229" t="s">
        <v>464</v>
      </c>
      <c r="L3" s="229" t="s">
        <v>437</v>
      </c>
      <c r="M3" s="229" t="s">
        <v>465</v>
      </c>
      <c r="N3" s="229" t="s">
        <v>466</v>
      </c>
      <c r="O3" s="229" t="s">
        <v>227</v>
      </c>
      <c r="P3" s="229" t="s">
        <v>228</v>
      </c>
      <c r="Q3" s="229" t="s">
        <v>182</v>
      </c>
      <c r="R3" s="229" t="s">
        <v>229</v>
      </c>
      <c r="S3" s="229" t="s">
        <v>181</v>
      </c>
      <c r="T3" s="229" t="s">
        <v>230</v>
      </c>
      <c r="U3" s="229" t="s">
        <v>237</v>
      </c>
      <c r="V3" s="229" t="s">
        <v>231</v>
      </c>
      <c r="W3" s="229" t="s">
        <v>232</v>
      </c>
      <c r="X3" s="229" t="s">
        <v>233</v>
      </c>
      <c r="Y3" s="229" t="s">
        <v>234</v>
      </c>
      <c r="Z3" s="229" t="s">
        <v>475</v>
      </c>
      <c r="AA3" s="229" t="s">
        <v>235</v>
      </c>
      <c r="AB3" s="229" t="s">
        <v>238</v>
      </c>
      <c r="AC3" s="230" t="s">
        <v>467</v>
      </c>
      <c r="AD3" s="230" t="s">
        <v>468</v>
      </c>
      <c r="AE3" s="229" t="s">
        <v>439</v>
      </c>
      <c r="AF3" s="229" t="s">
        <v>438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-16085458.610000001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0">
        <f>+A379</f>
        <v>36920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-1000000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495</v>
      </c>
      <c r="C378" s="269">
        <f>SUM(B377:AG377)</f>
        <v>-1000000</v>
      </c>
    </row>
    <row r="379" spans="1:33" x14ac:dyDescent="0.25">
      <c r="A379" s="260">
        <f>+'MPR Raptor'!$U$3</f>
        <v>36920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MATCH("HV Marine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230788.38999999873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36919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23507915</v>
      </c>
      <c r="L380" s="4">
        <f>INDEX([0]!MPRR, MATCH("Heartland Steel Common Condor Raptor I",'MPR Raptor'!$E$3:$E$140,), MATCH("Value",'MPR Raptor'!$E$3:$CM$3,))</f>
        <v>10372212</v>
      </c>
      <c r="M380" s="4">
        <f>INDEX([0]!MPRR, MATCH("Heartland Contingent Construction Loan Raptor I",'MPR Raptor'!$E$3:$E$140,), MATCH("Value",'MPR Raptor'!$E$3:$CM$3,))</f>
        <v>1165662.43</v>
      </c>
      <c r="N380" s="4">
        <f>INDEX([0]!MPRR, MATCH("Heartland Steel Warrants Raptor I",'MPR Raptor'!$E$3:$E$140,), MATCH("Value",'MPR Raptor'!$E$3:$CM$3,))</f>
        <v>3486752</v>
      </c>
      <c r="O380" s="4">
        <f>INDEX([0]!MPRR, MATCH("Hughes Rawls Loan Raptor I",'MPR Raptor'!$E$3:$E$140,), MATCH("Value",'MPR Raptor'!$E$3:$CM$3,))</f>
        <v>429210</v>
      </c>
      <c r="P380" s="4">
        <f>INDEX([0]!MPRR, MATCH("Hughes Rawls Note Raptor I",'MPR Raptor'!$E$3:$E$140,), MATCH("Value",'MPR Raptor'!$E$3:$CM$3,))</f>
        <v>470790</v>
      </c>
      <c r="Q380" s="4">
        <f>INDEX([0]!MPRR, MATCH("HV Marine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230788.38999999873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93746588.676477998</v>
      </c>
    </row>
    <row r="381" spans="1:33" x14ac:dyDescent="0.25">
      <c r="A381" s="260">
        <f>+A379</f>
        <v>36920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-23507915</v>
      </c>
      <c r="L381" s="4">
        <f>INDEX([0]!MPRR, MATCH("Heartland Steel Common Condor Raptor I",'MPR Raptor'!$E$3:$E$140,), MATCH("Asset P&amp;L",'MPR Raptor'!$E$3:$CM$3,))</f>
        <v>-10372212</v>
      </c>
      <c r="M381" s="4">
        <f>INDEX([0]!MPRR, MATCH("Heartland Contingent Construction Loan Raptor I",'MPR Raptor'!$E$3:$E$140,), MATCH("Asset P&amp;L",'MPR Raptor'!$E$3:$CM$3,))</f>
        <v>-1165662.43</v>
      </c>
      <c r="N381" s="4">
        <f>INDEX([0]!MPRR, MATCH("Heartland Steel Warrants Raptor I",'MPR Raptor'!$E$3:$E$140,), MATCH("Asset P&amp;L",'MPR Raptor'!$E$3:$CM$3,))</f>
        <v>-3486752</v>
      </c>
      <c r="O381" s="4">
        <f>INDEX([0]!MPRR, MATCH("Hughes Rawls Loan Raptor I",'MPR Raptor'!$E$3:$E$140,), MATCH("Asset P&amp;L",'MPR Raptor'!$E$3:$CM$3,))</f>
        <v>570790</v>
      </c>
      <c r="P381" s="4">
        <f>INDEX([0]!MPRR, MATCH("Hughes Rawls Note Raptor I",'MPR Raptor'!$E$3:$E$140,), MATCH("Asset P&amp;L",'MPR Raptor'!$E$3:$CM$3,))</f>
        <v>-470790</v>
      </c>
      <c r="Q381" s="4">
        <f>INDEX([0]!MPRR, MATCH("HV Marine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-63109023.640000001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J9" workbookViewId="0">
      <selection activeCell="P25" sqref="P25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88">
        <f>+Summary!C5</f>
        <v>36920</v>
      </c>
      <c r="I2" s="288"/>
      <c r="J2" s="97"/>
      <c r="L2" s="288">
        <f>H2</f>
        <v>36920</v>
      </c>
      <c r="M2" s="288"/>
      <c r="N2" s="288"/>
      <c r="O2" s="288"/>
      <c r="P2" s="288"/>
    </row>
    <row r="3" spans="1:18" ht="16.5" thickBot="1" x14ac:dyDescent="0.3">
      <c r="H3" s="289" t="s">
        <v>101</v>
      </c>
      <c r="I3" s="289"/>
      <c r="J3" s="98"/>
      <c r="L3" s="289" t="s">
        <v>101</v>
      </c>
      <c r="M3" s="289"/>
      <c r="N3" s="289"/>
      <c r="O3" s="289"/>
      <c r="P3" s="289"/>
    </row>
    <row r="4" spans="1:18" x14ac:dyDescent="0.25">
      <c r="A4" s="290" t="s">
        <v>32</v>
      </c>
      <c r="B4" s="290"/>
      <c r="C4" s="290"/>
      <c r="D4" s="290"/>
      <c r="E4" s="290"/>
      <c r="F4" s="290"/>
      <c r="H4" s="118" t="s">
        <v>102</v>
      </c>
      <c r="I4" s="119"/>
      <c r="J4" s="13"/>
    </row>
    <row r="5" spans="1:18" ht="16.5" thickBot="1" x14ac:dyDescent="0.3">
      <c r="A5" s="294" t="s">
        <v>33</v>
      </c>
      <c r="B5" s="294"/>
      <c r="D5" s="294" t="s">
        <v>34</v>
      </c>
      <c r="E5" s="294"/>
      <c r="H5" s="120" t="s">
        <v>103</v>
      </c>
      <c r="I5" s="131">
        <f>+VLOOKUP(+Summary!C5,ene,2)</f>
        <v>80.77</v>
      </c>
      <c r="J5" s="13"/>
      <c r="L5" s="290" t="s">
        <v>123</v>
      </c>
      <c r="M5" s="290"/>
      <c r="N5" s="290"/>
      <c r="O5" s="290"/>
      <c r="P5" s="290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36920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1" t="s">
        <v>162</v>
      </c>
      <c r="I7" s="292"/>
      <c r="J7" s="13"/>
      <c r="L7" s="294" t="s">
        <v>33</v>
      </c>
      <c r="M7" s="294"/>
      <c r="O7" s="294" t="s">
        <v>34</v>
      </c>
      <c r="P7" s="294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40682478.467913747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287" t="s">
        <v>105</v>
      </c>
      <c r="I10" s="287"/>
      <c r="J10" s="13"/>
      <c r="L10" s="7" t="s">
        <v>41</v>
      </c>
      <c r="M10" s="7">
        <f>B8+I15</f>
        <v>398821914.6940639</v>
      </c>
      <c r="N10" s="18"/>
      <c r="O10" s="7" t="s">
        <v>121</v>
      </c>
      <c r="P10" s="7">
        <f>IF(I20&gt;0,0,-I20)</f>
        <v>325583556.64353776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36920</v>
      </c>
      <c r="J11" s="13"/>
      <c r="L11" s="7" t="s">
        <v>45</v>
      </c>
      <c r="M11" s="7">
        <f>+Amort!B28</f>
        <v>1166666.6666666667</v>
      </c>
      <c r="O11" s="7" t="s">
        <v>505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463301423.75432062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3067589.579024815</v>
      </c>
      <c r="J13" s="29"/>
      <c r="L13" s="7" t="s">
        <v>506</v>
      </c>
      <c r="M13" s="7">
        <f>IF(I19&gt;0,I19,0)</f>
        <v>1751663.9000000304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491</v>
      </c>
      <c r="I14" s="16">
        <f>+Amort!B29</f>
        <v>2780555.555555556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-327099821.70921397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490</v>
      </c>
      <c r="I15" s="16">
        <f>-B17*A35/(3*365)</f>
        <v>48821914.694063924</v>
      </c>
      <c r="J15" s="33" t="s">
        <v>59</v>
      </c>
      <c r="L15" s="92" t="s">
        <v>7</v>
      </c>
      <c r="M15" s="12">
        <f>SUM(M8:M14)</f>
        <v>492422723.72864437</v>
      </c>
      <c r="N15" s="20"/>
      <c r="O15" s="92" t="s">
        <v>7</v>
      </c>
      <c r="P15" s="12">
        <f>SUM(P8:P14)</f>
        <v>492422723.72864437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456</v>
      </c>
      <c r="I16" s="40">
        <f>-'Cash-Int-Trans'!B71</f>
        <v>-21574150.181921884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75558806.6067224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504</v>
      </c>
      <c r="I19" s="7">
        <f>IF(I5&lt;81,(81-I5)*(D14+D15),IF(I5&gt;116,(116-I5)*(+D14+D15),0))</f>
        <v>1751663.9000000304</v>
      </c>
      <c r="J19" s="13"/>
      <c r="L19" s="235" t="s">
        <v>534</v>
      </c>
      <c r="M19" s="7">
        <f>+E9+I33</f>
        <v>36000000</v>
      </c>
      <c r="N19" s="7" t="s">
        <v>535</v>
      </c>
      <c r="P19" s="7">
        <f>+M19/0.0302</f>
        <v>1192052980.1324503</v>
      </c>
      <c r="T19" s="236"/>
    </row>
    <row r="20" spans="1:20" ht="16.5" thickBot="1" x14ac:dyDescent="0.3">
      <c r="A20" s="295" t="s">
        <v>62</v>
      </c>
      <c r="B20" s="295"/>
      <c r="C20" s="295"/>
      <c r="D20" s="295"/>
      <c r="E20" s="295"/>
      <c r="H20" s="7" t="s">
        <v>119</v>
      </c>
      <c r="I20" s="7">
        <f>+'Daily Position'!P59</f>
        <v>-325583556.64353776</v>
      </c>
      <c r="M20" s="93"/>
      <c r="N20" s="104" t="s">
        <v>536</v>
      </c>
      <c r="O20" s="93"/>
      <c r="P20" s="27">
        <f>-B11</f>
        <v>-471001000</v>
      </c>
    </row>
    <row r="21" spans="1:20" x14ac:dyDescent="0.25">
      <c r="A21" s="293" t="s">
        <v>52</v>
      </c>
      <c r="B21" s="293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537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-397659628.31593645</v>
      </c>
      <c r="J22" s="13"/>
      <c r="K22" s="7"/>
      <c r="N22" s="7" t="s">
        <v>538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-322100821.70921403</v>
      </c>
      <c r="J23" s="39" t="s">
        <v>66</v>
      </c>
      <c r="N23" s="7" t="s">
        <v>531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87" t="s">
        <v>106</v>
      </c>
      <c r="I25" s="287"/>
      <c r="J25" s="13"/>
      <c r="N25" s="7" t="s">
        <v>539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508</v>
      </c>
      <c r="I31" s="16">
        <f>I23</f>
        <v>-322100821.70921403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507</v>
      </c>
      <c r="I32" s="16">
        <f>(D14+D15)*(I5-E14)</f>
        <v>78215601.099999964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36920</v>
      </c>
      <c r="B34" s="13" t="s">
        <v>84</v>
      </c>
      <c r="C34"/>
      <c r="D34"/>
      <c r="E34"/>
      <c r="H34" s="13" t="s">
        <v>150</v>
      </c>
      <c r="I34" s="16">
        <f>-I15</f>
        <v>-48821914.694063924</v>
      </c>
      <c r="J34" s="33" t="s">
        <v>59</v>
      </c>
      <c r="L34" s="7" t="s">
        <v>78</v>
      </c>
      <c r="M34" s="7">
        <f>I23</f>
        <v>-322100821.70921403</v>
      </c>
    </row>
    <row r="35" spans="1:17" ht="16.5" thickBot="1" x14ac:dyDescent="0.3">
      <c r="A35" s="50">
        <f>A34-A33</f>
        <v>286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-110784070.303278</v>
      </c>
      <c r="J36" s="13"/>
      <c r="L36" s="7" t="s">
        <v>80</v>
      </c>
      <c r="M36" s="7">
        <f>SUM(M33:M35)</f>
        <v>-327099821.70921403</v>
      </c>
    </row>
    <row r="37" spans="1:17" ht="16.5" customHeight="1" thickTop="1" x14ac:dyDescent="0.25">
      <c r="A37"/>
      <c r="B37"/>
      <c r="C37"/>
      <c r="D37"/>
      <c r="E37"/>
      <c r="H37" s="7" t="s">
        <v>503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-327099821.70921397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492422723.72864437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484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-325583556.64353776</v>
      </c>
      <c r="P46" s="27">
        <f>+M46+O46</f>
        <v>314351582.42646229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869883331.1151067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26270476.599676222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-26270476.599676222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298" t="s">
        <v>113</v>
      </c>
      <c r="B1" s="298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561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492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485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487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493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494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498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497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298" t="s">
        <v>457</v>
      </c>
      <c r="B22" s="298"/>
      <c r="C22" s="298"/>
      <c r="D22" s="298"/>
      <c r="E22" s="298"/>
      <c r="F22" s="298"/>
    </row>
    <row r="24" spans="1:6" x14ac:dyDescent="0.25">
      <c r="A24" t="s">
        <v>129</v>
      </c>
      <c r="B24" s="1">
        <f>+Summary!C5</f>
        <v>36920</v>
      </c>
    </row>
    <row r="25" spans="1:6" x14ac:dyDescent="0.25">
      <c r="A25" t="s">
        <v>458</v>
      </c>
      <c r="B25" s="1">
        <v>36634</v>
      </c>
      <c r="D25" s="4">
        <f>IF(B24&gt;(B25-1),30000000,0)</f>
        <v>30000000</v>
      </c>
    </row>
    <row r="26" spans="1:6" x14ac:dyDescent="0.25">
      <c r="A26" t="s">
        <v>459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460</v>
      </c>
      <c r="B27" s="1">
        <f>+Summary!C5</f>
        <v>36920</v>
      </c>
      <c r="D27" s="219">
        <f>IF(B27&gt;B26,+(+B27-B26)/365*0.12*D26,0)</f>
        <v>353095.89041095891</v>
      </c>
    </row>
    <row r="28" spans="1:6" x14ac:dyDescent="0.25">
      <c r="A28" t="s">
        <v>461</v>
      </c>
      <c r="D28" s="5">
        <f>SUM(D25:D27)</f>
        <v>36353095.89041096</v>
      </c>
    </row>
    <row r="29" spans="1:6" x14ac:dyDescent="0.25">
      <c r="A29" s="7"/>
      <c r="B29" s="14"/>
      <c r="C29" s="7"/>
    </row>
    <row r="30" spans="1:6" ht="16.5" thickBot="1" x14ac:dyDescent="0.3">
      <c r="A30" s="298" t="s">
        <v>108</v>
      </c>
      <c r="B30" s="298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-322100821.70921403</v>
      </c>
    </row>
    <row r="35" spans="1:5" x14ac:dyDescent="0.25">
      <c r="A35" t="s">
        <v>110</v>
      </c>
      <c r="B35" s="7">
        <f>-Financials!I15</f>
        <v>-48821914.694063924</v>
      </c>
    </row>
    <row r="36" spans="1:5" x14ac:dyDescent="0.25">
      <c r="A36" s="7" t="str">
        <f>+Financials!H20</f>
        <v>Unrealized Gains / (Losses)</v>
      </c>
      <c r="B36" s="7">
        <f>-Financials!I20-Financials!I19</f>
        <v>323831892.74353772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-1166666.6666666667</v>
      </c>
    </row>
    <row r="41" spans="1:5" x14ac:dyDescent="0.25">
      <c r="A41" t="s">
        <v>115</v>
      </c>
      <c r="B41" s="7">
        <f>-Financials!E7+Financials!P12</f>
        <v>63301423.754320621</v>
      </c>
    </row>
    <row r="42" spans="1:5" x14ac:dyDescent="0.25">
      <c r="A42" t="s">
        <v>496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40682478.467913747</v>
      </c>
      <c r="D47" s="7">
        <f>+B32+B16+B17+B50+B20</f>
        <v>40682478.467913702</v>
      </c>
      <c r="E47" s="7"/>
    </row>
    <row r="48" spans="1:5" ht="16.5" thickTop="1" x14ac:dyDescent="0.25"/>
    <row r="49" spans="1:8" ht="16.5" thickBot="1" x14ac:dyDescent="0.3">
      <c r="A49" s="298" t="s">
        <v>159</v>
      </c>
      <c r="B49" s="298"/>
      <c r="C49" s="298"/>
      <c r="D49" s="298"/>
      <c r="E49" s="298"/>
      <c r="F49" s="298"/>
    </row>
    <row r="50" spans="1:8" x14ac:dyDescent="0.25">
      <c r="A50" s="110" t="s">
        <v>118</v>
      </c>
      <c r="B50" s="111">
        <f>+B56+B62+B68</f>
        <v>3067589.579024815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36920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120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968491.76297333336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298" t="s">
        <v>191</v>
      </c>
      <c r="B70" s="298"/>
      <c r="C70" s="298"/>
      <c r="D70" s="298"/>
      <c r="E70" s="298"/>
      <c r="F70" s="298"/>
    </row>
    <row r="71" spans="1:7" x14ac:dyDescent="0.25">
      <c r="A71" s="110" t="s">
        <v>188</v>
      </c>
      <c r="B71" s="111">
        <f>+B73+E78+E82+E86+E90+E94+E98+E102+E106+E110+E114+E118</f>
        <v>21574150.181921884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21788100.105588704</v>
      </c>
      <c r="E73" s="296"/>
      <c r="F73" s="297"/>
    </row>
    <row r="74" spans="1:7" x14ac:dyDescent="0.25">
      <c r="B74" s="3"/>
      <c r="E74" s="216"/>
      <c r="F74" s="217"/>
    </row>
    <row r="75" spans="1:7" x14ac:dyDescent="0.25">
      <c r="A75" t="s">
        <v>453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452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452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36920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89</v>
      </c>
    </row>
    <row r="86" spans="1:5" x14ac:dyDescent="0.25">
      <c r="A86" t="s">
        <v>563</v>
      </c>
      <c r="B86" s="1">
        <f>+'Daily Position'!J20</f>
        <v>36831</v>
      </c>
      <c r="D86" t="s">
        <v>452</v>
      </c>
      <c r="E86" s="54">
        <f>+B85*0.07/360*E85</f>
        <v>-1133.70425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36920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76</v>
      </c>
    </row>
    <row r="90" spans="1:5" x14ac:dyDescent="0.25">
      <c r="A90" t="s">
        <v>542</v>
      </c>
      <c r="B90" s="1">
        <f>+'Daily Position'!J10</f>
        <v>36839</v>
      </c>
      <c r="D90" t="s">
        <v>452</v>
      </c>
      <c r="E90" s="54">
        <f>+B89*0.07/360*E89</f>
        <v>-4420.2993060116096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36920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47</v>
      </c>
    </row>
    <row r="94" spans="1:5" x14ac:dyDescent="0.25">
      <c r="A94" t="s">
        <v>543</v>
      </c>
      <c r="B94" s="1">
        <f>+'Daily Position'!J13</f>
        <v>36868</v>
      </c>
      <c r="D94" t="s">
        <v>452</v>
      </c>
      <c r="E94" s="54">
        <f>+B93*0.07/360*E93</f>
        <v>10655.945546137507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36920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41</v>
      </c>
    </row>
    <row r="98" spans="1:5" x14ac:dyDescent="0.25">
      <c r="A98" t="s">
        <v>544</v>
      </c>
      <c r="B98" s="1">
        <v>36874</v>
      </c>
      <c r="D98" t="s">
        <v>452</v>
      </c>
      <c r="E98" s="54">
        <f>+B97*0.07/360*E97</f>
        <v>-4777.4350050000012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36920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27</v>
      </c>
    </row>
    <row r="102" spans="1:5" x14ac:dyDescent="0.25">
      <c r="A102" t="s">
        <v>545</v>
      </c>
      <c r="B102" s="1">
        <v>36888</v>
      </c>
      <c r="D102" t="s">
        <v>452</v>
      </c>
      <c r="E102" s="54">
        <f>+B101*0.07/360*E101</f>
        <v>12690.189697500002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36920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26</v>
      </c>
    </row>
    <row r="106" spans="1:5" x14ac:dyDescent="0.25">
      <c r="A106" t="s">
        <v>546</v>
      </c>
      <c r="B106" s="1">
        <v>36889</v>
      </c>
      <c r="D106" t="s">
        <v>452</v>
      </c>
      <c r="E106" s="54">
        <f>+B105*0.07/360*E105</f>
        <v>4486.8055555555557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36920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13</v>
      </c>
    </row>
    <row r="110" spans="1:5" x14ac:dyDescent="0.25">
      <c r="A110" t="s">
        <v>547</v>
      </c>
      <c r="B110" s="1">
        <v>36902</v>
      </c>
      <c r="D110" t="s">
        <v>452</v>
      </c>
      <c r="E110" s="54">
        <f>+B109*0.07/360*E109</f>
        <v>333.82091166666663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36920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10</v>
      </c>
    </row>
    <row r="114" spans="1:5" x14ac:dyDescent="0.25">
      <c r="A114" t="s">
        <v>548</v>
      </c>
      <c r="B114" s="1">
        <v>36907</v>
      </c>
      <c r="D114" t="s">
        <v>452</v>
      </c>
      <c r="E114" s="54">
        <f>+B113*0.07/360*E113</f>
        <v>13766.396272221993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36920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10</v>
      </c>
    </row>
    <row r="118" spans="1:5" x14ac:dyDescent="0.25">
      <c r="A118" t="s">
        <v>562</v>
      </c>
      <c r="B118" s="1">
        <f>+B116</f>
        <v>36910</v>
      </c>
      <c r="D118" t="s">
        <v>452</v>
      </c>
      <c r="E118" s="54">
        <f>+B117*0.07/360*E117</f>
        <v>122711.99041111112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299">
        <f>+Summary!C5</f>
        <v>36920</v>
      </c>
      <c r="B23" s="299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120</v>
      </c>
      <c r="E27" s="117"/>
    </row>
    <row r="28" spans="1:9" s="104" customFormat="1" x14ac:dyDescent="0.25">
      <c r="A28" s="117" t="s">
        <v>30</v>
      </c>
      <c r="B28" s="104">
        <f>F25*B27/(F26-F24)</f>
        <v>1166666.6666666667</v>
      </c>
    </row>
    <row r="29" spans="1:9" s="104" customFormat="1" x14ac:dyDescent="0.25">
      <c r="A29" s="117" t="s">
        <v>31</v>
      </c>
      <c r="B29" s="104">
        <f>+B25+B28</f>
        <v>2780555.555555556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450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73982049.282231897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467887868.06813401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467887868.06813401</v>
      </c>
      <c r="D45" s="7">
        <v>0</v>
      </c>
      <c r="E45" s="7">
        <v>0</v>
      </c>
      <c r="F45" s="7">
        <f t="shared" si="12"/>
        <v>16649009.972091105</v>
      </c>
      <c r="G45" s="7">
        <f t="shared" si="13"/>
        <v>484536878.04022509</v>
      </c>
      <c r="H45" s="7">
        <f t="shared" si="11"/>
        <v>43023554.391493231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484536878.04022509</v>
      </c>
      <c r="D46" s="7">
        <v>0</v>
      </c>
      <c r="E46" s="7">
        <v>0</v>
      </c>
      <c r="F46" s="7">
        <f t="shared" si="12"/>
        <v>17147221.739534635</v>
      </c>
      <c r="G46" s="7">
        <f t="shared" si="13"/>
        <v>501684099.77975971</v>
      </c>
      <c r="H46" s="7">
        <f t="shared" si="11"/>
        <v>60170776.131027862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501684099.77975971</v>
      </c>
      <c r="D47" s="7">
        <v>0</v>
      </c>
      <c r="E47" s="7">
        <v>0</v>
      </c>
      <c r="F47" s="7">
        <f t="shared" si="12"/>
        <v>17851592.550496452</v>
      </c>
      <c r="G47" s="7">
        <f t="shared" si="13"/>
        <v>519535692.33025616</v>
      </c>
      <c r="H47" s="7">
        <f t="shared" si="11"/>
        <v>78022368.681524307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519535692.33025616</v>
      </c>
      <c r="D48" s="7">
        <v>0</v>
      </c>
      <c r="E48" s="7">
        <v>0</v>
      </c>
      <c r="F48" s="7">
        <f t="shared" si="12"/>
        <v>18385790.8896874</v>
      </c>
      <c r="G48" s="7">
        <f t="shared" si="13"/>
        <v>537921483.21994352</v>
      </c>
      <c r="H48" s="7">
        <f t="shared" si="11"/>
        <v>96408159.571211711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537921483.21994352</v>
      </c>
      <c r="D49" s="7">
        <v>0</v>
      </c>
      <c r="E49" s="7">
        <v>0</v>
      </c>
      <c r="F49" s="7">
        <f t="shared" si="12"/>
        <v>19141039.444576327</v>
      </c>
      <c r="G49" s="7">
        <f t="shared" si="13"/>
        <v>557062522.66451991</v>
      </c>
      <c r="H49" s="7">
        <f t="shared" si="11"/>
        <v>115549199.01578803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557062522.66451991</v>
      </c>
      <c r="D50" s="7">
        <v>0</v>
      </c>
      <c r="E50" s="7">
        <v>0</v>
      </c>
      <c r="F50" s="7">
        <f t="shared" si="12"/>
        <v>19822141.431479167</v>
      </c>
      <c r="G50" s="7">
        <f t="shared" si="13"/>
        <v>576884664.09599912</v>
      </c>
      <c r="H50" s="7">
        <f t="shared" si="11"/>
        <v>135371340.4472672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576884664.09599912</v>
      </c>
      <c r="D51" s="7">
        <v>0</v>
      </c>
      <c r="E51" s="7">
        <v>0</v>
      </c>
      <c r="F51" s="7">
        <f t="shared" si="12"/>
        <v>20527479.297415972</v>
      </c>
      <c r="G51" s="7">
        <f t="shared" si="13"/>
        <v>597412143.39341509</v>
      </c>
      <c r="H51" s="7">
        <f t="shared" si="11"/>
        <v>155898819.74468318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597412143.39341509</v>
      </c>
      <c r="D52" s="7">
        <v>0</v>
      </c>
      <c r="E52" s="7">
        <v>0</v>
      </c>
      <c r="F52" s="7">
        <f t="shared" si="12"/>
        <v>21141751.963422526</v>
      </c>
      <c r="G52" s="7">
        <f t="shared" si="13"/>
        <v>618553895.35683763</v>
      </c>
      <c r="H52" s="7">
        <f t="shared" si="11"/>
        <v>177040571.70810571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41513323.648731895</v>
      </c>
      <c r="E53" s="12">
        <f>SUM(E43:E52)</f>
        <v>0</v>
      </c>
      <c r="F53" s="12">
        <f>SUM(F43:F52)</f>
        <v>177040571.70810571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299">
        <f>+Summary!C5</f>
        <v>36920</v>
      </c>
      <c r="B55" s="299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120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8876988.9944775943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21788100.105588704</v>
      </c>
      <c r="C61" s="104"/>
      <c r="D61" s="104"/>
      <c r="E61" s="104"/>
      <c r="F61" s="104"/>
      <c r="G61" s="104"/>
    </row>
    <row r="63" spans="1:9" x14ac:dyDescent="0.25">
      <c r="A63" s="7" t="s">
        <v>454</v>
      </c>
    </row>
    <row r="64" spans="1:9" x14ac:dyDescent="0.25">
      <c r="A64" s="1">
        <f>+'Cash-Int-Trans'!B76</f>
        <v>36741</v>
      </c>
      <c r="B64" s="7" t="s">
        <v>451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455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486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455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452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154313.70983318123</v>
      </c>
    </row>
    <row r="80" spans="1:5" x14ac:dyDescent="0.25">
      <c r="A80" s="1"/>
      <c r="D80" s="1"/>
      <c r="E80" s="7">
        <f>SUM(E70:E79)</f>
        <v>73982049.282231897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3"/>
  <sheetViews>
    <sheetView topLeftCell="J22" workbookViewId="0">
      <selection activeCell="A2" sqref="A2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2.625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4" bestFit="1" customWidth="1"/>
    <col min="31" max="31" width="10.625" bestFit="1" customWidth="1"/>
    <col min="32" max="32" width="13.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.875" hidden="1" customWidth="1"/>
    <col min="47" max="47" width="10.625" hidden="1" customWidth="1"/>
    <col min="48" max="48" width="14.3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12.625" hidden="1" customWidth="1"/>
    <col min="73" max="73" width="15.5" bestFit="1" customWidth="1"/>
    <col min="74" max="74" width="9.625" hidden="1" customWidth="1"/>
    <col min="75" max="76" width="9.25" hidden="1" customWidth="1"/>
    <col min="77" max="77" width="12.625" hidden="1" customWidth="1"/>
    <col min="78" max="78" width="13.8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240</v>
      </c>
      <c r="K1" s="144" t="s">
        <v>241</v>
      </c>
      <c r="L1" s="145"/>
      <c r="M1" s="144"/>
      <c r="N1" s="146"/>
      <c r="O1" s="145" t="s">
        <v>242</v>
      </c>
      <c r="P1" s="145" t="s">
        <v>243</v>
      </c>
      <c r="Q1" s="145" t="s">
        <v>244</v>
      </c>
      <c r="R1" s="301" t="s">
        <v>245</v>
      </c>
      <c r="S1" s="301"/>
      <c r="T1" s="301"/>
      <c r="U1" s="240" t="s">
        <v>242</v>
      </c>
      <c r="V1" s="145" t="s">
        <v>4</v>
      </c>
      <c r="W1" s="145"/>
      <c r="X1" s="147"/>
      <c r="Y1" s="145"/>
      <c r="Z1" s="147"/>
      <c r="AA1" s="147"/>
      <c r="AB1" s="147"/>
      <c r="AC1" s="240" t="s">
        <v>246</v>
      </c>
      <c r="AD1" s="300" t="s">
        <v>247</v>
      </c>
      <c r="AE1" s="300"/>
      <c r="AF1" s="300"/>
      <c r="AG1" s="300"/>
      <c r="AH1" s="300"/>
      <c r="AI1" s="300"/>
      <c r="AJ1" s="300"/>
      <c r="AK1" s="300"/>
      <c r="AL1" s="148"/>
      <c r="AM1" s="147"/>
      <c r="AN1" s="148"/>
      <c r="AO1" s="147"/>
      <c r="AP1" s="147"/>
      <c r="AQ1" s="147" t="s">
        <v>248</v>
      </c>
      <c r="AR1" s="146"/>
      <c r="AS1" s="145" t="s">
        <v>242</v>
      </c>
      <c r="AT1" s="300" t="s">
        <v>249</v>
      </c>
      <c r="AU1" s="300"/>
      <c r="AV1" s="300"/>
      <c r="AW1" s="300"/>
      <c r="AX1" s="300"/>
      <c r="AY1" s="300"/>
      <c r="AZ1" s="300"/>
      <c r="BA1" s="300"/>
      <c r="BB1" s="147" t="s">
        <v>240</v>
      </c>
      <c r="BC1" s="147" t="s">
        <v>241</v>
      </c>
      <c r="BD1" s="300" t="s">
        <v>250</v>
      </c>
      <c r="BE1" s="300"/>
      <c r="BF1" s="300"/>
      <c r="BG1" s="300"/>
      <c r="BH1" s="300"/>
      <c r="BI1" s="300"/>
      <c r="BJ1" s="300"/>
      <c r="BK1" s="300"/>
      <c r="BL1" s="147" t="s">
        <v>241</v>
      </c>
      <c r="BM1" s="147" t="s">
        <v>251</v>
      </c>
      <c r="BN1" s="147" t="s">
        <v>252</v>
      </c>
      <c r="BO1" s="147" t="s">
        <v>253</v>
      </c>
      <c r="BP1" s="147"/>
      <c r="BQ1" s="145"/>
      <c r="BR1" s="144"/>
      <c r="BS1" s="147"/>
      <c r="BT1" s="147" t="s">
        <v>254</v>
      </c>
      <c r="BU1" s="221" t="s">
        <v>255</v>
      </c>
      <c r="BV1" s="147"/>
      <c r="BW1" s="147" t="s">
        <v>254</v>
      </c>
      <c r="BX1" s="147" t="s">
        <v>256</v>
      </c>
      <c r="BY1" s="145"/>
      <c r="BZ1" s="145"/>
      <c r="CA1" s="145"/>
      <c r="CB1" s="145"/>
      <c r="CC1" s="145"/>
      <c r="CD1" s="145"/>
      <c r="CE1" s="145"/>
      <c r="CF1" s="145"/>
      <c r="CG1" s="302" t="s">
        <v>257</v>
      </c>
      <c r="CH1" s="302"/>
      <c r="CI1" s="302"/>
      <c r="CJ1" s="302"/>
      <c r="CK1" s="144" t="s">
        <v>258</v>
      </c>
      <c r="CL1" s="144" t="s">
        <v>259</v>
      </c>
    </row>
    <row r="2" spans="1:90" x14ac:dyDescent="0.25">
      <c r="A2" s="149"/>
      <c r="B2" s="149"/>
      <c r="C2" s="149" t="s">
        <v>260</v>
      </c>
      <c r="D2" s="149"/>
      <c r="E2" s="149"/>
      <c r="F2" s="149"/>
      <c r="G2" s="149"/>
      <c r="H2" s="149" t="s">
        <v>261</v>
      </c>
      <c r="I2" s="150"/>
      <c r="J2" s="151" t="s">
        <v>262</v>
      </c>
      <c r="K2" s="151" t="s">
        <v>262</v>
      </c>
      <c r="L2" s="152"/>
      <c r="M2" s="151" t="s">
        <v>263</v>
      </c>
      <c r="N2" s="138"/>
      <c r="O2" s="152" t="s">
        <v>140</v>
      </c>
      <c r="P2" s="152" t="s">
        <v>264</v>
      </c>
      <c r="Q2" s="152" t="s">
        <v>264</v>
      </c>
      <c r="R2" s="152"/>
      <c r="S2" s="152"/>
      <c r="T2" s="152"/>
      <c r="U2" s="241" t="s">
        <v>140</v>
      </c>
      <c r="V2" s="152" t="s">
        <v>265</v>
      </c>
      <c r="W2" s="152" t="s">
        <v>266</v>
      </c>
      <c r="X2" s="152" t="s">
        <v>267</v>
      </c>
      <c r="Y2" s="152" t="s">
        <v>58</v>
      </c>
      <c r="Z2" s="152" t="s">
        <v>266</v>
      </c>
      <c r="AA2" s="152" t="s">
        <v>267</v>
      </c>
      <c r="AB2" s="152" t="s">
        <v>58</v>
      </c>
      <c r="AC2" s="241" t="s">
        <v>242</v>
      </c>
      <c r="AD2" s="303" t="s">
        <v>268</v>
      </c>
      <c r="AE2" s="303"/>
      <c r="AF2" s="303"/>
      <c r="AG2" s="303"/>
      <c r="AH2" s="304" t="s">
        <v>269</v>
      </c>
      <c r="AI2" s="300"/>
      <c r="AJ2" s="300"/>
      <c r="AK2" s="305"/>
      <c r="AL2" s="153">
        <v>36525</v>
      </c>
      <c r="AM2" s="154" t="s">
        <v>525</v>
      </c>
      <c r="AN2" s="152" t="s">
        <v>270</v>
      </c>
      <c r="AO2" s="152" t="s">
        <v>271</v>
      </c>
      <c r="AP2" s="152" t="s">
        <v>272</v>
      </c>
      <c r="AQ2" s="152" t="s">
        <v>273</v>
      </c>
      <c r="AR2" s="138" t="s">
        <v>274</v>
      </c>
      <c r="AS2" s="152" t="s">
        <v>140</v>
      </c>
      <c r="AT2" s="303" t="s">
        <v>275</v>
      </c>
      <c r="AU2" s="303"/>
      <c r="AV2" s="303"/>
      <c r="AW2" s="303"/>
      <c r="AX2" s="303" t="s">
        <v>270</v>
      </c>
      <c r="AY2" s="303"/>
      <c r="AZ2" s="303"/>
      <c r="BA2" s="303"/>
      <c r="BB2" s="152" t="s">
        <v>273</v>
      </c>
      <c r="BC2" s="152" t="s">
        <v>273</v>
      </c>
      <c r="BD2" s="303" t="s">
        <v>275</v>
      </c>
      <c r="BE2" s="303"/>
      <c r="BF2" s="303"/>
      <c r="BG2" s="303"/>
      <c r="BH2" s="303" t="s">
        <v>270</v>
      </c>
      <c r="BI2" s="303"/>
      <c r="BJ2" s="303"/>
      <c r="BK2" s="303"/>
      <c r="BL2" s="152" t="s">
        <v>272</v>
      </c>
      <c r="BM2" s="152" t="s">
        <v>276</v>
      </c>
      <c r="BN2" s="152" t="s">
        <v>277</v>
      </c>
      <c r="BO2" s="152" t="s">
        <v>278</v>
      </c>
      <c r="BP2" s="155" t="s">
        <v>241</v>
      </c>
      <c r="BQ2" s="152" t="s">
        <v>279</v>
      </c>
      <c r="BR2" s="151" t="s">
        <v>21</v>
      </c>
      <c r="BS2" s="152" t="s">
        <v>280</v>
      </c>
      <c r="BT2" s="152" t="s">
        <v>259</v>
      </c>
      <c r="BU2" s="222" t="s">
        <v>281</v>
      </c>
      <c r="BV2" s="155" t="s">
        <v>282</v>
      </c>
      <c r="BW2" s="152" t="s">
        <v>273</v>
      </c>
      <c r="BX2" s="152" t="s">
        <v>273</v>
      </c>
      <c r="BY2" s="152" t="s">
        <v>268</v>
      </c>
      <c r="BZ2" s="152" t="s">
        <v>275</v>
      </c>
      <c r="CA2" s="152" t="s">
        <v>269</v>
      </c>
      <c r="CB2" s="152" t="s">
        <v>270</v>
      </c>
      <c r="CC2" s="152" t="s">
        <v>268</v>
      </c>
      <c r="CD2" s="152" t="s">
        <v>275</v>
      </c>
      <c r="CE2" s="152" t="s">
        <v>269</v>
      </c>
      <c r="CF2" s="152" t="s">
        <v>270</v>
      </c>
      <c r="CG2" s="303" t="s">
        <v>283</v>
      </c>
      <c r="CH2" s="303"/>
      <c r="CI2" s="303"/>
      <c r="CJ2" s="303"/>
      <c r="CK2" s="151" t="s">
        <v>284</v>
      </c>
      <c r="CL2" s="151" t="s">
        <v>258</v>
      </c>
    </row>
    <row r="3" spans="1:90" x14ac:dyDescent="0.25">
      <c r="A3" s="156" t="s">
        <v>285</v>
      </c>
      <c r="B3" s="156" t="s">
        <v>286</v>
      </c>
      <c r="C3" s="156" t="s">
        <v>287</v>
      </c>
      <c r="D3" s="156" t="s">
        <v>288</v>
      </c>
      <c r="E3" s="156" t="s">
        <v>266</v>
      </c>
      <c r="F3" s="156" t="s">
        <v>145</v>
      </c>
      <c r="G3" s="156" t="s">
        <v>263</v>
      </c>
      <c r="H3" s="156" t="s">
        <v>289</v>
      </c>
      <c r="I3" s="157" t="s">
        <v>280</v>
      </c>
      <c r="J3" s="158" t="s">
        <v>290</v>
      </c>
      <c r="K3" s="158" t="s">
        <v>290</v>
      </c>
      <c r="L3" s="159" t="s">
        <v>271</v>
      </c>
      <c r="M3" s="158" t="s">
        <v>291</v>
      </c>
      <c r="N3" s="158" t="s">
        <v>274</v>
      </c>
      <c r="O3" s="159" t="s">
        <v>292</v>
      </c>
      <c r="P3" s="159" t="s">
        <v>292</v>
      </c>
      <c r="Q3" s="159" t="s">
        <v>292</v>
      </c>
      <c r="R3" s="160" t="s">
        <v>293</v>
      </c>
      <c r="S3" s="160" t="s">
        <v>293</v>
      </c>
      <c r="T3" s="160" t="s">
        <v>293</v>
      </c>
      <c r="U3" s="242">
        <v>36920</v>
      </c>
      <c r="V3" s="160" t="s">
        <v>294</v>
      </c>
      <c r="W3" s="160" t="s">
        <v>7</v>
      </c>
      <c r="X3" s="160" t="s">
        <v>7</v>
      </c>
      <c r="Y3" s="160" t="s">
        <v>7</v>
      </c>
      <c r="Z3" s="160" t="s">
        <v>295</v>
      </c>
      <c r="AA3" s="160" t="s">
        <v>295</v>
      </c>
      <c r="AB3" s="160" t="s">
        <v>295</v>
      </c>
      <c r="AC3" s="242" t="s">
        <v>140</v>
      </c>
      <c r="AD3" s="161" t="s">
        <v>296</v>
      </c>
      <c r="AE3" s="161" t="s">
        <v>297</v>
      </c>
      <c r="AF3" s="161" t="s">
        <v>298</v>
      </c>
      <c r="AG3" s="161" t="s">
        <v>299</v>
      </c>
      <c r="AH3" s="243" t="s">
        <v>296</v>
      </c>
      <c r="AI3" s="161" t="s">
        <v>297</v>
      </c>
      <c r="AJ3" s="161" t="s">
        <v>298</v>
      </c>
      <c r="AK3" s="244" t="s">
        <v>299</v>
      </c>
      <c r="AL3" s="161" t="s">
        <v>300</v>
      </c>
      <c r="AM3" s="160" t="s">
        <v>301</v>
      </c>
      <c r="AN3" s="160" t="s">
        <v>302</v>
      </c>
      <c r="AO3" s="160" t="s">
        <v>303</v>
      </c>
      <c r="AP3" s="160" t="s">
        <v>301</v>
      </c>
      <c r="AQ3" s="160" t="s">
        <v>304</v>
      </c>
      <c r="AR3" s="162" t="s">
        <v>303</v>
      </c>
      <c r="AS3" s="159" t="s">
        <v>305</v>
      </c>
      <c r="AT3" s="161" t="s">
        <v>296</v>
      </c>
      <c r="AU3" s="161" t="s">
        <v>297</v>
      </c>
      <c r="AV3" s="161" t="s">
        <v>298</v>
      </c>
      <c r="AW3" s="161" t="s">
        <v>299</v>
      </c>
      <c r="AX3" s="161" t="s">
        <v>296</v>
      </c>
      <c r="AY3" s="161" t="s">
        <v>297</v>
      </c>
      <c r="AZ3" s="161" t="s">
        <v>298</v>
      </c>
      <c r="BA3" s="161" t="s">
        <v>299</v>
      </c>
      <c r="BB3" s="159" t="s">
        <v>292</v>
      </c>
      <c r="BC3" s="159" t="s">
        <v>292</v>
      </c>
      <c r="BD3" s="161" t="s">
        <v>296</v>
      </c>
      <c r="BE3" s="161" t="s">
        <v>297</v>
      </c>
      <c r="BF3" s="161" t="s">
        <v>298</v>
      </c>
      <c r="BG3" s="161" t="s">
        <v>299</v>
      </c>
      <c r="BH3" s="161" t="s">
        <v>296</v>
      </c>
      <c r="BI3" s="161" t="s">
        <v>297</v>
      </c>
      <c r="BJ3" s="161" t="s">
        <v>298</v>
      </c>
      <c r="BK3" s="161" t="s">
        <v>299</v>
      </c>
      <c r="BL3" s="160" t="s">
        <v>301</v>
      </c>
      <c r="BM3" s="160" t="s">
        <v>306</v>
      </c>
      <c r="BN3" s="160" t="s">
        <v>307</v>
      </c>
      <c r="BO3" s="160" t="s">
        <v>308</v>
      </c>
      <c r="BP3" s="161" t="s">
        <v>298</v>
      </c>
      <c r="BQ3" s="159" t="s">
        <v>292</v>
      </c>
      <c r="BR3" s="158" t="s">
        <v>309</v>
      </c>
      <c r="BS3" s="159" t="s">
        <v>289</v>
      </c>
      <c r="BT3" s="159" t="s">
        <v>302</v>
      </c>
      <c r="BU3" s="223" t="s">
        <v>310</v>
      </c>
      <c r="BV3" s="161" t="s">
        <v>311</v>
      </c>
      <c r="BW3" s="159" t="s">
        <v>312</v>
      </c>
      <c r="BX3" s="159" t="s">
        <v>312</v>
      </c>
      <c r="BY3" s="159" t="s">
        <v>313</v>
      </c>
      <c r="BZ3" s="159" t="s">
        <v>313</v>
      </c>
      <c r="CA3" s="159" t="s">
        <v>313</v>
      </c>
      <c r="CB3" s="159" t="s">
        <v>313</v>
      </c>
      <c r="CC3" s="159" t="s">
        <v>314</v>
      </c>
      <c r="CD3" s="159" t="s">
        <v>314</v>
      </c>
      <c r="CE3" s="159" t="s">
        <v>314</v>
      </c>
      <c r="CF3" s="159" t="s">
        <v>314</v>
      </c>
      <c r="CG3" s="161" t="s">
        <v>296</v>
      </c>
      <c r="CH3" s="161" t="s">
        <v>297</v>
      </c>
      <c r="CI3" s="161" t="s">
        <v>298</v>
      </c>
      <c r="CJ3" s="161" t="s">
        <v>299</v>
      </c>
      <c r="CK3" s="158" t="s">
        <v>291</v>
      </c>
      <c r="CL3" s="158" t="s">
        <v>291</v>
      </c>
    </row>
    <row r="4" spans="1:90" outlineLevel="3" x14ac:dyDescent="0.25">
      <c r="A4" s="137" t="s">
        <v>315</v>
      </c>
      <c r="B4" s="137" t="s">
        <v>316</v>
      </c>
      <c r="C4" s="137" t="s">
        <v>317</v>
      </c>
      <c r="D4" s="137" t="s">
        <v>318</v>
      </c>
      <c r="E4" s="137" t="s">
        <v>195</v>
      </c>
      <c r="F4" s="137" t="s">
        <v>196</v>
      </c>
      <c r="G4" s="137" t="s">
        <v>319</v>
      </c>
      <c r="H4" s="137" t="s">
        <v>320</v>
      </c>
      <c r="I4" s="163" t="s">
        <v>321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322</v>
      </c>
      <c r="S4" s="169">
        <v>0</v>
      </c>
      <c r="T4" s="169">
        <v>0</v>
      </c>
      <c r="U4" s="245">
        <v>5538616.8799999999</v>
      </c>
      <c r="V4" s="166" t="s">
        <v>323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324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93</v>
      </c>
      <c r="BW4" s="174">
        <v>0</v>
      </c>
      <c r="BX4" s="174">
        <v>0</v>
      </c>
      <c r="BY4" s="166">
        <v>0</v>
      </c>
      <c r="BZ4" s="166">
        <v>131614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325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183">
        <v>0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328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194">
        <v>0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440</v>
      </c>
      <c r="B7" s="137" t="s">
        <v>441</v>
      </c>
      <c r="C7" s="137" t="s">
        <v>442</v>
      </c>
      <c r="D7" s="137" t="s">
        <v>443</v>
      </c>
      <c r="E7" s="137" t="s">
        <v>444</v>
      </c>
      <c r="F7" s="137" t="s">
        <v>445</v>
      </c>
      <c r="G7" s="137" t="s">
        <v>446</v>
      </c>
      <c r="H7" s="137" t="s">
        <v>326</v>
      </c>
      <c r="I7" s="163" t="s">
        <v>321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32</v>
      </c>
      <c r="P7" s="168">
        <v>31.25</v>
      </c>
      <c r="Q7" s="168">
        <v>0.75</v>
      </c>
      <c r="R7" s="169">
        <v>0</v>
      </c>
      <c r="S7" s="169">
        <v>0</v>
      </c>
      <c r="T7" s="169">
        <v>0</v>
      </c>
      <c r="U7" s="245">
        <v>34957632</v>
      </c>
      <c r="V7" s="166" t="s">
        <v>323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34138312.5</v>
      </c>
      <c r="AD7" s="166">
        <v>819319.5</v>
      </c>
      <c r="AE7" s="166">
        <v>0</v>
      </c>
      <c r="AF7" s="166">
        <v>-819319.5</v>
      </c>
      <c r="AG7" s="166">
        <v>0</v>
      </c>
      <c r="AH7" s="246">
        <v>8062455.7333333343</v>
      </c>
      <c r="AI7" s="166">
        <v>0</v>
      </c>
      <c r="AJ7" s="166">
        <v>-8062455.7333333343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34957632</v>
      </c>
      <c r="AS7" s="166">
        <v>32</v>
      </c>
      <c r="AT7" s="166">
        <v>8062455.7333333343</v>
      </c>
      <c r="AU7" s="166">
        <v>0</v>
      </c>
      <c r="AV7" s="166">
        <v>-8062455.7333333343</v>
      </c>
      <c r="AW7" s="166">
        <v>0</v>
      </c>
      <c r="AX7" s="166">
        <v>8062455.7333333343</v>
      </c>
      <c r="AY7" s="166">
        <v>0</v>
      </c>
      <c r="AZ7" s="166">
        <v>-8062455.7333333343</v>
      </c>
      <c r="BA7" s="166">
        <v>0</v>
      </c>
      <c r="BB7" s="166">
        <v>32</v>
      </c>
      <c r="BC7" s="166">
        <v>31.25</v>
      </c>
      <c r="BD7" s="166">
        <v>7243136.2333333343</v>
      </c>
      <c r="BE7" s="166">
        <v>0</v>
      </c>
      <c r="BF7" s="166">
        <v>-7243136.2333333343</v>
      </c>
      <c r="BG7" s="166">
        <v>0</v>
      </c>
      <c r="BH7" s="166">
        <v>7243136.2333333343</v>
      </c>
      <c r="BI7" s="166">
        <v>0</v>
      </c>
      <c r="BJ7" s="166">
        <v>-7243136.2333333343</v>
      </c>
      <c r="BK7" s="166">
        <v>0</v>
      </c>
      <c r="BL7" s="166">
        <v>104012148.25</v>
      </c>
      <c r="BM7" s="166" t="s">
        <v>327</v>
      </c>
      <c r="BN7" s="166">
        <v>0</v>
      </c>
      <c r="BO7" s="166" t="b">
        <v>0</v>
      </c>
      <c r="BP7" s="166">
        <v>-7243136.2333333343</v>
      </c>
      <c r="BQ7" s="168">
        <v>3</v>
      </c>
      <c r="BR7" s="167">
        <v>3277278</v>
      </c>
      <c r="BS7" s="173">
        <v>58</v>
      </c>
      <c r="BT7" s="167">
        <v>819319.5</v>
      </c>
      <c r="BU7" s="231">
        <v>0</v>
      </c>
      <c r="BV7" s="167">
        <v>45</v>
      </c>
      <c r="BW7" s="174">
        <v>32</v>
      </c>
      <c r="BX7" s="174">
        <v>0</v>
      </c>
      <c r="BY7" s="166">
        <v>0</v>
      </c>
      <c r="BZ7" s="166">
        <v>-30438.983333333301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7243136.2333333343</v>
      </c>
      <c r="CH7" s="166">
        <v>0</v>
      </c>
      <c r="CI7" s="166">
        <v>-7243136.2333333343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447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183">
        <v>0</v>
      </c>
      <c r="T8" s="183">
        <v>0</v>
      </c>
      <c r="U8" s="248">
        <v>34957632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34138312.5</v>
      </c>
      <c r="AD8" s="180">
        <v>819319.5</v>
      </c>
      <c r="AE8" s="180">
        <v>0</v>
      </c>
      <c r="AF8" s="180">
        <v>-819319.5</v>
      </c>
      <c r="AG8" s="180">
        <v>0</v>
      </c>
      <c r="AH8" s="249">
        <v>8062455.7333333343</v>
      </c>
      <c r="AI8" s="180">
        <v>0</v>
      </c>
      <c r="AJ8" s="180">
        <v>-8062455.7333333343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8062455.7333333343</v>
      </c>
      <c r="AU8" s="180">
        <v>0</v>
      </c>
      <c r="AV8" s="180">
        <v>-8062455.7333333343</v>
      </c>
      <c r="AW8" s="180">
        <v>0</v>
      </c>
      <c r="AX8" s="180">
        <v>8062455.7333333343</v>
      </c>
      <c r="AY8" s="180">
        <v>0</v>
      </c>
      <c r="AZ8" s="180">
        <v>-8062455.7333333343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448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194">
        <v>0</v>
      </c>
      <c r="T9" s="194">
        <v>0</v>
      </c>
      <c r="U9" s="251">
        <v>34957632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34138312.5</v>
      </c>
      <c r="AD9" s="191">
        <v>819319.5</v>
      </c>
      <c r="AE9" s="191">
        <v>0</v>
      </c>
      <c r="AF9" s="191">
        <v>-819319.5</v>
      </c>
      <c r="AG9" s="191">
        <v>0</v>
      </c>
      <c r="AH9" s="252">
        <v>8062455.7333333343</v>
      </c>
      <c r="AI9" s="191">
        <v>0</v>
      </c>
      <c r="AJ9" s="191">
        <v>-8062455.7333333343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8062455.7333333343</v>
      </c>
      <c r="AU9" s="191">
        <v>0</v>
      </c>
      <c r="AV9" s="191">
        <v>-8062455.7333333343</v>
      </c>
      <c r="AW9" s="191">
        <v>0</v>
      </c>
      <c r="AX9" s="191">
        <v>8062455.7333333343</v>
      </c>
      <c r="AY9" s="191">
        <v>0</v>
      </c>
      <c r="AZ9" s="191">
        <v>-8062455.7333333343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329</v>
      </c>
      <c r="B10" s="137" t="s">
        <v>330</v>
      </c>
      <c r="C10" s="137" t="s">
        <v>336</v>
      </c>
      <c r="D10" s="137" t="s">
        <v>337</v>
      </c>
      <c r="E10" s="137" t="s">
        <v>197</v>
      </c>
      <c r="F10" s="137" t="s">
        <v>196</v>
      </c>
      <c r="G10" s="137" t="s">
        <v>333</v>
      </c>
      <c r="H10" s="137" t="s">
        <v>320</v>
      </c>
      <c r="I10" s="163" t="s">
        <v>335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338</v>
      </c>
      <c r="S10" s="169">
        <v>0</v>
      </c>
      <c r="T10" s="169">
        <v>0</v>
      </c>
      <c r="U10" s="245">
        <v>4731610.54</v>
      </c>
      <c r="V10" s="166" t="s">
        <v>323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324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68426.539999999994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329</v>
      </c>
      <c r="B11" s="137" t="s">
        <v>330</v>
      </c>
      <c r="C11" s="137" t="s">
        <v>336</v>
      </c>
      <c r="D11" s="137" t="s">
        <v>337</v>
      </c>
      <c r="E11" s="137" t="s">
        <v>198</v>
      </c>
      <c r="F11" s="137" t="s">
        <v>196</v>
      </c>
      <c r="G11" s="137" t="s">
        <v>509</v>
      </c>
      <c r="H11" s="137" t="s">
        <v>320</v>
      </c>
      <c r="I11" s="163" t="s">
        <v>335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339</v>
      </c>
      <c r="S11" s="169">
        <v>0</v>
      </c>
      <c r="T11" s="169">
        <v>0</v>
      </c>
      <c r="U11" s="245">
        <v>21605090</v>
      </c>
      <c r="V11" s="166" t="s">
        <v>323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324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137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329</v>
      </c>
      <c r="B12" s="137" t="s">
        <v>330</v>
      </c>
      <c r="C12" s="137" t="s">
        <v>336</v>
      </c>
      <c r="D12" s="137" t="s">
        <v>337</v>
      </c>
      <c r="E12" s="137" t="s">
        <v>479</v>
      </c>
      <c r="F12" s="137" t="s">
        <v>196</v>
      </c>
      <c r="G12" s="137" t="s">
        <v>509</v>
      </c>
      <c r="H12" s="137" t="s">
        <v>320</v>
      </c>
      <c r="I12" s="163" t="s">
        <v>335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339</v>
      </c>
      <c r="S12" s="169">
        <v>0</v>
      </c>
      <c r="T12" s="169">
        <v>0</v>
      </c>
      <c r="U12" s="245">
        <v>1954995.27</v>
      </c>
      <c r="V12" s="166" t="s">
        <v>323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324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138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329</v>
      </c>
      <c r="B13" s="137" t="s">
        <v>330</v>
      </c>
      <c r="C13" s="137" t="s">
        <v>336</v>
      </c>
      <c r="D13" s="137" t="s">
        <v>337</v>
      </c>
      <c r="E13" s="137" t="s">
        <v>199</v>
      </c>
      <c r="F13" s="137" t="s">
        <v>196</v>
      </c>
      <c r="G13" s="137" t="s">
        <v>509</v>
      </c>
      <c r="H13" s="137" t="s">
        <v>320</v>
      </c>
      <c r="I13" s="163" t="s">
        <v>335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340</v>
      </c>
      <c r="S13" s="169">
        <v>0</v>
      </c>
      <c r="T13" s="169">
        <v>0</v>
      </c>
      <c r="U13" s="245">
        <v>9231875</v>
      </c>
      <c r="V13" s="166" t="s">
        <v>323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324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150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329</v>
      </c>
      <c r="B14" s="137" t="s">
        <v>330</v>
      </c>
      <c r="C14" s="137" t="s">
        <v>336</v>
      </c>
      <c r="D14" s="137" t="s">
        <v>337</v>
      </c>
      <c r="E14" s="137" t="s">
        <v>480</v>
      </c>
      <c r="F14" s="137" t="s">
        <v>196</v>
      </c>
      <c r="G14" s="137" t="s">
        <v>509</v>
      </c>
      <c r="H14" s="137" t="s">
        <v>320</v>
      </c>
      <c r="I14" s="163" t="s">
        <v>335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340</v>
      </c>
      <c r="S14" s="169">
        <v>0</v>
      </c>
      <c r="T14" s="169">
        <v>0</v>
      </c>
      <c r="U14" s="245">
        <v>1663862.85</v>
      </c>
      <c r="V14" s="166" t="s">
        <v>323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324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151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329</v>
      </c>
      <c r="B15" s="137" t="s">
        <v>330</v>
      </c>
      <c r="C15" s="137" t="s">
        <v>331</v>
      </c>
      <c r="D15" s="137" t="s">
        <v>332</v>
      </c>
      <c r="E15" s="137" t="s">
        <v>200</v>
      </c>
      <c r="F15" s="137" t="s">
        <v>196</v>
      </c>
      <c r="G15" s="137" t="s">
        <v>333</v>
      </c>
      <c r="H15" s="137" t="s">
        <v>320</v>
      </c>
      <c r="I15" s="163" t="s">
        <v>335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230788.38999999873</v>
      </c>
      <c r="P15" s="167">
        <v>230788.38999999873</v>
      </c>
      <c r="Q15" s="167">
        <v>0</v>
      </c>
      <c r="R15" s="169" t="s">
        <v>341</v>
      </c>
      <c r="S15" s="169">
        <v>0</v>
      </c>
      <c r="T15" s="169">
        <v>0</v>
      </c>
      <c r="U15" s="245">
        <v>230788.38999999873</v>
      </c>
      <c r="V15" s="166" t="s">
        <v>323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230788.38999999873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230788.38999999873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324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153</v>
      </c>
      <c r="BW15" s="174">
        <v>0</v>
      </c>
      <c r="BX15" s="174">
        <v>0</v>
      </c>
      <c r="BY15" s="166">
        <v>0</v>
      </c>
      <c r="BZ15" s="166">
        <v>0</v>
      </c>
      <c r="CA15" s="166">
        <v>0</v>
      </c>
      <c r="CB15" s="166">
        <v>0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329</v>
      </c>
      <c r="B16" s="137" t="s">
        <v>330</v>
      </c>
      <c r="C16" s="137" t="s">
        <v>331</v>
      </c>
      <c r="D16" s="137" t="s">
        <v>332</v>
      </c>
      <c r="E16" s="137" t="s">
        <v>481</v>
      </c>
      <c r="F16" s="137" t="s">
        <v>196</v>
      </c>
      <c r="G16" s="137" t="s">
        <v>333</v>
      </c>
      <c r="H16" s="137" t="s">
        <v>320</v>
      </c>
      <c r="I16" s="163" t="s">
        <v>335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341</v>
      </c>
      <c r="S16" s="169">
        <v>0</v>
      </c>
      <c r="T16" s="169">
        <v>0</v>
      </c>
      <c r="U16" s="245">
        <v>162836.32999999999</v>
      </c>
      <c r="V16" s="166" t="s">
        <v>323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324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154</v>
      </c>
      <c r="BW16" s="174">
        <v>0</v>
      </c>
      <c r="BX16" s="174">
        <v>0</v>
      </c>
      <c r="BY16" s="166">
        <v>0</v>
      </c>
      <c r="BZ16" s="166">
        <v>-237725.03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342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183">
        <v>0</v>
      </c>
      <c r="T17" s="183">
        <v>0</v>
      </c>
      <c r="U17" s="248">
        <v>39581058.380000003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39581058.380000003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-169298.49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345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194">
        <v>0</v>
      </c>
      <c r="T18" s="194">
        <v>0</v>
      </c>
      <c r="U18" s="251">
        <v>39581058.380000003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39581058.380000003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-169298.49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346</v>
      </c>
      <c r="B19" s="137" t="s">
        <v>347</v>
      </c>
      <c r="C19" s="137" t="s">
        <v>348</v>
      </c>
      <c r="D19" s="137" t="s">
        <v>349</v>
      </c>
      <c r="E19" s="137" t="s">
        <v>350</v>
      </c>
      <c r="F19" s="137" t="s">
        <v>351</v>
      </c>
      <c r="G19" s="201" t="s">
        <v>352</v>
      </c>
      <c r="H19" s="201" t="s">
        <v>353</v>
      </c>
      <c r="I19" s="163" t="s">
        <v>353</v>
      </c>
      <c r="J19" s="165">
        <v>46956</v>
      </c>
      <c r="K19" s="165">
        <v>46956</v>
      </c>
      <c r="L19" s="167">
        <v>3.3445863973042063E-2</v>
      </c>
      <c r="M19" s="167">
        <v>0</v>
      </c>
      <c r="N19" s="167">
        <v>0.37668470423072287</v>
      </c>
      <c r="O19" s="166">
        <v>2.099980879133561</v>
      </c>
      <c r="P19" s="167">
        <v>2.0372206953941956</v>
      </c>
      <c r="Q19" s="167">
        <v>6.2760183739365427E-2</v>
      </c>
      <c r="R19" s="169">
        <v>0</v>
      </c>
      <c r="S19" s="169">
        <v>0</v>
      </c>
      <c r="T19" s="169">
        <v>0</v>
      </c>
      <c r="U19" s="245">
        <v>98606.702160595494</v>
      </c>
      <c r="V19" s="166" t="s">
        <v>323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95659.734972929844</v>
      </c>
      <c r="AD19" s="166">
        <v>2946.9671876656503</v>
      </c>
      <c r="AE19" s="166">
        <v>0</v>
      </c>
      <c r="AF19" s="166">
        <v>-2946.9671876656503</v>
      </c>
      <c r="AG19" s="166">
        <v>0</v>
      </c>
      <c r="AH19" s="246">
        <v>-28875.745412157106</v>
      </c>
      <c r="AI19" s="166">
        <v>0</v>
      </c>
      <c r="AJ19" s="166">
        <v>28875.745412157106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25716.675315259919</v>
      </c>
      <c r="AP19" s="166">
        <v>84870.386027040266</v>
      </c>
      <c r="AQ19" s="171">
        <v>1</v>
      </c>
      <c r="AR19" s="166">
        <v>289634.56416417187</v>
      </c>
      <c r="AS19" s="166">
        <v>16.375</v>
      </c>
      <c r="AT19" s="166">
        <v>-28875.745412157106</v>
      </c>
      <c r="AU19" s="166">
        <v>0</v>
      </c>
      <c r="AV19" s="166">
        <v>28875.745412157106</v>
      </c>
      <c r="AW19" s="166">
        <v>0</v>
      </c>
      <c r="AX19" s="166">
        <v>-28875.745412157106</v>
      </c>
      <c r="AY19" s="166">
        <v>0</v>
      </c>
      <c r="AZ19" s="166">
        <v>28875.745412157106</v>
      </c>
      <c r="BA19" s="166">
        <v>0</v>
      </c>
      <c r="BB19" s="166">
        <v>16.375</v>
      </c>
      <c r="BC19" s="166">
        <v>16.1875</v>
      </c>
      <c r="BD19" s="166">
        <v>-31822.712599822757</v>
      </c>
      <c r="BE19" s="166">
        <v>0</v>
      </c>
      <c r="BF19" s="166">
        <v>31822.712599822757</v>
      </c>
      <c r="BG19" s="166">
        <v>0</v>
      </c>
      <c r="BH19" s="166">
        <v>-31822.712599822757</v>
      </c>
      <c r="BI19" s="166">
        <v>0</v>
      </c>
      <c r="BJ19" s="166">
        <v>31822.712599822757</v>
      </c>
      <c r="BK19" s="166">
        <v>0</v>
      </c>
      <c r="BL19" s="166">
        <v>84870.386027040266</v>
      </c>
      <c r="BM19" s="166" t="s">
        <v>327</v>
      </c>
      <c r="BN19" s="166">
        <v>0</v>
      </c>
      <c r="BO19" s="166" t="b">
        <v>0</v>
      </c>
      <c r="BP19" s="166">
        <v>31822.712599822757</v>
      </c>
      <c r="BQ19" s="167">
        <v>0</v>
      </c>
      <c r="BR19" s="167">
        <v>0</v>
      </c>
      <c r="BS19" s="173">
        <v>42</v>
      </c>
      <c r="BT19" s="167">
        <v>0</v>
      </c>
      <c r="BU19" s="231">
        <v>17687.606971857822</v>
      </c>
      <c r="BV19" s="167">
        <v>197</v>
      </c>
      <c r="BW19" s="174">
        <v>16.375</v>
      </c>
      <c r="BX19" s="174">
        <v>16.375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-31822.712599822757</v>
      </c>
      <c r="CH19" s="166">
        <v>0</v>
      </c>
      <c r="CI19" s="166">
        <v>31822.712599822757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354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183">
        <v>0</v>
      </c>
      <c r="T20" s="183">
        <v>0</v>
      </c>
      <c r="U20" s="248">
        <v>98606.702160595494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95659.734972929844</v>
      </c>
      <c r="AD20" s="180">
        <v>2946.9671876656503</v>
      </c>
      <c r="AE20" s="180">
        <v>0</v>
      </c>
      <c r="AF20" s="180">
        <v>-2946.9671876656503</v>
      </c>
      <c r="AG20" s="180">
        <v>0</v>
      </c>
      <c r="AH20" s="249">
        <v>-28875.745412157106</v>
      </c>
      <c r="AI20" s="180">
        <v>0</v>
      </c>
      <c r="AJ20" s="180">
        <v>28875.745412157106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-28875.745412157106</v>
      </c>
      <c r="AU20" s="180">
        <v>0</v>
      </c>
      <c r="AV20" s="180">
        <v>28875.745412157106</v>
      </c>
      <c r="AW20" s="180">
        <v>0</v>
      </c>
      <c r="AX20" s="180">
        <v>-28875.745412157106</v>
      </c>
      <c r="AY20" s="180">
        <v>0</v>
      </c>
      <c r="AZ20" s="180">
        <v>28875.745412157106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355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194">
        <v>0</v>
      </c>
      <c r="T21" s="194">
        <v>0</v>
      </c>
      <c r="U21" s="251">
        <v>98606.702160595494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95659.734972929844</v>
      </c>
      <c r="AD21" s="191">
        <v>2946.9671876656503</v>
      </c>
      <c r="AE21" s="191">
        <v>0</v>
      </c>
      <c r="AF21" s="191">
        <v>-2946.9671876656503</v>
      </c>
      <c r="AG21" s="191">
        <v>0</v>
      </c>
      <c r="AH21" s="252">
        <v>-28875.745412157106</v>
      </c>
      <c r="AI21" s="191">
        <v>0</v>
      </c>
      <c r="AJ21" s="191">
        <v>28875.745412157106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-28875.745412157106</v>
      </c>
      <c r="AU21" s="191">
        <v>0</v>
      </c>
      <c r="AV21" s="191">
        <v>28875.745412157106</v>
      </c>
      <c r="AW21" s="191">
        <v>0</v>
      </c>
      <c r="AX21" s="191">
        <v>-28875.745412157106</v>
      </c>
      <c r="AY21" s="191">
        <v>0</v>
      </c>
      <c r="AZ21" s="191">
        <v>28875.745412157106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329</v>
      </c>
      <c r="B22" s="137" t="s">
        <v>356</v>
      </c>
      <c r="C22" s="137" t="s">
        <v>488</v>
      </c>
      <c r="D22" s="137" t="s">
        <v>489</v>
      </c>
      <c r="E22" s="137" t="s">
        <v>201</v>
      </c>
      <c r="F22" s="137" t="s">
        <v>196</v>
      </c>
      <c r="G22" s="137" t="s">
        <v>510</v>
      </c>
      <c r="H22" s="137" t="s">
        <v>320</v>
      </c>
      <c r="I22" s="163" t="s">
        <v>335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357</v>
      </c>
      <c r="S22" s="169">
        <v>0</v>
      </c>
      <c r="T22" s="169">
        <v>0</v>
      </c>
      <c r="U22" s="245">
        <v>1803840</v>
      </c>
      <c r="V22" s="166" t="s">
        <v>323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324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146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329</v>
      </c>
      <c r="B23" s="137" t="s">
        <v>356</v>
      </c>
      <c r="C23" s="137" t="s">
        <v>488</v>
      </c>
      <c r="D23" s="137" t="s">
        <v>489</v>
      </c>
      <c r="E23" s="137" t="s">
        <v>430</v>
      </c>
      <c r="F23" s="137" t="s">
        <v>196</v>
      </c>
      <c r="G23" s="137" t="s">
        <v>510</v>
      </c>
      <c r="H23" s="137" t="s">
        <v>320</v>
      </c>
      <c r="I23" s="163" t="s">
        <v>335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431</v>
      </c>
      <c r="S23" s="169">
        <v>0</v>
      </c>
      <c r="T23" s="169">
        <v>0</v>
      </c>
      <c r="U23" s="245">
        <v>2300803</v>
      </c>
      <c r="V23" s="166" t="s">
        <v>323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324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147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342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183">
        <v>0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358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194">
        <v>0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360</v>
      </c>
      <c r="B26" s="137" t="s">
        <v>359</v>
      </c>
      <c r="C26" s="137" t="s">
        <v>469</v>
      </c>
      <c r="D26" s="137" t="s">
        <v>470</v>
      </c>
      <c r="E26" s="137" t="s">
        <v>471</v>
      </c>
      <c r="F26" s="137" t="s">
        <v>196</v>
      </c>
      <c r="G26" s="137" t="s">
        <v>472</v>
      </c>
      <c r="H26" s="137" t="s">
        <v>320</v>
      </c>
      <c r="I26" s="163" t="s">
        <v>361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93746588.676477998</v>
      </c>
      <c r="Q26" s="167">
        <v>-63109023.640000001</v>
      </c>
      <c r="R26" s="169" t="s">
        <v>473</v>
      </c>
      <c r="S26" s="169">
        <v>0</v>
      </c>
      <c r="T26" s="169">
        <v>0</v>
      </c>
      <c r="U26" s="245">
        <v>30637565.036477998</v>
      </c>
      <c r="V26" s="166" t="s">
        <v>323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93746588.676477998</v>
      </c>
      <c r="AD26" s="166">
        <v>-63109023.640000001</v>
      </c>
      <c r="AE26" s="166">
        <v>0</v>
      </c>
      <c r="AF26" s="166">
        <v>63109023.640000001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-63109023.640000001</v>
      </c>
      <c r="AU26" s="166">
        <v>0</v>
      </c>
      <c r="AV26" s="166">
        <v>63109023.640000001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0</v>
      </c>
      <c r="BI26" s="166">
        <v>0</v>
      </c>
      <c r="BJ26" s="166">
        <v>0</v>
      </c>
      <c r="BK26" s="166">
        <v>0</v>
      </c>
      <c r="BL26" s="166">
        <v>93746588.676477998</v>
      </c>
      <c r="BM26" s="166" t="s">
        <v>327</v>
      </c>
      <c r="BN26" s="166">
        <v>63109023.640000001</v>
      </c>
      <c r="BO26" s="166" t="b">
        <v>1</v>
      </c>
      <c r="BP26" s="166">
        <v>0</v>
      </c>
      <c r="BQ26" s="168">
        <v>0</v>
      </c>
      <c r="BR26" s="167">
        <v>0</v>
      </c>
      <c r="BS26" s="173">
        <v>79</v>
      </c>
      <c r="BT26" s="167">
        <v>-63109023.640000001</v>
      </c>
      <c r="BU26" s="231">
        <v>0</v>
      </c>
      <c r="BV26" s="167">
        <v>167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0</v>
      </c>
      <c r="CH26" s="166">
        <v>0</v>
      </c>
      <c r="CI26" s="166">
        <v>0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363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183">
        <v>0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93746588.676477998</v>
      </c>
      <c r="AD27" s="180">
        <v>-63109023.640000001</v>
      </c>
      <c r="AE27" s="180">
        <v>0</v>
      </c>
      <c r="AF27" s="180">
        <v>63109023.640000001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-63109023.640000001</v>
      </c>
      <c r="AU27" s="180">
        <v>0</v>
      </c>
      <c r="AV27" s="180">
        <v>63109023.640000001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364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194">
        <v>0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93746588.676477998</v>
      </c>
      <c r="AD28" s="191">
        <v>-63109023.640000001</v>
      </c>
      <c r="AE28" s="191">
        <v>0</v>
      </c>
      <c r="AF28" s="191">
        <v>63109023.640000001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-63109023.640000001</v>
      </c>
      <c r="AU28" s="191">
        <v>0</v>
      </c>
      <c r="AV28" s="191">
        <v>63109023.640000001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343</v>
      </c>
      <c r="B29" s="137" t="s">
        <v>365</v>
      </c>
      <c r="C29" s="137" t="s">
        <v>476</v>
      </c>
      <c r="D29" s="137" t="s">
        <v>477</v>
      </c>
      <c r="E29" s="137" t="s">
        <v>203</v>
      </c>
      <c r="F29" s="137" t="s">
        <v>368</v>
      </c>
      <c r="G29" s="137" t="s">
        <v>511</v>
      </c>
      <c r="H29" s="137" t="s">
        <v>326</v>
      </c>
      <c r="I29" s="163" t="s">
        <v>321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22.875</v>
      </c>
      <c r="P29" s="168">
        <v>23</v>
      </c>
      <c r="Q29" s="168">
        <v>-0.125</v>
      </c>
      <c r="R29" s="169" t="s">
        <v>369</v>
      </c>
      <c r="S29" s="169">
        <v>0</v>
      </c>
      <c r="T29" s="169">
        <v>0</v>
      </c>
      <c r="U29" s="245">
        <v>23357822.625</v>
      </c>
      <c r="V29" s="166" t="s">
        <v>323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23485461</v>
      </c>
      <c r="AD29" s="166">
        <v>-127638.375</v>
      </c>
      <c r="AE29" s="166">
        <v>0</v>
      </c>
      <c r="AF29" s="166">
        <v>127638.375</v>
      </c>
      <c r="AG29" s="166">
        <v>0</v>
      </c>
      <c r="AH29" s="246">
        <v>1806937.6724999994</v>
      </c>
      <c r="AI29" s="166">
        <v>0</v>
      </c>
      <c r="AJ29" s="166">
        <v>-1806937.6724999994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23357822.625</v>
      </c>
      <c r="AS29" s="166">
        <v>22.875</v>
      </c>
      <c r="AT29" s="166">
        <v>1806937.6724999994</v>
      </c>
      <c r="AU29" s="166">
        <v>0</v>
      </c>
      <c r="AV29" s="166">
        <v>-1806937.6724999994</v>
      </c>
      <c r="AW29" s="166">
        <v>0</v>
      </c>
      <c r="AX29" s="166">
        <v>1806937.6724999994</v>
      </c>
      <c r="AY29" s="166">
        <v>0</v>
      </c>
      <c r="AZ29" s="166">
        <v>-1806937.6724999994</v>
      </c>
      <c r="BA29" s="166">
        <v>0</v>
      </c>
      <c r="BB29" s="166">
        <v>22.875</v>
      </c>
      <c r="BC29" s="166">
        <v>23</v>
      </c>
      <c r="BD29" s="166">
        <v>1934576.0474999994</v>
      </c>
      <c r="BE29" s="166">
        <v>0</v>
      </c>
      <c r="BF29" s="166">
        <v>-1934576.0474999994</v>
      </c>
      <c r="BG29" s="166">
        <v>0</v>
      </c>
      <c r="BH29" s="166">
        <v>1934576.0474999994</v>
      </c>
      <c r="BI29" s="166">
        <v>0</v>
      </c>
      <c r="BJ29" s="166">
        <v>-1934576.0474999994</v>
      </c>
      <c r="BK29" s="166">
        <v>0</v>
      </c>
      <c r="BL29" s="166">
        <v>79135746</v>
      </c>
      <c r="BM29" s="166" t="s">
        <v>327</v>
      </c>
      <c r="BN29" s="166">
        <v>0</v>
      </c>
      <c r="BO29" s="166" t="b">
        <v>0</v>
      </c>
      <c r="BP29" s="166">
        <v>-1934576.0474999994</v>
      </c>
      <c r="BQ29" s="168">
        <v>0</v>
      </c>
      <c r="BR29" s="167">
        <v>0</v>
      </c>
      <c r="BS29" s="173">
        <v>71</v>
      </c>
      <c r="BT29" s="167">
        <v>-127638.375</v>
      </c>
      <c r="BU29" s="231">
        <v>0</v>
      </c>
      <c r="BV29" s="167">
        <v>24</v>
      </c>
      <c r="BW29" s="174">
        <v>22.875</v>
      </c>
      <c r="BX29" s="174">
        <v>0</v>
      </c>
      <c r="BY29" s="166">
        <v>0</v>
      </c>
      <c r="BZ29" s="166">
        <v>-6449767.1100000003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1934576.0474999994</v>
      </c>
      <c r="CH29" s="166">
        <v>0</v>
      </c>
      <c r="CI29" s="166">
        <v>-1934576.0474999994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344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183">
        <v>0</v>
      </c>
      <c r="T30" s="183">
        <v>0</v>
      </c>
      <c r="U30" s="248">
        <v>23357822.625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23485461</v>
      </c>
      <c r="AD30" s="180">
        <v>-127638.375</v>
      </c>
      <c r="AE30" s="180">
        <v>0</v>
      </c>
      <c r="AF30" s="180">
        <v>127638.375</v>
      </c>
      <c r="AG30" s="180">
        <v>0</v>
      </c>
      <c r="AH30" s="249">
        <v>1806937.6724999994</v>
      </c>
      <c r="AI30" s="180">
        <v>0</v>
      </c>
      <c r="AJ30" s="180">
        <v>-1806937.6724999994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1806937.6724999994</v>
      </c>
      <c r="AU30" s="180">
        <v>0</v>
      </c>
      <c r="AV30" s="180">
        <v>-1806937.6724999994</v>
      </c>
      <c r="AW30" s="180">
        <v>0</v>
      </c>
      <c r="AX30" s="180">
        <v>1806937.6724999994</v>
      </c>
      <c r="AY30" s="180">
        <v>0</v>
      </c>
      <c r="AZ30" s="180">
        <v>-1806937.6724999994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370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194">
        <v>0</v>
      </c>
      <c r="T31" s="194">
        <v>0</v>
      </c>
      <c r="U31" s="251">
        <v>23357822.625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23485461</v>
      </c>
      <c r="AD31" s="191">
        <v>-127638.375</v>
      </c>
      <c r="AE31" s="191">
        <v>0</v>
      </c>
      <c r="AF31" s="191">
        <v>127638.375</v>
      </c>
      <c r="AG31" s="191">
        <v>0</v>
      </c>
      <c r="AH31" s="252">
        <v>1806937.6724999994</v>
      </c>
      <c r="AI31" s="191">
        <v>0</v>
      </c>
      <c r="AJ31" s="191">
        <v>-1806937.6724999994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1806937.6724999994</v>
      </c>
      <c r="AU31" s="191">
        <v>0</v>
      </c>
      <c r="AV31" s="191">
        <v>-1806937.6724999994</v>
      </c>
      <c r="AW31" s="191">
        <v>0</v>
      </c>
      <c r="AX31" s="191">
        <v>1806937.6724999994</v>
      </c>
      <c r="AY31" s="191">
        <v>0</v>
      </c>
      <c r="AZ31" s="191">
        <v>-1806937.6724999994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372</v>
      </c>
      <c r="B32" s="137" t="s">
        <v>371</v>
      </c>
      <c r="C32" s="137" t="s">
        <v>373</v>
      </c>
      <c r="D32" s="137" t="s">
        <v>374</v>
      </c>
      <c r="E32" s="137" t="s">
        <v>375</v>
      </c>
      <c r="F32" s="137" t="s">
        <v>196</v>
      </c>
      <c r="G32" s="137" t="s">
        <v>352</v>
      </c>
      <c r="H32" s="137" t="s">
        <v>320</v>
      </c>
      <c r="I32" s="163" t="s">
        <v>335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2807236.89</v>
      </c>
      <c r="P32" s="167">
        <v>2807236.89</v>
      </c>
      <c r="Q32" s="167">
        <v>0</v>
      </c>
      <c r="R32" s="169">
        <v>0</v>
      </c>
      <c r="S32" s="169">
        <v>0</v>
      </c>
      <c r="T32" s="169">
        <v>0</v>
      </c>
      <c r="U32" s="245">
        <v>2807236.89</v>
      </c>
      <c r="V32" s="166" t="s">
        <v>323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2807236.89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2807236.89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324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183</v>
      </c>
      <c r="BW32" s="174">
        <v>0</v>
      </c>
      <c r="BX32" s="174">
        <v>0</v>
      </c>
      <c r="BY32" s="166">
        <v>0</v>
      </c>
      <c r="BZ32" s="166">
        <v>0</v>
      </c>
      <c r="CA32" s="166">
        <v>0</v>
      </c>
      <c r="CB32" s="166">
        <v>0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376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183">
        <v>0</v>
      </c>
      <c r="T33" s="183">
        <v>0</v>
      </c>
      <c r="U33" s="248">
        <v>2807236.89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2807236.89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0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377</v>
      </c>
      <c r="B34" s="137" t="s">
        <v>371</v>
      </c>
      <c r="C34" s="137" t="s">
        <v>378</v>
      </c>
      <c r="D34" s="137" t="s">
        <v>379</v>
      </c>
      <c r="E34" s="137" t="s">
        <v>499</v>
      </c>
      <c r="F34" s="137" t="s">
        <v>500</v>
      </c>
      <c r="G34" s="201" t="s">
        <v>352</v>
      </c>
      <c r="H34" s="201" t="s">
        <v>326</v>
      </c>
      <c r="I34" s="163" t="s">
        <v>321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7.1875</v>
      </c>
      <c r="P34" s="168">
        <v>7.25</v>
      </c>
      <c r="Q34" s="168">
        <v>-6.25E-2</v>
      </c>
      <c r="R34" s="169">
        <v>0</v>
      </c>
      <c r="S34" s="169">
        <v>0</v>
      </c>
      <c r="T34" s="169">
        <v>0</v>
      </c>
      <c r="U34" s="245">
        <v>43851.14737500003</v>
      </c>
      <c r="V34" s="166" t="s">
        <v>323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44232.461700000029</v>
      </c>
      <c r="AD34" s="166">
        <v>-381.31432499999937</v>
      </c>
      <c r="AE34" s="166">
        <v>0</v>
      </c>
      <c r="AF34" s="166">
        <v>381.31432499999937</v>
      </c>
      <c r="AG34" s="166">
        <v>0</v>
      </c>
      <c r="AH34" s="246">
        <v>-4194.4575750000076</v>
      </c>
      <c r="AI34" s="166">
        <v>0</v>
      </c>
      <c r="AJ34" s="166">
        <v>4194.4575750000076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43851.14737500003</v>
      </c>
      <c r="AS34" s="166">
        <v>7.1875</v>
      </c>
      <c r="AT34" s="166">
        <v>-4194.4575750000076</v>
      </c>
      <c r="AU34" s="166">
        <v>0</v>
      </c>
      <c r="AV34" s="166">
        <v>4194.4575750000076</v>
      </c>
      <c r="AW34" s="166">
        <v>0</v>
      </c>
      <c r="AX34" s="166">
        <v>-4194.4575750000076</v>
      </c>
      <c r="AY34" s="166">
        <v>0</v>
      </c>
      <c r="AZ34" s="166">
        <v>4194.4575750000076</v>
      </c>
      <c r="BA34" s="166">
        <v>0</v>
      </c>
      <c r="BB34" s="166">
        <v>7.1875</v>
      </c>
      <c r="BC34" s="166">
        <v>7.25</v>
      </c>
      <c r="BD34" s="166">
        <v>-3813.1432500000083</v>
      </c>
      <c r="BE34" s="166">
        <v>0</v>
      </c>
      <c r="BF34" s="166">
        <v>3813.1432500000083</v>
      </c>
      <c r="BG34" s="166">
        <v>0</v>
      </c>
      <c r="BH34" s="166">
        <v>-3813.1432500000083</v>
      </c>
      <c r="BI34" s="166">
        <v>0</v>
      </c>
      <c r="BJ34" s="166">
        <v>3813.1432500000083</v>
      </c>
      <c r="BK34" s="166">
        <v>0</v>
      </c>
      <c r="BL34" s="166">
        <v>243059.55643199998</v>
      </c>
      <c r="BM34" s="166" t="s">
        <v>327</v>
      </c>
      <c r="BN34" s="166">
        <v>0</v>
      </c>
      <c r="BO34" s="166" t="b">
        <v>0</v>
      </c>
      <c r="BP34" s="166">
        <v>3813.1432500000083</v>
      </c>
      <c r="BQ34" s="167">
        <v>0</v>
      </c>
      <c r="BR34" s="167">
        <v>0</v>
      </c>
      <c r="BS34" s="173">
        <v>41</v>
      </c>
      <c r="BT34" s="167">
        <v>-381.31432499999937</v>
      </c>
      <c r="BU34" s="231">
        <v>6101.0292000000045</v>
      </c>
      <c r="BV34" s="167">
        <v>194</v>
      </c>
      <c r="BW34" s="174">
        <v>7.1875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-3813.1432500000083</v>
      </c>
      <c r="CH34" s="166">
        <v>0</v>
      </c>
      <c r="CI34" s="166">
        <v>3813.1432500000083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380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183">
        <v>0</v>
      </c>
      <c r="T35" s="183">
        <v>0</v>
      </c>
      <c r="U35" s="248">
        <v>43851.14737500003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44232.461700000029</v>
      </c>
      <c r="AD35" s="180">
        <v>-381.31432499999937</v>
      </c>
      <c r="AE35" s="180">
        <v>0</v>
      </c>
      <c r="AF35" s="180">
        <v>381.31432499999937</v>
      </c>
      <c r="AG35" s="180">
        <v>0</v>
      </c>
      <c r="AH35" s="249">
        <v>-4194.4575750000076</v>
      </c>
      <c r="AI35" s="180">
        <v>0</v>
      </c>
      <c r="AJ35" s="180">
        <v>4194.4575750000076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-4194.4575750000076</v>
      </c>
      <c r="AU35" s="180">
        <v>0</v>
      </c>
      <c r="AV35" s="180">
        <v>4194.4575750000076</v>
      </c>
      <c r="AW35" s="180">
        <v>0</v>
      </c>
      <c r="AX35" s="180">
        <v>-4194.4575750000076</v>
      </c>
      <c r="AY35" s="180">
        <v>0</v>
      </c>
      <c r="AZ35" s="180">
        <v>4194.4575750000076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381</v>
      </c>
      <c r="B36" s="137" t="s">
        <v>371</v>
      </c>
      <c r="C36" s="137" t="s">
        <v>382</v>
      </c>
      <c r="D36" s="137" t="s">
        <v>383</v>
      </c>
      <c r="E36" s="137" t="s">
        <v>384</v>
      </c>
      <c r="F36" s="137" t="s">
        <v>196</v>
      </c>
      <c r="G36" s="137" t="s">
        <v>352</v>
      </c>
      <c r="H36" s="137" t="s">
        <v>320</v>
      </c>
      <c r="I36" s="163" t="s">
        <v>361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283416</v>
      </c>
      <c r="Q36" s="167">
        <v>-283416</v>
      </c>
      <c r="R36" s="169">
        <v>0</v>
      </c>
      <c r="S36" s="169">
        <v>0</v>
      </c>
      <c r="T36" s="169">
        <v>0</v>
      </c>
      <c r="U36" s="245">
        <v>0</v>
      </c>
      <c r="V36" s="166" t="s">
        <v>323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283416</v>
      </c>
      <c r="AD36" s="166">
        <v>-283416</v>
      </c>
      <c r="AE36" s="166">
        <v>0</v>
      </c>
      <c r="AF36" s="166">
        <v>283416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-283416</v>
      </c>
      <c r="AU36" s="166">
        <v>0</v>
      </c>
      <c r="AV36" s="166">
        <v>283416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0</v>
      </c>
      <c r="BI36" s="166">
        <v>0</v>
      </c>
      <c r="BJ36" s="166">
        <v>0</v>
      </c>
      <c r="BK36" s="166">
        <v>0</v>
      </c>
      <c r="BL36" s="166">
        <v>283416</v>
      </c>
      <c r="BM36" s="166" t="s">
        <v>327</v>
      </c>
      <c r="BN36" s="166">
        <v>283416</v>
      </c>
      <c r="BO36" s="166" t="b">
        <v>1</v>
      </c>
      <c r="BP36" s="166">
        <v>0</v>
      </c>
      <c r="BQ36" s="168">
        <v>0</v>
      </c>
      <c r="BR36" s="167">
        <v>0</v>
      </c>
      <c r="BS36" s="173">
        <v>38</v>
      </c>
      <c r="BT36" s="167">
        <v>-283416</v>
      </c>
      <c r="BU36" s="231">
        <v>0</v>
      </c>
      <c r="BV36" s="167">
        <v>185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0</v>
      </c>
      <c r="CH36" s="166">
        <v>0</v>
      </c>
      <c r="CI36" s="166">
        <v>0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385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183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283416</v>
      </c>
      <c r="AD37" s="180">
        <v>-283416</v>
      </c>
      <c r="AE37" s="180">
        <v>0</v>
      </c>
      <c r="AF37" s="180">
        <v>283416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-283416</v>
      </c>
      <c r="AU37" s="180">
        <v>0</v>
      </c>
      <c r="AV37" s="180">
        <v>283416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549</v>
      </c>
      <c r="B38" s="137" t="s">
        <v>371</v>
      </c>
      <c r="C38" s="137" t="s">
        <v>526</v>
      </c>
      <c r="D38" s="137" t="s">
        <v>527</v>
      </c>
      <c r="E38" s="137" t="s">
        <v>550</v>
      </c>
      <c r="F38" s="137" t="s">
        <v>528</v>
      </c>
      <c r="G38" s="201" t="s">
        <v>352</v>
      </c>
      <c r="H38" s="201" t="s">
        <v>326</v>
      </c>
      <c r="I38" s="163" t="s">
        <v>321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37.49</v>
      </c>
      <c r="P38" s="168">
        <v>37.1875</v>
      </c>
      <c r="Q38" s="168">
        <v>0.30250000000000199</v>
      </c>
      <c r="R38" s="169">
        <v>0</v>
      </c>
      <c r="S38" s="169">
        <v>0</v>
      </c>
      <c r="T38" s="169">
        <v>0</v>
      </c>
      <c r="U38" s="245">
        <v>74801247.680000007</v>
      </c>
      <c r="V38" s="166" t="s">
        <v>551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74197690.000000015</v>
      </c>
      <c r="AD38" s="166">
        <v>603557.67999999225</v>
      </c>
      <c r="AE38" s="166">
        <v>0</v>
      </c>
      <c r="AF38" s="166">
        <v>-603557.67999999225</v>
      </c>
      <c r="AG38" s="166">
        <v>0</v>
      </c>
      <c r="AH38" s="246">
        <v>-14734788.320000008</v>
      </c>
      <c r="AI38" s="166">
        <v>0</v>
      </c>
      <c r="AJ38" s="166">
        <v>14734788.320000008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74801247.680000007</v>
      </c>
      <c r="AS38" s="166">
        <v>37.49</v>
      </c>
      <c r="AT38" s="166">
        <v>-14734788.320000008</v>
      </c>
      <c r="AU38" s="166">
        <v>0</v>
      </c>
      <c r="AV38" s="166">
        <v>14734788.320000008</v>
      </c>
      <c r="AW38" s="166">
        <v>0</v>
      </c>
      <c r="AX38" s="166">
        <v>-14734788.320000008</v>
      </c>
      <c r="AY38" s="166">
        <v>0</v>
      </c>
      <c r="AZ38" s="166">
        <v>14734788.320000008</v>
      </c>
      <c r="BA38" s="166">
        <v>0</v>
      </c>
      <c r="BB38" s="166">
        <v>37.49</v>
      </c>
      <c r="BC38" s="166">
        <v>37.1875</v>
      </c>
      <c r="BD38" s="166">
        <v>-15338346</v>
      </c>
      <c r="BE38" s="166">
        <v>0</v>
      </c>
      <c r="BF38" s="166">
        <v>15338346</v>
      </c>
      <c r="BG38" s="166">
        <v>0</v>
      </c>
      <c r="BH38" s="166">
        <v>-15338346</v>
      </c>
      <c r="BI38" s="166">
        <v>0</v>
      </c>
      <c r="BJ38" s="166">
        <v>15338346</v>
      </c>
      <c r="BK38" s="166">
        <v>0</v>
      </c>
      <c r="BL38" s="166">
        <v>0</v>
      </c>
      <c r="BM38" s="166" t="s">
        <v>327</v>
      </c>
      <c r="BN38" s="166">
        <v>0</v>
      </c>
      <c r="BO38" s="166" t="b">
        <v>0</v>
      </c>
      <c r="BP38" s="166">
        <v>15338346</v>
      </c>
      <c r="BQ38" s="167">
        <v>0</v>
      </c>
      <c r="BR38" s="167">
        <v>0</v>
      </c>
      <c r="BS38" s="173">
        <v>83</v>
      </c>
      <c r="BT38" s="167">
        <v>603557.67999999225</v>
      </c>
      <c r="BU38" s="231">
        <v>1995232</v>
      </c>
      <c r="BV38" s="167">
        <v>192</v>
      </c>
      <c r="BW38" s="174">
        <v>37.49</v>
      </c>
      <c r="BX38" s="174">
        <v>0</v>
      </c>
      <c r="BY38" s="166">
        <v>0</v>
      </c>
      <c r="BZ38" s="166">
        <v>89536036.000000015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-15338346</v>
      </c>
      <c r="CH38" s="166">
        <v>0</v>
      </c>
      <c r="CI38" s="166">
        <v>15338346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552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183">
        <v>0</v>
      </c>
      <c r="T39" s="183">
        <v>0</v>
      </c>
      <c r="U39" s="248">
        <v>74801247.680000007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74197690.000000015</v>
      </c>
      <c r="AD39" s="180">
        <v>603557.67999999225</v>
      </c>
      <c r="AE39" s="180">
        <v>0</v>
      </c>
      <c r="AF39" s="180">
        <v>-603557.67999999225</v>
      </c>
      <c r="AG39" s="180">
        <v>0</v>
      </c>
      <c r="AH39" s="249">
        <v>-14734788.320000008</v>
      </c>
      <c r="AI39" s="180">
        <v>0</v>
      </c>
      <c r="AJ39" s="180">
        <v>14734788.320000008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-14734788.320000008</v>
      </c>
      <c r="AU39" s="180">
        <v>0</v>
      </c>
      <c r="AV39" s="180">
        <v>14734788.320000008</v>
      </c>
      <c r="AW39" s="180">
        <v>0</v>
      </c>
      <c r="AX39" s="180">
        <v>-14734788.320000008</v>
      </c>
      <c r="AY39" s="180">
        <v>0</v>
      </c>
      <c r="AZ39" s="180">
        <v>14734788.320000008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386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194">
        <v>0</v>
      </c>
      <c r="T40" s="194">
        <v>0</v>
      </c>
      <c r="U40" s="251">
        <v>77652335.71737501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77332575.351700008</v>
      </c>
      <c r="AD40" s="191">
        <v>319760.36567499227</v>
      </c>
      <c r="AE40" s="191">
        <v>0</v>
      </c>
      <c r="AF40" s="191">
        <v>-319760.36567499227</v>
      </c>
      <c r="AG40" s="191">
        <v>0</v>
      </c>
      <c r="AH40" s="252">
        <v>-15022398.777575009</v>
      </c>
      <c r="AI40" s="191">
        <v>0</v>
      </c>
      <c r="AJ40" s="191">
        <v>15022398.777575009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-15022398.777575009</v>
      </c>
      <c r="AU40" s="191">
        <v>0</v>
      </c>
      <c r="AV40" s="191">
        <v>15022398.777575009</v>
      </c>
      <c r="AW40" s="191">
        <v>0</v>
      </c>
      <c r="AX40" s="191">
        <v>-15022398.777575009</v>
      </c>
      <c r="AY40" s="191">
        <v>0</v>
      </c>
      <c r="AZ40" s="191">
        <v>15022398.777575009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89536036.000000015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366</v>
      </c>
      <c r="B41" s="137" t="s">
        <v>388</v>
      </c>
      <c r="C41" s="137" t="s">
        <v>382</v>
      </c>
      <c r="D41" s="137" t="s">
        <v>383</v>
      </c>
      <c r="E41" s="137" t="s">
        <v>553</v>
      </c>
      <c r="F41" s="137" t="s">
        <v>196</v>
      </c>
      <c r="G41" s="137" t="s">
        <v>389</v>
      </c>
      <c r="H41" s="201" t="s">
        <v>334</v>
      </c>
      <c r="I41" s="163" t="s">
        <v>321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169">
        <v>0</v>
      </c>
      <c r="T41" s="169">
        <v>0</v>
      </c>
      <c r="U41" s="245">
        <v>1247943.5</v>
      </c>
      <c r="V41" s="166" t="s">
        <v>323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324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366</v>
      </c>
      <c r="B42" s="137" t="s">
        <v>388</v>
      </c>
      <c r="C42" s="137" t="s">
        <v>382</v>
      </c>
      <c r="D42" s="137" t="s">
        <v>383</v>
      </c>
      <c r="E42" s="137" t="s">
        <v>559</v>
      </c>
      <c r="F42" s="137" t="s">
        <v>196</v>
      </c>
      <c r="G42" s="137" t="s">
        <v>389</v>
      </c>
      <c r="H42" s="201" t="s">
        <v>334</v>
      </c>
      <c r="I42" s="163" t="s">
        <v>321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169">
        <v>0</v>
      </c>
      <c r="T42" s="169">
        <v>0</v>
      </c>
      <c r="U42" s="245">
        <v>0</v>
      </c>
      <c r="V42" s="166" t="s">
        <v>323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-175230.57</v>
      </c>
      <c r="AE42" s="166">
        <v>0</v>
      </c>
      <c r="AF42" s="166">
        <v>175230.57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-175230.57</v>
      </c>
      <c r="AU42" s="166">
        <v>0</v>
      </c>
      <c r="AV42" s="166">
        <v>175230.57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74">
        <v>0</v>
      </c>
      <c r="BM42" s="166" t="s">
        <v>327</v>
      </c>
      <c r="BN42" s="166">
        <v>0</v>
      </c>
      <c r="BO42" s="166" t="b">
        <v>1</v>
      </c>
      <c r="BP42" s="166">
        <v>0</v>
      </c>
      <c r="BQ42" s="167">
        <v>0</v>
      </c>
      <c r="BR42" s="167">
        <v>0</v>
      </c>
      <c r="BS42" s="173">
        <v>72</v>
      </c>
      <c r="BT42" s="167">
        <v>-175230.57</v>
      </c>
      <c r="BU42" s="231">
        <v>0</v>
      </c>
      <c r="BV42" s="167">
        <v>34</v>
      </c>
      <c r="BW42" s="174">
        <v>0</v>
      </c>
      <c r="BX42" s="174">
        <v>0</v>
      </c>
      <c r="BY42" s="166">
        <v>175230.57</v>
      </c>
      <c r="BZ42" s="166">
        <v>175230.57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366</v>
      </c>
      <c r="B43" s="137" t="s">
        <v>388</v>
      </c>
      <c r="C43" s="137" t="s">
        <v>382</v>
      </c>
      <c r="D43" s="137" t="s">
        <v>383</v>
      </c>
      <c r="E43" s="137" t="s">
        <v>204</v>
      </c>
      <c r="F43" s="137" t="s">
        <v>196</v>
      </c>
      <c r="G43" s="137" t="s">
        <v>389</v>
      </c>
      <c r="H43" s="201" t="s">
        <v>334</v>
      </c>
      <c r="I43" s="163" t="s">
        <v>321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136.64929576646068</v>
      </c>
      <c r="Q43" s="168">
        <v>-136.64929576646068</v>
      </c>
      <c r="R43" s="169" t="s">
        <v>391</v>
      </c>
      <c r="S43" s="169">
        <v>0</v>
      </c>
      <c r="T43" s="169">
        <v>0</v>
      </c>
      <c r="U43" s="245">
        <v>0</v>
      </c>
      <c r="V43" s="166" t="s">
        <v>323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23507915</v>
      </c>
      <c r="AD43" s="166">
        <v>-23507915</v>
      </c>
      <c r="AE43" s="166">
        <v>0</v>
      </c>
      <c r="AF43" s="166">
        <v>23507915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-23507915</v>
      </c>
      <c r="AU43" s="166">
        <v>0</v>
      </c>
      <c r="AV43" s="166">
        <v>23507915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0</v>
      </c>
      <c r="BI43" s="166">
        <v>0</v>
      </c>
      <c r="BJ43" s="166">
        <v>0</v>
      </c>
      <c r="BK43" s="166">
        <v>0</v>
      </c>
      <c r="BL43" s="174">
        <v>23507915</v>
      </c>
      <c r="BM43" s="166" t="s">
        <v>327</v>
      </c>
      <c r="BN43" s="166">
        <v>23507915</v>
      </c>
      <c r="BO43" s="166" t="b">
        <v>1</v>
      </c>
      <c r="BP43" s="166">
        <v>0</v>
      </c>
      <c r="BQ43" s="168">
        <v>89.228099999999998</v>
      </c>
      <c r="BR43" s="167">
        <v>15349999.2711</v>
      </c>
      <c r="BS43" s="173">
        <v>72</v>
      </c>
      <c r="BT43" s="167">
        <v>-23507915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0</v>
      </c>
      <c r="CH43" s="166">
        <v>0</v>
      </c>
      <c r="CI43" s="166">
        <v>0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366</v>
      </c>
      <c r="B44" s="137" t="s">
        <v>388</v>
      </c>
      <c r="C44" s="137" t="s">
        <v>382</v>
      </c>
      <c r="D44" s="137" t="s">
        <v>383</v>
      </c>
      <c r="E44" s="137" t="s">
        <v>432</v>
      </c>
      <c r="F44" s="137" t="s">
        <v>196</v>
      </c>
      <c r="G44" s="201" t="s">
        <v>433</v>
      </c>
      <c r="H44" s="201" t="s">
        <v>334</v>
      </c>
      <c r="I44" s="163" t="s">
        <v>321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10372212</v>
      </c>
      <c r="Q44" s="168">
        <v>-10372212</v>
      </c>
      <c r="R44" s="169" t="s">
        <v>434</v>
      </c>
      <c r="S44" s="169">
        <v>0</v>
      </c>
      <c r="T44" s="169">
        <v>0</v>
      </c>
      <c r="U44" s="245">
        <v>0</v>
      </c>
      <c r="V44" s="166" t="s">
        <v>323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10372212</v>
      </c>
      <c r="AD44" s="166">
        <v>-10372212</v>
      </c>
      <c r="AE44" s="166">
        <v>0</v>
      </c>
      <c r="AF44" s="166">
        <v>10372212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-10372212</v>
      </c>
      <c r="AU44" s="166">
        <v>0</v>
      </c>
      <c r="AV44" s="166">
        <v>10372212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10372212</v>
      </c>
      <c r="BM44" s="166" t="s">
        <v>327</v>
      </c>
      <c r="BN44" s="166">
        <v>10372212</v>
      </c>
      <c r="BO44" s="166" t="b">
        <v>1</v>
      </c>
      <c r="BP44" s="166">
        <v>0</v>
      </c>
      <c r="BQ44" s="168">
        <v>0</v>
      </c>
      <c r="BR44" s="167">
        <v>0</v>
      </c>
      <c r="BS44" s="173">
        <v>72</v>
      </c>
      <c r="BT44" s="167">
        <v>-10372212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367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183">
        <v>0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35128070.5</v>
      </c>
      <c r="AD45" s="180">
        <v>-34055357.57</v>
      </c>
      <c r="AE45" s="180">
        <v>0</v>
      </c>
      <c r="AF45" s="180">
        <v>34055357.57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-34055357.57</v>
      </c>
      <c r="AU45" s="180">
        <v>0</v>
      </c>
      <c r="AV45" s="180">
        <v>34055357.57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343</v>
      </c>
      <c r="B46" s="137" t="s">
        <v>388</v>
      </c>
      <c r="C46" s="137" t="s">
        <v>382</v>
      </c>
      <c r="D46" s="137" t="s">
        <v>383</v>
      </c>
      <c r="E46" s="137" t="s">
        <v>205</v>
      </c>
      <c r="F46" s="137" t="s">
        <v>392</v>
      </c>
      <c r="G46" s="137" t="s">
        <v>389</v>
      </c>
      <c r="H46" s="137" t="s">
        <v>326</v>
      </c>
      <c r="I46" s="163" t="s">
        <v>321</v>
      </c>
      <c r="J46" s="165">
        <v>0</v>
      </c>
      <c r="K46" s="165">
        <v>0</v>
      </c>
      <c r="L46" s="167">
        <v>0</v>
      </c>
      <c r="M46" s="167">
        <v>0.5</v>
      </c>
      <c r="N46" s="167">
        <v>1</v>
      </c>
      <c r="O46" s="166">
        <v>4.5625</v>
      </c>
      <c r="P46" s="168">
        <v>4.875</v>
      </c>
      <c r="Q46" s="168">
        <v>-0.3125</v>
      </c>
      <c r="R46" s="169" t="s">
        <v>393</v>
      </c>
      <c r="S46" s="169">
        <v>0</v>
      </c>
      <c r="T46" s="169">
        <v>0</v>
      </c>
      <c r="U46" s="245">
        <v>0</v>
      </c>
      <c r="V46" s="166" t="s">
        <v>323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0</v>
      </c>
      <c r="AD46" s="166">
        <v>0</v>
      </c>
      <c r="AE46" s="166">
        <v>0</v>
      </c>
      <c r="AF46" s="166">
        <v>0</v>
      </c>
      <c r="AG46" s="166">
        <v>0</v>
      </c>
      <c r="AH46" s="246">
        <v>0</v>
      </c>
      <c r="AI46" s="166">
        <v>0</v>
      </c>
      <c r="AJ46" s="166">
        <v>0</v>
      </c>
      <c r="AK46" s="247">
        <v>0</v>
      </c>
      <c r="AL46" s="170">
        <v>0</v>
      </c>
      <c r="AM46" s="166">
        <v>0</v>
      </c>
      <c r="AN46" s="167">
        <v>0</v>
      </c>
      <c r="AO46" s="170">
        <v>0</v>
      </c>
      <c r="AP46" s="166">
        <v>0</v>
      </c>
      <c r="AQ46" s="171">
        <v>1</v>
      </c>
      <c r="AR46" s="166">
        <v>0</v>
      </c>
      <c r="AS46" s="166">
        <v>4.5625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4.5625</v>
      </c>
      <c r="BC46" s="166">
        <v>4.875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 t="s">
        <v>327</v>
      </c>
      <c r="BN46" s="166">
        <v>0</v>
      </c>
      <c r="BO46" s="166" t="b">
        <v>0</v>
      </c>
      <c r="BP46" s="166">
        <v>0</v>
      </c>
      <c r="BQ46" s="168">
        <v>9.4999962000015206</v>
      </c>
      <c r="BR46" s="167">
        <v>0</v>
      </c>
      <c r="BS46" s="173">
        <v>71</v>
      </c>
      <c r="BT46" s="167">
        <v>0</v>
      </c>
      <c r="BU46" s="231">
        <v>0</v>
      </c>
      <c r="BV46" s="167">
        <v>1</v>
      </c>
      <c r="BW46" s="174">
        <v>4.5625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7">
        <v>0.5</v>
      </c>
      <c r="CL46" s="167">
        <v>0</v>
      </c>
    </row>
    <row r="47" spans="1:90" outlineLevel="3" x14ac:dyDescent="0.25">
      <c r="A47" s="137" t="s">
        <v>343</v>
      </c>
      <c r="B47" s="137" t="s">
        <v>388</v>
      </c>
      <c r="C47" s="137" t="s">
        <v>382</v>
      </c>
      <c r="D47" s="137" t="s">
        <v>383</v>
      </c>
      <c r="E47" s="137" t="s">
        <v>206</v>
      </c>
      <c r="F47" s="137" t="s">
        <v>394</v>
      </c>
      <c r="G47" s="137" t="s">
        <v>389</v>
      </c>
      <c r="H47" s="137" t="s">
        <v>326</v>
      </c>
      <c r="I47" s="163" t="s">
        <v>321</v>
      </c>
      <c r="J47" s="165">
        <v>0</v>
      </c>
      <c r="K47" s="165">
        <v>0</v>
      </c>
      <c r="L47" s="167">
        <v>0</v>
      </c>
      <c r="M47" s="167">
        <v>0</v>
      </c>
      <c r="N47" s="167">
        <v>1</v>
      </c>
      <c r="O47" s="166">
        <v>1.5</v>
      </c>
      <c r="P47" s="168">
        <v>1.625</v>
      </c>
      <c r="Q47" s="168">
        <v>-0.125</v>
      </c>
      <c r="R47" s="169" t="s">
        <v>395</v>
      </c>
      <c r="S47" s="169">
        <v>0</v>
      </c>
      <c r="T47" s="169">
        <v>0</v>
      </c>
      <c r="U47" s="245">
        <v>0</v>
      </c>
      <c r="V47" s="166" t="s">
        <v>323</v>
      </c>
      <c r="W47" s="166">
        <v>0</v>
      </c>
      <c r="X47" s="166">
        <v>0</v>
      </c>
      <c r="Y47" s="166">
        <v>0</v>
      </c>
      <c r="Z47" s="166">
        <v>0</v>
      </c>
      <c r="AA47" s="166">
        <v>0</v>
      </c>
      <c r="AB47" s="166">
        <v>0</v>
      </c>
      <c r="AC47" s="245">
        <v>0</v>
      </c>
      <c r="AD47" s="166">
        <v>0</v>
      </c>
      <c r="AE47" s="166">
        <v>0</v>
      </c>
      <c r="AF47" s="166">
        <v>0</v>
      </c>
      <c r="AG47" s="166">
        <v>0</v>
      </c>
      <c r="AH47" s="246">
        <v>0</v>
      </c>
      <c r="AI47" s="166">
        <v>0</v>
      </c>
      <c r="AJ47" s="166">
        <v>0</v>
      </c>
      <c r="AK47" s="247">
        <v>0</v>
      </c>
      <c r="AL47" s="170">
        <v>0</v>
      </c>
      <c r="AM47" s="166">
        <v>0</v>
      </c>
      <c r="AN47" s="167">
        <v>0</v>
      </c>
      <c r="AO47" s="170">
        <v>0</v>
      </c>
      <c r="AP47" s="166">
        <v>0</v>
      </c>
      <c r="AQ47" s="171">
        <v>1</v>
      </c>
      <c r="AR47" s="166">
        <v>0</v>
      </c>
      <c r="AS47" s="166">
        <v>1.5</v>
      </c>
      <c r="AT47" s="166">
        <v>0</v>
      </c>
      <c r="AU47" s="166">
        <v>0</v>
      </c>
      <c r="AV47" s="166">
        <v>0</v>
      </c>
      <c r="AW47" s="166">
        <v>0</v>
      </c>
      <c r="AX47" s="166">
        <v>0</v>
      </c>
      <c r="AY47" s="166">
        <v>0</v>
      </c>
      <c r="AZ47" s="166">
        <v>0</v>
      </c>
      <c r="BA47" s="166">
        <v>0</v>
      </c>
      <c r="BB47" s="166">
        <v>1.5</v>
      </c>
      <c r="BC47" s="166">
        <v>1.625</v>
      </c>
      <c r="BD47" s="166">
        <v>0</v>
      </c>
      <c r="BE47" s="166">
        <v>0</v>
      </c>
      <c r="BF47" s="166">
        <v>0</v>
      </c>
      <c r="BG47" s="166">
        <v>0</v>
      </c>
      <c r="BH47" s="166">
        <v>0</v>
      </c>
      <c r="BI47" s="166">
        <v>0</v>
      </c>
      <c r="BJ47" s="166">
        <v>0</v>
      </c>
      <c r="BK47" s="166">
        <v>0</v>
      </c>
      <c r="BL47" s="166">
        <v>0</v>
      </c>
      <c r="BM47" s="166" t="s">
        <v>327</v>
      </c>
      <c r="BN47" s="166">
        <v>0</v>
      </c>
      <c r="BO47" s="166" t="b">
        <v>0</v>
      </c>
      <c r="BP47" s="166">
        <v>0</v>
      </c>
      <c r="BQ47" s="168">
        <v>1.1200000000000001</v>
      </c>
      <c r="BR47" s="167">
        <v>0</v>
      </c>
      <c r="BS47" s="173">
        <v>71</v>
      </c>
      <c r="BT47" s="167">
        <v>0</v>
      </c>
      <c r="BU47" s="231">
        <v>0</v>
      </c>
      <c r="BV47" s="167">
        <v>6</v>
      </c>
      <c r="BW47" s="174">
        <v>1.5</v>
      </c>
      <c r="BX47" s="174">
        <v>0</v>
      </c>
      <c r="BY47" s="166">
        <v>0</v>
      </c>
      <c r="BZ47" s="166">
        <v>0</v>
      </c>
      <c r="CA47" s="166">
        <v>0</v>
      </c>
      <c r="CB47" s="166">
        <v>0</v>
      </c>
      <c r="CC47" s="166">
        <v>0</v>
      </c>
      <c r="CD47" s="166">
        <v>0</v>
      </c>
      <c r="CE47" s="166">
        <v>0</v>
      </c>
      <c r="CF47" s="166">
        <v>0</v>
      </c>
      <c r="CG47" s="166">
        <v>0</v>
      </c>
      <c r="CH47" s="166">
        <v>0</v>
      </c>
      <c r="CI47" s="166">
        <v>0</v>
      </c>
      <c r="CJ47" s="166">
        <v>0</v>
      </c>
      <c r="CK47" s="167">
        <v>0</v>
      </c>
      <c r="CL47" s="167">
        <v>0</v>
      </c>
    </row>
    <row r="48" spans="1:90" outlineLevel="3" x14ac:dyDescent="0.25">
      <c r="A48" s="137" t="s">
        <v>343</v>
      </c>
      <c r="B48" s="137" t="s">
        <v>388</v>
      </c>
      <c r="C48" s="137" t="s">
        <v>382</v>
      </c>
      <c r="D48" s="137" t="s">
        <v>383</v>
      </c>
      <c r="E48" s="137" t="s">
        <v>501</v>
      </c>
      <c r="F48" s="137" t="s">
        <v>500</v>
      </c>
      <c r="G48" s="137" t="s">
        <v>389</v>
      </c>
      <c r="H48" s="137" t="s">
        <v>326</v>
      </c>
      <c r="I48" s="163" t="s">
        <v>321</v>
      </c>
      <c r="J48" s="165">
        <v>10134.6</v>
      </c>
      <c r="K48" s="165">
        <v>10134.6</v>
      </c>
      <c r="L48" s="167">
        <v>0</v>
      </c>
      <c r="M48" s="167">
        <v>0</v>
      </c>
      <c r="N48" s="167">
        <v>1</v>
      </c>
      <c r="O48" s="166">
        <v>7.1875</v>
      </c>
      <c r="P48" s="168">
        <v>7.25</v>
      </c>
      <c r="Q48" s="168">
        <v>-6.25E-2</v>
      </c>
      <c r="R48" s="169" t="s">
        <v>396</v>
      </c>
      <c r="S48" s="169">
        <v>0</v>
      </c>
      <c r="T48" s="169">
        <v>0</v>
      </c>
      <c r="U48" s="245">
        <v>72842.437500000044</v>
      </c>
      <c r="V48" s="166" t="s">
        <v>323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73475.850000000006</v>
      </c>
      <c r="AD48" s="166">
        <v>-633.41249999996217</v>
      </c>
      <c r="AE48" s="166">
        <v>0</v>
      </c>
      <c r="AF48" s="166">
        <v>633.41249999996217</v>
      </c>
      <c r="AG48" s="166">
        <v>0</v>
      </c>
      <c r="AH48" s="246">
        <v>-6967.5374999998576</v>
      </c>
      <c r="AI48" s="166">
        <v>0</v>
      </c>
      <c r="AJ48" s="166">
        <v>6967.5374999998576</v>
      </c>
      <c r="AK48" s="247">
        <v>0</v>
      </c>
      <c r="AL48" s="170">
        <v>0</v>
      </c>
      <c r="AM48" s="166">
        <v>79809.975000000049</v>
      </c>
      <c r="AN48" s="167">
        <v>0</v>
      </c>
      <c r="AO48" s="170">
        <v>0</v>
      </c>
      <c r="AP48" s="166">
        <v>403753.41600000003</v>
      </c>
      <c r="AQ48" s="171">
        <v>1</v>
      </c>
      <c r="AR48" s="166">
        <v>72842.437500000044</v>
      </c>
      <c r="AS48" s="166">
        <v>7.1875</v>
      </c>
      <c r="AT48" s="166">
        <v>-6967.5374999998576</v>
      </c>
      <c r="AU48" s="166">
        <v>0</v>
      </c>
      <c r="AV48" s="166">
        <v>6967.5374999998576</v>
      </c>
      <c r="AW48" s="166">
        <v>0</v>
      </c>
      <c r="AX48" s="166">
        <v>-6967.5374999998576</v>
      </c>
      <c r="AY48" s="166">
        <v>0</v>
      </c>
      <c r="AZ48" s="166">
        <v>6967.5374999998576</v>
      </c>
      <c r="BA48" s="166">
        <v>0</v>
      </c>
      <c r="BB48" s="166">
        <v>7.1875</v>
      </c>
      <c r="BC48" s="166">
        <v>7.25</v>
      </c>
      <c r="BD48" s="166">
        <v>-6334.1249999998954</v>
      </c>
      <c r="BE48" s="166">
        <v>0</v>
      </c>
      <c r="BF48" s="166">
        <v>6334.1249999998954</v>
      </c>
      <c r="BG48" s="166">
        <v>0</v>
      </c>
      <c r="BH48" s="166">
        <v>-6334.1249999998954</v>
      </c>
      <c r="BI48" s="166">
        <v>0</v>
      </c>
      <c r="BJ48" s="166">
        <v>6334.1249999998954</v>
      </c>
      <c r="BK48" s="166">
        <v>0</v>
      </c>
      <c r="BL48" s="166">
        <v>403753.41600000003</v>
      </c>
      <c r="BM48" s="166" t="s">
        <v>327</v>
      </c>
      <c r="BN48" s="166">
        <v>0</v>
      </c>
      <c r="BO48" s="166" t="b">
        <v>0</v>
      </c>
      <c r="BP48" s="166">
        <v>6334.1249999998954</v>
      </c>
      <c r="BQ48" s="168">
        <v>1.1200000000000001</v>
      </c>
      <c r="BR48" s="167">
        <v>11350.752000000008</v>
      </c>
      <c r="BS48" s="173">
        <v>71</v>
      </c>
      <c r="BT48" s="167">
        <v>-633.41249999996217</v>
      </c>
      <c r="BU48" s="231">
        <v>10134.6</v>
      </c>
      <c r="BV48" s="167">
        <v>8</v>
      </c>
      <c r="BW48" s="174">
        <v>7.1875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-6334.1249999998954</v>
      </c>
      <c r="CH48" s="166">
        <v>0</v>
      </c>
      <c r="CI48" s="166">
        <v>6334.1249999998954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344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2"/>
      <c r="Q49" s="182"/>
      <c r="R49" s="183">
        <v>0</v>
      </c>
      <c r="S49" s="183">
        <v>0</v>
      </c>
      <c r="T49" s="183">
        <v>0</v>
      </c>
      <c r="U49" s="248">
        <v>72842.437500000044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73475.850000000006</v>
      </c>
      <c r="AD49" s="180">
        <v>-633.41249999996217</v>
      </c>
      <c r="AE49" s="180">
        <v>0</v>
      </c>
      <c r="AF49" s="180">
        <v>633.41249999996217</v>
      </c>
      <c r="AG49" s="180">
        <v>0</v>
      </c>
      <c r="AH49" s="249">
        <v>-6967.5374999998576</v>
      </c>
      <c r="AI49" s="180">
        <v>0</v>
      </c>
      <c r="AJ49" s="180">
        <v>6967.5374999998576</v>
      </c>
      <c r="AK49" s="250">
        <v>0</v>
      </c>
      <c r="AL49" s="184"/>
      <c r="AM49" s="180">
        <v>79809.975000000049</v>
      </c>
      <c r="AN49" s="181"/>
      <c r="AO49" s="184"/>
      <c r="AP49" s="180">
        <v>403753.41600000003</v>
      </c>
      <c r="AQ49" s="185"/>
      <c r="AR49" s="180"/>
      <c r="AS49" s="180"/>
      <c r="AT49" s="180">
        <v>-6967.5374999998576</v>
      </c>
      <c r="AU49" s="180">
        <v>0</v>
      </c>
      <c r="AV49" s="180">
        <v>6967.5374999998576</v>
      </c>
      <c r="AW49" s="180">
        <v>0</v>
      </c>
      <c r="AX49" s="180">
        <v>-6967.5374999998576</v>
      </c>
      <c r="AY49" s="180">
        <v>0</v>
      </c>
      <c r="AZ49" s="180">
        <v>6967.5374999998576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360</v>
      </c>
      <c r="B50" s="137" t="s">
        <v>388</v>
      </c>
      <c r="C50" s="137" t="s">
        <v>382</v>
      </c>
      <c r="D50" s="137" t="s">
        <v>383</v>
      </c>
      <c r="E50" s="137" t="s">
        <v>202</v>
      </c>
      <c r="F50" s="137" t="s">
        <v>196</v>
      </c>
      <c r="G50" s="137" t="s">
        <v>389</v>
      </c>
      <c r="H50" s="137" t="s">
        <v>320</v>
      </c>
      <c r="I50" s="163" t="s">
        <v>361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362</v>
      </c>
      <c r="S50" s="169">
        <v>0</v>
      </c>
      <c r="T50" s="169">
        <v>0</v>
      </c>
      <c r="U50" s="245">
        <v>0</v>
      </c>
      <c r="V50" s="166" t="s">
        <v>323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0</v>
      </c>
      <c r="AI50" s="166">
        <v>0</v>
      </c>
      <c r="AJ50" s="166">
        <v>0</v>
      </c>
      <c r="AK50" s="247">
        <v>0</v>
      </c>
      <c r="AL50" s="170">
        <v>0</v>
      </c>
      <c r="AM50" s="166">
        <v>0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 t="s">
        <v>324</v>
      </c>
      <c r="BN50" s="166">
        <v>0</v>
      </c>
      <c r="BO50" s="166" t="b">
        <v>0</v>
      </c>
      <c r="BP50" s="166">
        <v>0</v>
      </c>
      <c r="BQ50" s="168">
        <v>0</v>
      </c>
      <c r="BR50" s="167">
        <v>0</v>
      </c>
      <c r="BS50" s="173">
        <v>79</v>
      </c>
      <c r="BT50" s="167">
        <v>0</v>
      </c>
      <c r="BU50" s="231">
        <v>0</v>
      </c>
      <c r="BV50" s="167">
        <v>156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7">
        <v>0</v>
      </c>
      <c r="CL50" s="167">
        <v>0</v>
      </c>
    </row>
    <row r="51" spans="1:90" s="189" customFormat="1" ht="20.100000000000001" customHeight="1" outlineLevel="2" x14ac:dyDescent="0.25">
      <c r="A51" s="176" t="s">
        <v>363</v>
      </c>
      <c r="B51" s="176"/>
      <c r="C51" s="176"/>
      <c r="D51" s="176"/>
      <c r="E51" s="176"/>
      <c r="F51" s="176"/>
      <c r="G51" s="176"/>
      <c r="H51" s="176"/>
      <c r="I51" s="177"/>
      <c r="J51" s="179"/>
      <c r="K51" s="179"/>
      <c r="L51" s="181"/>
      <c r="M51" s="181"/>
      <c r="N51" s="181"/>
      <c r="O51" s="180"/>
      <c r="P51" s="181"/>
      <c r="Q51" s="181"/>
      <c r="R51" s="183">
        <v>0</v>
      </c>
      <c r="S51" s="183">
        <v>0</v>
      </c>
      <c r="T51" s="183">
        <v>0</v>
      </c>
      <c r="U51" s="248">
        <v>0</v>
      </c>
      <c r="V51" s="180"/>
      <c r="W51" s="180">
        <v>0</v>
      </c>
      <c r="X51" s="180">
        <v>0</v>
      </c>
      <c r="Y51" s="180">
        <v>0</v>
      </c>
      <c r="Z51" s="180">
        <v>0</v>
      </c>
      <c r="AA51" s="180">
        <v>0</v>
      </c>
      <c r="AB51" s="180">
        <v>0</v>
      </c>
      <c r="AC51" s="248">
        <v>0</v>
      </c>
      <c r="AD51" s="180">
        <v>0</v>
      </c>
      <c r="AE51" s="180">
        <v>0</v>
      </c>
      <c r="AF51" s="180">
        <v>0</v>
      </c>
      <c r="AG51" s="180">
        <v>0</v>
      </c>
      <c r="AH51" s="249">
        <v>0</v>
      </c>
      <c r="AI51" s="180">
        <v>0</v>
      </c>
      <c r="AJ51" s="180">
        <v>0</v>
      </c>
      <c r="AK51" s="250">
        <v>0</v>
      </c>
      <c r="AL51" s="184"/>
      <c r="AM51" s="180">
        <v>0</v>
      </c>
      <c r="AN51" s="181"/>
      <c r="AO51" s="184"/>
      <c r="AP51" s="180">
        <v>0</v>
      </c>
      <c r="AQ51" s="185"/>
      <c r="AR51" s="180"/>
      <c r="AS51" s="180"/>
      <c r="AT51" s="180">
        <v>0</v>
      </c>
      <c r="AU51" s="180">
        <v>0</v>
      </c>
      <c r="AV51" s="180">
        <v>0</v>
      </c>
      <c r="AW51" s="180">
        <v>0</v>
      </c>
      <c r="AX51" s="180">
        <v>0</v>
      </c>
      <c r="AY51" s="180">
        <v>0</v>
      </c>
      <c r="AZ51" s="180">
        <v>0</v>
      </c>
      <c r="BA51" s="180">
        <v>0</v>
      </c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180"/>
      <c r="BN51" s="180"/>
      <c r="BO51" s="180"/>
      <c r="BP51" s="180"/>
      <c r="BQ51" s="182"/>
      <c r="BR51" s="181"/>
      <c r="BS51" s="187"/>
      <c r="BT51" s="181"/>
      <c r="BU51" s="224"/>
      <c r="BV51" s="181"/>
      <c r="BW51" s="188"/>
      <c r="BX51" s="188"/>
      <c r="BY51" s="180"/>
      <c r="BZ51" s="180"/>
      <c r="CA51" s="180">
        <v>0</v>
      </c>
      <c r="CB51" s="180"/>
      <c r="CC51" s="180"/>
      <c r="CD51" s="180"/>
      <c r="CE51" s="180"/>
      <c r="CF51" s="180"/>
      <c r="CG51" s="180"/>
      <c r="CH51" s="180"/>
      <c r="CI51" s="180"/>
      <c r="CJ51" s="180"/>
      <c r="CK51" s="181"/>
      <c r="CL51" s="181"/>
    </row>
    <row r="52" spans="1:90" outlineLevel="3" x14ac:dyDescent="0.25">
      <c r="A52" s="137" t="s">
        <v>397</v>
      </c>
      <c r="B52" s="137" t="s">
        <v>388</v>
      </c>
      <c r="C52" s="137" t="s">
        <v>382</v>
      </c>
      <c r="D52" s="137" t="s">
        <v>383</v>
      </c>
      <c r="E52" s="137" t="s">
        <v>207</v>
      </c>
      <c r="F52" s="137" t="s">
        <v>196</v>
      </c>
      <c r="G52" s="137" t="s">
        <v>389</v>
      </c>
      <c r="H52" s="137" t="s">
        <v>320</v>
      </c>
      <c r="I52" s="163" t="s">
        <v>361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1165662.43</v>
      </c>
      <c r="Q52" s="167">
        <v>-1165662.43</v>
      </c>
      <c r="R52" s="169" t="s">
        <v>398</v>
      </c>
      <c r="S52" s="169">
        <v>0</v>
      </c>
      <c r="T52" s="169">
        <v>0</v>
      </c>
      <c r="U52" s="245">
        <v>0</v>
      </c>
      <c r="V52" s="166" t="s">
        <v>323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1165662.43</v>
      </c>
      <c r="AD52" s="166">
        <v>-1165662.43</v>
      </c>
      <c r="AE52" s="166">
        <v>0</v>
      </c>
      <c r="AF52" s="166">
        <v>1165662.43</v>
      </c>
      <c r="AG52" s="166">
        <v>0</v>
      </c>
      <c r="AH52" s="246">
        <v>-1165662.43</v>
      </c>
      <c r="AI52" s="166">
        <v>0</v>
      </c>
      <c r="AJ52" s="166">
        <v>1165662.43</v>
      </c>
      <c r="AK52" s="247">
        <v>0</v>
      </c>
      <c r="AL52" s="170">
        <v>0</v>
      </c>
      <c r="AM52" s="166">
        <v>1165662.43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-1165662.43</v>
      </c>
      <c r="AU52" s="166">
        <v>0</v>
      </c>
      <c r="AV52" s="166">
        <v>1165662.43</v>
      </c>
      <c r="AW52" s="166">
        <v>0</v>
      </c>
      <c r="AX52" s="166">
        <v>-1165662.43</v>
      </c>
      <c r="AY52" s="166">
        <v>0</v>
      </c>
      <c r="AZ52" s="166">
        <v>1165662.43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0</v>
      </c>
      <c r="BI52" s="166">
        <v>0</v>
      </c>
      <c r="BJ52" s="166">
        <v>0</v>
      </c>
      <c r="BK52" s="166">
        <v>0</v>
      </c>
      <c r="BL52" s="166">
        <v>1165662.43</v>
      </c>
      <c r="BM52" s="166" t="s">
        <v>327</v>
      </c>
      <c r="BN52" s="166">
        <v>1165662.43</v>
      </c>
      <c r="BO52" s="166" t="b">
        <v>1</v>
      </c>
      <c r="BP52" s="166">
        <v>0</v>
      </c>
      <c r="BQ52" s="168">
        <v>0</v>
      </c>
      <c r="BR52" s="167">
        <v>0</v>
      </c>
      <c r="BS52" s="173">
        <v>81</v>
      </c>
      <c r="BT52" s="167">
        <v>-1165662.43</v>
      </c>
      <c r="BU52" s="231">
        <v>0</v>
      </c>
      <c r="BV52" s="167">
        <v>161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0</v>
      </c>
      <c r="CH52" s="166">
        <v>0</v>
      </c>
      <c r="CI52" s="166">
        <v>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397</v>
      </c>
      <c r="B53" s="137" t="s">
        <v>388</v>
      </c>
      <c r="C53" s="137" t="s">
        <v>382</v>
      </c>
      <c r="D53" s="137" t="s">
        <v>383</v>
      </c>
      <c r="E53" s="137" t="s">
        <v>208</v>
      </c>
      <c r="F53" s="137" t="s">
        <v>196</v>
      </c>
      <c r="G53" s="137" t="s">
        <v>389</v>
      </c>
      <c r="H53" s="137" t="s">
        <v>320</v>
      </c>
      <c r="I53" s="163" t="s">
        <v>361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0</v>
      </c>
      <c r="P53" s="167">
        <v>429210</v>
      </c>
      <c r="Q53" s="167">
        <v>-429210</v>
      </c>
      <c r="R53" s="169" t="s">
        <v>399</v>
      </c>
      <c r="S53" s="169">
        <v>0</v>
      </c>
      <c r="T53" s="169">
        <v>0</v>
      </c>
      <c r="U53" s="245">
        <v>0</v>
      </c>
      <c r="V53" s="166" t="s">
        <v>323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429210</v>
      </c>
      <c r="AD53" s="166">
        <v>570790</v>
      </c>
      <c r="AE53" s="166">
        <v>0</v>
      </c>
      <c r="AF53" s="166">
        <v>-570790</v>
      </c>
      <c r="AG53" s="166">
        <v>0</v>
      </c>
      <c r="AH53" s="246">
        <v>570790</v>
      </c>
      <c r="AI53" s="166">
        <v>0</v>
      </c>
      <c r="AJ53" s="166">
        <v>-570790</v>
      </c>
      <c r="AK53" s="247">
        <v>0</v>
      </c>
      <c r="AL53" s="170">
        <v>0</v>
      </c>
      <c r="AM53" s="166">
        <v>429210</v>
      </c>
      <c r="AN53" s="167">
        <v>0</v>
      </c>
      <c r="AO53" s="170">
        <v>0</v>
      </c>
      <c r="AP53" s="166">
        <v>0</v>
      </c>
      <c r="AQ53" s="171">
        <v>1</v>
      </c>
      <c r="AR53" s="166">
        <v>0</v>
      </c>
      <c r="AS53" s="166">
        <v>0</v>
      </c>
      <c r="AT53" s="166">
        <v>570790</v>
      </c>
      <c r="AU53" s="166">
        <v>0</v>
      </c>
      <c r="AV53" s="166">
        <v>-570790</v>
      </c>
      <c r="AW53" s="166">
        <v>0</v>
      </c>
      <c r="AX53" s="166">
        <v>570790</v>
      </c>
      <c r="AY53" s="166">
        <v>0</v>
      </c>
      <c r="AZ53" s="166">
        <v>-570790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429210</v>
      </c>
      <c r="BM53" s="166" t="s">
        <v>327</v>
      </c>
      <c r="BN53" s="166">
        <v>429210</v>
      </c>
      <c r="BO53" s="166" t="b">
        <v>1</v>
      </c>
      <c r="BP53" s="166">
        <v>0</v>
      </c>
      <c r="BQ53" s="168">
        <v>0</v>
      </c>
      <c r="BR53" s="167">
        <v>0</v>
      </c>
      <c r="BS53" s="173">
        <v>81</v>
      </c>
      <c r="BT53" s="167">
        <v>570790</v>
      </c>
      <c r="BU53" s="231">
        <v>0</v>
      </c>
      <c r="BV53" s="167">
        <v>172</v>
      </c>
      <c r="BW53" s="174">
        <v>0</v>
      </c>
      <c r="BX53" s="174">
        <v>0</v>
      </c>
      <c r="BY53" s="166">
        <v>-1000000</v>
      </c>
      <c r="BZ53" s="166">
        <v>-1000000</v>
      </c>
      <c r="CA53" s="166">
        <v>-1000000</v>
      </c>
      <c r="CB53" s="166">
        <v>-1000000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outlineLevel="3" x14ac:dyDescent="0.25">
      <c r="A54" s="137" t="s">
        <v>397</v>
      </c>
      <c r="B54" s="137" t="s">
        <v>388</v>
      </c>
      <c r="C54" s="137" t="s">
        <v>382</v>
      </c>
      <c r="D54" s="137" t="s">
        <v>383</v>
      </c>
      <c r="E54" s="137" t="s">
        <v>209</v>
      </c>
      <c r="F54" s="137" t="s">
        <v>196</v>
      </c>
      <c r="G54" s="137" t="s">
        <v>389</v>
      </c>
      <c r="H54" s="137" t="s">
        <v>320</v>
      </c>
      <c r="I54" s="163" t="s">
        <v>361</v>
      </c>
      <c r="J54" s="165">
        <v>1</v>
      </c>
      <c r="K54" s="165">
        <v>1</v>
      </c>
      <c r="L54" s="167">
        <v>0</v>
      </c>
      <c r="M54" s="167">
        <v>0</v>
      </c>
      <c r="N54" s="167">
        <v>0</v>
      </c>
      <c r="O54" s="166">
        <v>0</v>
      </c>
      <c r="P54" s="167">
        <v>470790</v>
      </c>
      <c r="Q54" s="167">
        <v>-470790</v>
      </c>
      <c r="R54" s="169" t="s">
        <v>400</v>
      </c>
      <c r="S54" s="169">
        <v>0</v>
      </c>
      <c r="T54" s="169">
        <v>0</v>
      </c>
      <c r="U54" s="245">
        <v>0</v>
      </c>
      <c r="V54" s="166" t="s">
        <v>323</v>
      </c>
      <c r="W54" s="166">
        <v>0</v>
      </c>
      <c r="X54" s="166">
        <v>0</v>
      </c>
      <c r="Y54" s="166">
        <v>0</v>
      </c>
      <c r="Z54" s="166">
        <v>0</v>
      </c>
      <c r="AA54" s="166">
        <v>0</v>
      </c>
      <c r="AB54" s="166">
        <v>0</v>
      </c>
      <c r="AC54" s="245">
        <v>470790</v>
      </c>
      <c r="AD54" s="166">
        <v>-470790</v>
      </c>
      <c r="AE54" s="166">
        <v>0</v>
      </c>
      <c r="AF54" s="166">
        <v>470790</v>
      </c>
      <c r="AG54" s="166">
        <v>0</v>
      </c>
      <c r="AH54" s="246">
        <v>-470790</v>
      </c>
      <c r="AI54" s="166">
        <v>0</v>
      </c>
      <c r="AJ54" s="166">
        <v>470790</v>
      </c>
      <c r="AK54" s="247">
        <v>0</v>
      </c>
      <c r="AL54" s="170">
        <v>0</v>
      </c>
      <c r="AM54" s="166">
        <v>470790</v>
      </c>
      <c r="AN54" s="167">
        <v>0</v>
      </c>
      <c r="AO54" s="170">
        <v>0</v>
      </c>
      <c r="AP54" s="166">
        <v>0</v>
      </c>
      <c r="AQ54" s="171">
        <v>1</v>
      </c>
      <c r="AR54" s="166">
        <v>0</v>
      </c>
      <c r="AS54" s="166">
        <v>0</v>
      </c>
      <c r="AT54" s="166">
        <v>-470790</v>
      </c>
      <c r="AU54" s="166">
        <v>0</v>
      </c>
      <c r="AV54" s="166">
        <v>470790</v>
      </c>
      <c r="AW54" s="166">
        <v>0</v>
      </c>
      <c r="AX54" s="166">
        <v>-470790</v>
      </c>
      <c r="AY54" s="166">
        <v>0</v>
      </c>
      <c r="AZ54" s="166">
        <v>470790</v>
      </c>
      <c r="BA54" s="166">
        <v>0</v>
      </c>
      <c r="BB54" s="166" t="s">
        <v>196</v>
      </c>
      <c r="BC54" s="166" t="s">
        <v>196</v>
      </c>
      <c r="BD54" s="166">
        <v>0</v>
      </c>
      <c r="BE54" s="166">
        <v>0</v>
      </c>
      <c r="BF54" s="166">
        <v>0</v>
      </c>
      <c r="BG54" s="166">
        <v>0</v>
      </c>
      <c r="BH54" s="166">
        <v>0</v>
      </c>
      <c r="BI54" s="166">
        <v>0</v>
      </c>
      <c r="BJ54" s="166">
        <v>0</v>
      </c>
      <c r="BK54" s="166">
        <v>0</v>
      </c>
      <c r="BL54" s="166">
        <v>470790</v>
      </c>
      <c r="BM54" s="166" t="s">
        <v>327</v>
      </c>
      <c r="BN54" s="166">
        <v>470790</v>
      </c>
      <c r="BO54" s="166" t="b">
        <v>1</v>
      </c>
      <c r="BP54" s="166">
        <v>0</v>
      </c>
      <c r="BQ54" s="168">
        <v>0</v>
      </c>
      <c r="BR54" s="167">
        <v>0</v>
      </c>
      <c r="BS54" s="173">
        <v>81</v>
      </c>
      <c r="BT54" s="167">
        <v>-470790</v>
      </c>
      <c r="BU54" s="231">
        <v>0</v>
      </c>
      <c r="BV54" s="167">
        <v>174</v>
      </c>
      <c r="BW54" s="174">
        <v>0</v>
      </c>
      <c r="BX54" s="174">
        <v>0</v>
      </c>
      <c r="BY54" s="166">
        <v>0</v>
      </c>
      <c r="BZ54" s="166">
        <v>0</v>
      </c>
      <c r="CA54" s="166">
        <v>0</v>
      </c>
      <c r="CB54" s="166">
        <v>0</v>
      </c>
      <c r="CC54" s="166">
        <v>0</v>
      </c>
      <c r="CD54" s="166">
        <v>0</v>
      </c>
      <c r="CE54" s="166">
        <v>0</v>
      </c>
      <c r="CF54" s="166">
        <v>0</v>
      </c>
      <c r="CG54" s="166">
        <v>0</v>
      </c>
      <c r="CH54" s="166">
        <v>0</v>
      </c>
      <c r="CI54" s="166">
        <v>0</v>
      </c>
      <c r="CJ54" s="166">
        <v>0</v>
      </c>
      <c r="CK54" s="167">
        <v>0</v>
      </c>
      <c r="CL54" s="167">
        <v>0</v>
      </c>
    </row>
    <row r="55" spans="1:90" outlineLevel="3" x14ac:dyDescent="0.25">
      <c r="A55" s="137" t="s">
        <v>397</v>
      </c>
      <c r="B55" s="137" t="s">
        <v>388</v>
      </c>
      <c r="C55" s="137" t="s">
        <v>382</v>
      </c>
      <c r="D55" s="137" t="s">
        <v>383</v>
      </c>
      <c r="E55" s="137" t="s">
        <v>210</v>
      </c>
      <c r="F55" s="137" t="s">
        <v>196</v>
      </c>
      <c r="G55" s="137" t="s">
        <v>389</v>
      </c>
      <c r="H55" s="137" t="s">
        <v>320</v>
      </c>
      <c r="I55" s="163" t="s">
        <v>361</v>
      </c>
      <c r="J55" s="165">
        <v>1</v>
      </c>
      <c r="K55" s="165">
        <v>1</v>
      </c>
      <c r="L55" s="167">
        <v>0</v>
      </c>
      <c r="M55" s="167">
        <v>0</v>
      </c>
      <c r="N55" s="167">
        <v>0</v>
      </c>
      <c r="O55" s="166">
        <v>7121810</v>
      </c>
      <c r="P55" s="167">
        <v>7121810</v>
      </c>
      <c r="Q55" s="167">
        <v>0</v>
      </c>
      <c r="R55" s="169" t="s">
        <v>401</v>
      </c>
      <c r="S55" s="169">
        <v>0</v>
      </c>
      <c r="T55" s="169">
        <v>0</v>
      </c>
      <c r="U55" s="245">
        <v>7121810</v>
      </c>
      <c r="V55" s="166" t="s">
        <v>323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7121810</v>
      </c>
      <c r="AD55" s="166">
        <v>0</v>
      </c>
      <c r="AE55" s="166">
        <v>0</v>
      </c>
      <c r="AF55" s="166">
        <v>0</v>
      </c>
      <c r="AG55" s="166">
        <v>0</v>
      </c>
      <c r="AH55" s="246">
        <v>0</v>
      </c>
      <c r="AI55" s="166">
        <v>0</v>
      </c>
      <c r="AJ55" s="166">
        <v>0</v>
      </c>
      <c r="AK55" s="247">
        <v>0</v>
      </c>
      <c r="AL55" s="170">
        <v>0</v>
      </c>
      <c r="AM55" s="166">
        <v>7121810</v>
      </c>
      <c r="AN55" s="167">
        <v>0</v>
      </c>
      <c r="AO55" s="170">
        <v>0</v>
      </c>
      <c r="AP55" s="166">
        <v>7121810</v>
      </c>
      <c r="AQ55" s="171">
        <v>1</v>
      </c>
      <c r="AR55" s="166">
        <v>0</v>
      </c>
      <c r="AS55" s="166">
        <v>7121810</v>
      </c>
      <c r="AT55" s="166">
        <v>0</v>
      </c>
      <c r="AU55" s="166">
        <v>0</v>
      </c>
      <c r="AV55" s="166">
        <v>0</v>
      </c>
      <c r="AW55" s="166">
        <v>0</v>
      </c>
      <c r="AX55" s="166">
        <v>0</v>
      </c>
      <c r="AY55" s="166">
        <v>0</v>
      </c>
      <c r="AZ55" s="166">
        <v>0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0</v>
      </c>
      <c r="BI55" s="166">
        <v>0</v>
      </c>
      <c r="BJ55" s="166">
        <v>0</v>
      </c>
      <c r="BK55" s="166">
        <v>0</v>
      </c>
      <c r="BL55" s="166">
        <v>7121810</v>
      </c>
      <c r="BM55" s="166" t="s">
        <v>324</v>
      </c>
      <c r="BN55" s="166">
        <v>0</v>
      </c>
      <c r="BO55" s="166" t="b">
        <v>0</v>
      </c>
      <c r="BP55" s="166">
        <v>0</v>
      </c>
      <c r="BQ55" s="168">
        <v>0</v>
      </c>
      <c r="BR55" s="167">
        <v>0</v>
      </c>
      <c r="BS55" s="173">
        <v>81</v>
      </c>
      <c r="BT55" s="167">
        <v>0</v>
      </c>
      <c r="BU55" s="231">
        <v>0</v>
      </c>
      <c r="BV55" s="167">
        <v>175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0</v>
      </c>
      <c r="CH55" s="166">
        <v>0</v>
      </c>
      <c r="CI55" s="166">
        <v>0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402</v>
      </c>
      <c r="B56" s="176"/>
      <c r="C56" s="176"/>
      <c r="D56" s="176"/>
      <c r="E56" s="176"/>
      <c r="F56" s="176"/>
      <c r="G56" s="176"/>
      <c r="H56" s="176"/>
      <c r="I56" s="177"/>
      <c r="J56" s="179"/>
      <c r="K56" s="179"/>
      <c r="L56" s="181"/>
      <c r="M56" s="181"/>
      <c r="N56" s="181"/>
      <c r="O56" s="180"/>
      <c r="P56" s="181"/>
      <c r="Q56" s="181"/>
      <c r="R56" s="183">
        <v>0</v>
      </c>
      <c r="S56" s="183">
        <v>0</v>
      </c>
      <c r="T56" s="183">
        <v>0</v>
      </c>
      <c r="U56" s="248">
        <v>7121810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9187472.4299999997</v>
      </c>
      <c r="AD56" s="180">
        <v>-1065662.43</v>
      </c>
      <c r="AE56" s="180">
        <v>0</v>
      </c>
      <c r="AF56" s="180">
        <v>1065662.43</v>
      </c>
      <c r="AG56" s="180">
        <v>0</v>
      </c>
      <c r="AH56" s="249">
        <v>-1065662.43</v>
      </c>
      <c r="AI56" s="180">
        <v>0</v>
      </c>
      <c r="AJ56" s="180">
        <v>1065662.43</v>
      </c>
      <c r="AK56" s="250">
        <v>0</v>
      </c>
      <c r="AL56" s="184"/>
      <c r="AM56" s="180">
        <v>9187472.4299999997</v>
      </c>
      <c r="AN56" s="181"/>
      <c r="AO56" s="184"/>
      <c r="AP56" s="180">
        <v>7121810</v>
      </c>
      <c r="AQ56" s="185"/>
      <c r="AR56" s="180"/>
      <c r="AS56" s="180"/>
      <c r="AT56" s="180">
        <v>-1065662.43</v>
      </c>
      <c r="AU56" s="180">
        <v>0</v>
      </c>
      <c r="AV56" s="180">
        <v>1065662.43</v>
      </c>
      <c r="AW56" s="180">
        <v>0</v>
      </c>
      <c r="AX56" s="180">
        <v>-1065662.43</v>
      </c>
      <c r="AY56" s="180">
        <v>0</v>
      </c>
      <c r="AZ56" s="180">
        <v>1065662.43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2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-1000000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403</v>
      </c>
      <c r="B57" s="137" t="s">
        <v>388</v>
      </c>
      <c r="C57" s="137" t="s">
        <v>382</v>
      </c>
      <c r="D57" s="137" t="s">
        <v>383</v>
      </c>
      <c r="E57" s="137" t="s">
        <v>211</v>
      </c>
      <c r="F57" s="137" t="s">
        <v>404</v>
      </c>
      <c r="G57" s="137" t="s">
        <v>389</v>
      </c>
      <c r="H57" s="137" t="s">
        <v>353</v>
      </c>
      <c r="I57" s="163" t="s">
        <v>353</v>
      </c>
      <c r="J57" s="164">
        <v>1</v>
      </c>
      <c r="K57" s="165">
        <v>1</v>
      </c>
      <c r="L57" s="167">
        <v>0</v>
      </c>
      <c r="M57" s="167">
        <v>0</v>
      </c>
      <c r="N57" s="167">
        <v>1</v>
      </c>
      <c r="O57" s="166">
        <v>0</v>
      </c>
      <c r="P57" s="167">
        <v>3486752</v>
      </c>
      <c r="Q57" s="167">
        <v>-3486752</v>
      </c>
      <c r="R57" s="169" t="s">
        <v>405</v>
      </c>
      <c r="S57" s="169">
        <v>0</v>
      </c>
      <c r="T57" s="169">
        <v>0</v>
      </c>
      <c r="U57" s="245">
        <v>0</v>
      </c>
      <c r="V57" s="166" t="s">
        <v>323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3486752</v>
      </c>
      <c r="AD57" s="166">
        <v>-3486752</v>
      </c>
      <c r="AE57" s="166">
        <v>0</v>
      </c>
      <c r="AF57" s="166">
        <v>3486752</v>
      </c>
      <c r="AG57" s="166">
        <v>0</v>
      </c>
      <c r="AH57" s="246">
        <v>-3486752</v>
      </c>
      <c r="AI57" s="166">
        <v>0</v>
      </c>
      <c r="AJ57" s="166">
        <v>3486752</v>
      </c>
      <c r="AK57" s="247">
        <v>0</v>
      </c>
      <c r="AL57" s="170">
        <v>0</v>
      </c>
      <c r="AM57" s="166">
        <v>3486752</v>
      </c>
      <c r="AN57" s="170">
        <v>0</v>
      </c>
      <c r="AO57" s="170">
        <v>0</v>
      </c>
      <c r="AP57" s="166">
        <v>0</v>
      </c>
      <c r="AQ57" s="171">
        <v>1</v>
      </c>
      <c r="AR57" s="166">
        <v>0</v>
      </c>
      <c r="AS57" s="166">
        <v>0</v>
      </c>
      <c r="AT57" s="166">
        <v>-3486752</v>
      </c>
      <c r="AU57" s="166">
        <v>0</v>
      </c>
      <c r="AV57" s="166">
        <v>3486752</v>
      </c>
      <c r="AW57" s="166">
        <v>0</v>
      </c>
      <c r="AX57" s="166">
        <v>-3486752</v>
      </c>
      <c r="AY57" s="166">
        <v>0</v>
      </c>
      <c r="AZ57" s="166">
        <v>3486752</v>
      </c>
      <c r="BA57" s="166">
        <v>0</v>
      </c>
      <c r="BB57" s="166" t="s">
        <v>196</v>
      </c>
      <c r="BC57" s="166" t="s">
        <v>196</v>
      </c>
      <c r="BD57" s="166">
        <v>0</v>
      </c>
      <c r="BE57" s="166">
        <v>0</v>
      </c>
      <c r="BF57" s="166">
        <v>0</v>
      </c>
      <c r="BG57" s="166">
        <v>0</v>
      </c>
      <c r="BH57" s="166">
        <v>0</v>
      </c>
      <c r="BI57" s="166">
        <v>0</v>
      </c>
      <c r="BJ57" s="166">
        <v>0</v>
      </c>
      <c r="BK57" s="166">
        <v>0</v>
      </c>
      <c r="BL57" s="166">
        <v>3486752</v>
      </c>
      <c r="BM57" s="166" t="s">
        <v>327</v>
      </c>
      <c r="BN57" s="166">
        <v>3486752</v>
      </c>
      <c r="BO57" s="166" t="b">
        <v>1</v>
      </c>
      <c r="BP57" s="166">
        <v>0</v>
      </c>
      <c r="BQ57" s="167">
        <v>0</v>
      </c>
      <c r="BR57" s="167">
        <v>0</v>
      </c>
      <c r="BS57" s="173">
        <v>74</v>
      </c>
      <c r="BT57" s="167">
        <v>-3486752</v>
      </c>
      <c r="BU57" s="231">
        <v>0</v>
      </c>
      <c r="BV57" s="167">
        <v>82</v>
      </c>
      <c r="BW57" s="174">
        <v>0</v>
      </c>
      <c r="BX57" s="174">
        <v>0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0</v>
      </c>
      <c r="CH57" s="166">
        <v>0</v>
      </c>
      <c r="CI57" s="166">
        <v>0</v>
      </c>
      <c r="CJ57" s="166">
        <v>0</v>
      </c>
      <c r="CK57" s="167">
        <v>0</v>
      </c>
      <c r="CL57" s="167">
        <v>0</v>
      </c>
    </row>
    <row r="58" spans="1:90" s="189" customFormat="1" ht="20.100000000000001" customHeight="1" outlineLevel="2" x14ac:dyDescent="0.25">
      <c r="A58" s="176" t="s">
        <v>406</v>
      </c>
      <c r="B58" s="176"/>
      <c r="C58" s="176"/>
      <c r="D58" s="176"/>
      <c r="E58" s="176"/>
      <c r="F58" s="176"/>
      <c r="G58" s="176"/>
      <c r="H58" s="176"/>
      <c r="I58" s="177"/>
      <c r="J58" s="178"/>
      <c r="K58" s="179"/>
      <c r="L58" s="181"/>
      <c r="M58" s="181"/>
      <c r="N58" s="181"/>
      <c r="O58" s="180"/>
      <c r="P58" s="181"/>
      <c r="Q58" s="181"/>
      <c r="R58" s="183">
        <v>0</v>
      </c>
      <c r="S58" s="183">
        <v>0</v>
      </c>
      <c r="T58" s="183">
        <v>0</v>
      </c>
      <c r="U58" s="248">
        <v>0</v>
      </c>
      <c r="V58" s="180"/>
      <c r="W58" s="180">
        <v>0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248">
        <v>3486752</v>
      </c>
      <c r="AD58" s="180">
        <v>-3486752</v>
      </c>
      <c r="AE58" s="180">
        <v>0</v>
      </c>
      <c r="AF58" s="180">
        <v>3486752</v>
      </c>
      <c r="AG58" s="180">
        <v>0</v>
      </c>
      <c r="AH58" s="249">
        <v>-3486752</v>
      </c>
      <c r="AI58" s="180">
        <v>0</v>
      </c>
      <c r="AJ58" s="180">
        <v>3486752</v>
      </c>
      <c r="AK58" s="250">
        <v>0</v>
      </c>
      <c r="AL58" s="184"/>
      <c r="AM58" s="180">
        <v>3486752</v>
      </c>
      <c r="AN58" s="184"/>
      <c r="AO58" s="184"/>
      <c r="AP58" s="180">
        <v>0</v>
      </c>
      <c r="AQ58" s="185"/>
      <c r="AR58" s="180"/>
      <c r="AS58" s="180"/>
      <c r="AT58" s="180">
        <v>-3486752</v>
      </c>
      <c r="AU58" s="180">
        <v>0</v>
      </c>
      <c r="AV58" s="180">
        <v>3486752</v>
      </c>
      <c r="AW58" s="180">
        <v>0</v>
      </c>
      <c r="AX58" s="180">
        <v>-3486752</v>
      </c>
      <c r="AY58" s="180">
        <v>0</v>
      </c>
      <c r="AZ58" s="180">
        <v>3486752</v>
      </c>
      <c r="BA58" s="180">
        <v>0</v>
      </c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1"/>
      <c r="BR58" s="181"/>
      <c r="BS58" s="187"/>
      <c r="BT58" s="181"/>
      <c r="BU58" s="224"/>
      <c r="BV58" s="181"/>
      <c r="BW58" s="188"/>
      <c r="BX58" s="188"/>
      <c r="BY58" s="180"/>
      <c r="BZ58" s="180"/>
      <c r="CA58" s="180">
        <v>0</v>
      </c>
      <c r="CB58" s="180"/>
      <c r="CC58" s="180"/>
      <c r="CD58" s="180"/>
      <c r="CE58" s="180"/>
      <c r="CF58" s="180"/>
      <c r="CG58" s="180"/>
      <c r="CH58" s="180"/>
      <c r="CI58" s="180"/>
      <c r="CJ58" s="180"/>
      <c r="CK58" s="181"/>
      <c r="CL58" s="181"/>
    </row>
    <row r="59" spans="1:90" outlineLevel="3" x14ac:dyDescent="0.25">
      <c r="A59" s="137" t="s">
        <v>407</v>
      </c>
      <c r="B59" s="137" t="s">
        <v>388</v>
      </c>
      <c r="C59" s="137" t="s">
        <v>382</v>
      </c>
      <c r="D59" s="137" t="s">
        <v>383</v>
      </c>
      <c r="E59" s="137" t="s">
        <v>212</v>
      </c>
      <c r="F59" s="137" t="s">
        <v>408</v>
      </c>
      <c r="G59" s="137" t="s">
        <v>389</v>
      </c>
      <c r="H59" s="137" t="s">
        <v>353</v>
      </c>
      <c r="I59" s="163" t="s">
        <v>353</v>
      </c>
      <c r="J59" s="165">
        <v>156250</v>
      </c>
      <c r="K59" s="165">
        <v>156250</v>
      </c>
      <c r="L59" s="167">
        <v>9.507525856779395E-3</v>
      </c>
      <c r="M59" s="167">
        <v>0</v>
      </c>
      <c r="N59" s="167">
        <v>0.9657487411421547</v>
      </c>
      <c r="O59" s="166">
        <v>6.9898168168904204</v>
      </c>
      <c r="P59" s="167">
        <v>6.8693711738126817</v>
      </c>
      <c r="Q59" s="167">
        <v>0.12044564307773875</v>
      </c>
      <c r="R59" s="169" t="s">
        <v>409</v>
      </c>
      <c r="S59" s="169">
        <v>0</v>
      </c>
      <c r="T59" s="169">
        <v>0</v>
      </c>
      <c r="U59" s="245">
        <v>1092158.8776391281</v>
      </c>
      <c r="V59" s="166" t="s">
        <v>323</v>
      </c>
      <c r="W59" s="166">
        <v>0</v>
      </c>
      <c r="X59" s="166">
        <v>0</v>
      </c>
      <c r="Y59" s="166">
        <v>0</v>
      </c>
      <c r="Z59" s="166">
        <v>0</v>
      </c>
      <c r="AA59" s="166">
        <v>0</v>
      </c>
      <c r="AB59" s="166">
        <v>0</v>
      </c>
      <c r="AC59" s="245">
        <v>1073339.2459082315</v>
      </c>
      <c r="AD59" s="166">
        <v>18819.631730896654</v>
      </c>
      <c r="AE59" s="166">
        <v>0</v>
      </c>
      <c r="AF59" s="166">
        <v>-18819.631730896654</v>
      </c>
      <c r="AG59" s="166">
        <v>0</v>
      </c>
      <c r="AH59" s="246">
        <v>147469.47025726526</v>
      </c>
      <c r="AI59" s="166">
        <v>0</v>
      </c>
      <c r="AJ59" s="166">
        <v>-147469.47025726526</v>
      </c>
      <c r="AK59" s="247">
        <v>0</v>
      </c>
      <c r="AL59" s="170">
        <v>0</v>
      </c>
      <c r="AM59" s="166">
        <v>944689.40738186287</v>
      </c>
      <c r="AN59" s="170">
        <v>0</v>
      </c>
      <c r="AO59" s="170">
        <v>15041.203015608027</v>
      </c>
      <c r="AP59" s="166">
        <v>1711868.3881841477</v>
      </c>
      <c r="AQ59" s="171">
        <v>1</v>
      </c>
      <c r="AR59" s="166">
        <v>1527844.6881350495</v>
      </c>
      <c r="AS59" s="166">
        <v>10.125</v>
      </c>
      <c r="AT59" s="166">
        <v>147469.47025726526</v>
      </c>
      <c r="AU59" s="166">
        <v>0</v>
      </c>
      <c r="AV59" s="166">
        <v>-147469.47025726526</v>
      </c>
      <c r="AW59" s="166">
        <v>0</v>
      </c>
      <c r="AX59" s="166">
        <v>147469.47025726526</v>
      </c>
      <c r="AY59" s="166">
        <v>0</v>
      </c>
      <c r="AZ59" s="166">
        <v>-147469.47025726526</v>
      </c>
      <c r="BA59" s="166">
        <v>0</v>
      </c>
      <c r="BB59" s="166">
        <v>10.125</v>
      </c>
      <c r="BC59" s="166">
        <v>10</v>
      </c>
      <c r="BD59" s="166">
        <v>128649.83852636861</v>
      </c>
      <c r="BE59" s="166">
        <v>0</v>
      </c>
      <c r="BF59" s="166">
        <v>-128649.83852636861</v>
      </c>
      <c r="BG59" s="166">
        <v>0</v>
      </c>
      <c r="BH59" s="166">
        <v>128649.83852636861</v>
      </c>
      <c r="BI59" s="166">
        <v>0</v>
      </c>
      <c r="BJ59" s="166">
        <v>-128649.83852636861</v>
      </c>
      <c r="BK59" s="166">
        <v>0</v>
      </c>
      <c r="BL59" s="166">
        <v>1711868.3881841477</v>
      </c>
      <c r="BM59" s="166" t="s">
        <v>327</v>
      </c>
      <c r="BN59" s="166">
        <v>0</v>
      </c>
      <c r="BO59" s="166" t="b">
        <v>0</v>
      </c>
      <c r="BP59" s="166">
        <v>-128649.83852636861</v>
      </c>
      <c r="BQ59" s="167">
        <v>0</v>
      </c>
      <c r="BR59" s="167">
        <v>0</v>
      </c>
      <c r="BS59" s="173">
        <v>75</v>
      </c>
      <c r="BT59" s="167">
        <v>0</v>
      </c>
      <c r="BU59" s="231">
        <v>150898.24080346167</v>
      </c>
      <c r="BV59" s="167">
        <v>85</v>
      </c>
      <c r="BW59" s="174">
        <v>10.125</v>
      </c>
      <c r="BX59" s="174">
        <v>10.125</v>
      </c>
      <c r="BY59" s="166">
        <v>0</v>
      </c>
      <c r="BZ59" s="166">
        <v>0</v>
      </c>
      <c r="CA59" s="166">
        <v>0</v>
      </c>
      <c r="CB59" s="166">
        <v>0</v>
      </c>
      <c r="CC59" s="166">
        <v>0</v>
      </c>
      <c r="CD59" s="166">
        <v>0</v>
      </c>
      <c r="CE59" s="166">
        <v>0</v>
      </c>
      <c r="CF59" s="166">
        <v>0</v>
      </c>
      <c r="CG59" s="166">
        <v>128649.83852636861</v>
      </c>
      <c r="CH59" s="166">
        <v>0</v>
      </c>
      <c r="CI59" s="166">
        <v>-128649.83852636861</v>
      </c>
      <c r="CJ59" s="166">
        <v>0</v>
      </c>
      <c r="CK59" s="167">
        <v>0</v>
      </c>
      <c r="CL59" s="167">
        <v>0</v>
      </c>
    </row>
    <row r="60" spans="1:90" outlineLevel="3" x14ac:dyDescent="0.25">
      <c r="A60" s="137" t="s">
        <v>407</v>
      </c>
      <c r="B60" s="137" t="s">
        <v>388</v>
      </c>
      <c r="C60" s="137" t="s">
        <v>382</v>
      </c>
      <c r="D60" s="137" t="s">
        <v>383</v>
      </c>
      <c r="E60" s="137" t="s">
        <v>213</v>
      </c>
      <c r="F60" s="137" t="s">
        <v>351</v>
      </c>
      <c r="G60" s="137" t="s">
        <v>389</v>
      </c>
      <c r="H60" s="137" t="s">
        <v>353</v>
      </c>
      <c r="I60" s="163" t="s">
        <v>353</v>
      </c>
      <c r="J60" s="165">
        <v>78000</v>
      </c>
      <c r="K60" s="165">
        <v>78000</v>
      </c>
      <c r="L60" s="167">
        <v>3.3455262169977643E-2</v>
      </c>
      <c r="M60" s="167">
        <v>0.5</v>
      </c>
      <c r="N60" s="167">
        <v>0.37589800155101</v>
      </c>
      <c r="O60" s="166">
        <v>2.099980879133561</v>
      </c>
      <c r="P60" s="167">
        <v>2.0372206953941956</v>
      </c>
      <c r="Q60" s="167">
        <v>6.2760183739365427E-2</v>
      </c>
      <c r="R60" s="169" t="s">
        <v>410</v>
      </c>
      <c r="S60" s="169">
        <v>0</v>
      </c>
      <c r="T60" s="169">
        <v>0</v>
      </c>
      <c r="U60" s="245">
        <v>163798.50857241775</v>
      </c>
      <c r="V60" s="166" t="s">
        <v>323</v>
      </c>
      <c r="W60" s="166">
        <v>240057.86124051377</v>
      </c>
      <c r="X60" s="166">
        <v>0</v>
      </c>
      <c r="Y60" s="166">
        <v>240057.86124051377</v>
      </c>
      <c r="Z60" s="166">
        <v>0</v>
      </c>
      <c r="AA60" s="166">
        <v>0</v>
      </c>
      <c r="AB60" s="166">
        <v>0</v>
      </c>
      <c r="AC60" s="245">
        <v>158903.21424074724</v>
      </c>
      <c r="AD60" s="166">
        <v>4895.2943316705059</v>
      </c>
      <c r="AE60" s="166">
        <v>0</v>
      </c>
      <c r="AF60" s="166">
        <v>-4895.2943316705059</v>
      </c>
      <c r="AG60" s="166">
        <v>0</v>
      </c>
      <c r="AH60" s="246">
        <v>-47966.354505244351</v>
      </c>
      <c r="AI60" s="166">
        <v>0</v>
      </c>
      <c r="AJ60" s="166">
        <v>47966.354505244351</v>
      </c>
      <c r="AK60" s="247">
        <v>0</v>
      </c>
      <c r="AL60" s="170">
        <v>0</v>
      </c>
      <c r="AM60" s="166">
        <v>211764.8630776621</v>
      </c>
      <c r="AN60" s="170">
        <v>0</v>
      </c>
      <c r="AO60" s="170">
        <v>42730.733606603942</v>
      </c>
      <c r="AP60" s="166">
        <v>140980.7076861134</v>
      </c>
      <c r="AQ60" s="171">
        <v>1</v>
      </c>
      <c r="AR60" s="166">
        <v>480115.72248102754</v>
      </c>
      <c r="AS60" s="166">
        <v>16.375</v>
      </c>
      <c r="AT60" s="166">
        <v>-47966.354505244351</v>
      </c>
      <c r="AU60" s="166">
        <v>0</v>
      </c>
      <c r="AV60" s="166">
        <v>47966.354505244351</v>
      </c>
      <c r="AW60" s="166">
        <v>0</v>
      </c>
      <c r="AX60" s="166">
        <v>-47966.354505244351</v>
      </c>
      <c r="AY60" s="166">
        <v>0</v>
      </c>
      <c r="AZ60" s="166">
        <v>47966.354505244351</v>
      </c>
      <c r="BA60" s="166">
        <v>0</v>
      </c>
      <c r="BB60" s="166">
        <v>16.375</v>
      </c>
      <c r="BC60" s="166">
        <v>16.1875</v>
      </c>
      <c r="BD60" s="166">
        <v>-52861.648836914857</v>
      </c>
      <c r="BE60" s="166">
        <v>0</v>
      </c>
      <c r="BF60" s="166">
        <v>52861.648836914857</v>
      </c>
      <c r="BG60" s="166">
        <v>0</v>
      </c>
      <c r="BH60" s="166">
        <v>-52861.648836914857</v>
      </c>
      <c r="BI60" s="166">
        <v>0</v>
      </c>
      <c r="BJ60" s="166">
        <v>52861.648836914857</v>
      </c>
      <c r="BK60" s="166">
        <v>0</v>
      </c>
      <c r="BL60" s="166">
        <v>140980.7076861134</v>
      </c>
      <c r="BM60" s="166" t="s">
        <v>327</v>
      </c>
      <c r="BN60" s="166">
        <v>0</v>
      </c>
      <c r="BO60" s="166" t="b">
        <v>0</v>
      </c>
      <c r="BP60" s="166">
        <v>52861.648836914857</v>
      </c>
      <c r="BQ60" s="167">
        <v>0</v>
      </c>
      <c r="BR60" s="167">
        <v>0</v>
      </c>
      <c r="BS60" s="173">
        <v>75</v>
      </c>
      <c r="BT60" s="167">
        <v>0</v>
      </c>
      <c r="BU60" s="231">
        <v>29320.044120978779</v>
      </c>
      <c r="BV60" s="167">
        <v>88</v>
      </c>
      <c r="BW60" s="174">
        <v>16.375</v>
      </c>
      <c r="BX60" s="174">
        <v>16.375</v>
      </c>
      <c r="BY60" s="166">
        <v>0</v>
      </c>
      <c r="BZ60" s="166">
        <v>0</v>
      </c>
      <c r="CA60" s="166">
        <v>0</v>
      </c>
      <c r="CB60" s="166">
        <v>0</v>
      </c>
      <c r="CC60" s="166">
        <v>0</v>
      </c>
      <c r="CD60" s="166">
        <v>0</v>
      </c>
      <c r="CE60" s="166">
        <v>0</v>
      </c>
      <c r="CF60" s="166">
        <v>0</v>
      </c>
      <c r="CG60" s="166">
        <v>-52861.648836914857</v>
      </c>
      <c r="CH60" s="166">
        <v>0</v>
      </c>
      <c r="CI60" s="166">
        <v>52861.648836914857</v>
      </c>
      <c r="CJ60" s="166">
        <v>0</v>
      </c>
      <c r="CK60" s="167">
        <v>0.5</v>
      </c>
      <c r="CL60" s="167">
        <v>0</v>
      </c>
    </row>
    <row r="61" spans="1:90" outlineLevel="3" x14ac:dyDescent="0.25">
      <c r="A61" s="137" t="s">
        <v>407</v>
      </c>
      <c r="B61" s="137" t="s">
        <v>388</v>
      </c>
      <c r="C61" s="137" t="s">
        <v>382</v>
      </c>
      <c r="D61" s="137" t="s">
        <v>383</v>
      </c>
      <c r="E61" s="137" t="s">
        <v>214</v>
      </c>
      <c r="F61" s="137" t="s">
        <v>392</v>
      </c>
      <c r="G61" s="137" t="s">
        <v>389</v>
      </c>
      <c r="H61" s="137" t="s">
        <v>353</v>
      </c>
      <c r="I61" s="163" t="s">
        <v>353</v>
      </c>
      <c r="J61" s="165">
        <v>625000</v>
      </c>
      <c r="K61" s="165">
        <v>625000</v>
      </c>
      <c r="L61" s="167">
        <v>0.13928562747405149</v>
      </c>
      <c r="M61" s="167">
        <v>0.5</v>
      </c>
      <c r="N61" s="167">
        <v>0.71584022578764661</v>
      </c>
      <c r="O61" s="166">
        <v>0</v>
      </c>
      <c r="P61" s="167">
        <v>0</v>
      </c>
      <c r="Q61" s="167">
        <v>0</v>
      </c>
      <c r="R61" s="169" t="s">
        <v>411</v>
      </c>
      <c r="S61" s="169">
        <v>0</v>
      </c>
      <c r="T61" s="169">
        <v>0</v>
      </c>
      <c r="U61" s="245">
        <v>0</v>
      </c>
      <c r="V61" s="166" t="s">
        <v>323</v>
      </c>
      <c r="W61" s="166">
        <v>489343.90434702404</v>
      </c>
      <c r="X61" s="166">
        <v>0</v>
      </c>
      <c r="Y61" s="166">
        <v>489343.90434702404</v>
      </c>
      <c r="Z61" s="166">
        <v>0</v>
      </c>
      <c r="AA61" s="166">
        <v>0</v>
      </c>
      <c r="AB61" s="166">
        <v>0</v>
      </c>
      <c r="AC61" s="245">
        <v>0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0</v>
      </c>
      <c r="AN61" s="170">
        <v>0</v>
      </c>
      <c r="AO61" s="170">
        <v>190429.56881217976</v>
      </c>
      <c r="AP61" s="166">
        <v>0</v>
      </c>
      <c r="AQ61" s="171">
        <v>1</v>
      </c>
      <c r="AR61" s="166">
        <v>978687.80869404809</v>
      </c>
      <c r="AS61" s="166">
        <v>2.1875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>
        <v>4.5625</v>
      </c>
      <c r="BC61" s="166">
        <v>4.875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0</v>
      </c>
      <c r="BM61" s="166" t="s">
        <v>327</v>
      </c>
      <c r="BN61" s="166">
        <v>0</v>
      </c>
      <c r="BO61" s="166" t="b">
        <v>0</v>
      </c>
      <c r="BP61" s="166">
        <v>0</v>
      </c>
      <c r="BQ61" s="167">
        <v>0</v>
      </c>
      <c r="BR61" s="167">
        <v>0</v>
      </c>
      <c r="BS61" s="173">
        <v>75</v>
      </c>
      <c r="BT61" s="167">
        <v>0</v>
      </c>
      <c r="BU61" s="231">
        <v>447400.14111727913</v>
      </c>
      <c r="BV61" s="167">
        <v>89</v>
      </c>
      <c r="BW61" s="174">
        <v>4.5625</v>
      </c>
      <c r="BX61" s="174">
        <v>4.5625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0.5</v>
      </c>
      <c r="CL61" s="167">
        <v>0</v>
      </c>
    </row>
    <row r="62" spans="1:90" s="189" customFormat="1" ht="20.100000000000001" customHeight="1" outlineLevel="2" x14ac:dyDescent="0.25">
      <c r="A62" s="176" t="s">
        <v>412</v>
      </c>
      <c r="B62" s="176"/>
      <c r="C62" s="176"/>
      <c r="D62" s="176"/>
      <c r="E62" s="176"/>
      <c r="F62" s="176"/>
      <c r="G62" s="176"/>
      <c r="H62" s="176"/>
      <c r="I62" s="177"/>
      <c r="J62" s="179"/>
      <c r="K62" s="179"/>
      <c r="L62" s="181"/>
      <c r="M62" s="181"/>
      <c r="N62" s="181"/>
      <c r="O62" s="180"/>
      <c r="P62" s="181"/>
      <c r="Q62" s="181"/>
      <c r="R62" s="183">
        <v>0</v>
      </c>
      <c r="S62" s="183">
        <v>0</v>
      </c>
      <c r="T62" s="183">
        <v>0</v>
      </c>
      <c r="U62" s="248">
        <v>1255957.3862115459</v>
      </c>
      <c r="V62" s="180"/>
      <c r="W62" s="180">
        <v>729401.76558753778</v>
      </c>
      <c r="X62" s="180">
        <v>0</v>
      </c>
      <c r="Y62" s="180">
        <v>729401.76558753778</v>
      </c>
      <c r="Z62" s="180">
        <v>0</v>
      </c>
      <c r="AA62" s="180">
        <v>0</v>
      </c>
      <c r="AB62" s="180">
        <v>0</v>
      </c>
      <c r="AC62" s="248">
        <v>1232242.4601489787</v>
      </c>
      <c r="AD62" s="180">
        <v>23714.92606256716</v>
      </c>
      <c r="AE62" s="180">
        <v>0</v>
      </c>
      <c r="AF62" s="180">
        <v>-23714.92606256716</v>
      </c>
      <c r="AG62" s="180">
        <v>0</v>
      </c>
      <c r="AH62" s="249">
        <v>99503.115752020909</v>
      </c>
      <c r="AI62" s="180">
        <v>0</v>
      </c>
      <c r="AJ62" s="180">
        <v>-99503.115752020909</v>
      </c>
      <c r="AK62" s="250">
        <v>0</v>
      </c>
      <c r="AL62" s="184"/>
      <c r="AM62" s="180">
        <v>1156454.2704595251</v>
      </c>
      <c r="AN62" s="184"/>
      <c r="AO62" s="184"/>
      <c r="AP62" s="180">
        <v>1852849.0958702611</v>
      </c>
      <c r="AQ62" s="185"/>
      <c r="AR62" s="180"/>
      <c r="AS62" s="180"/>
      <c r="AT62" s="180">
        <v>99503.115752020909</v>
      </c>
      <c r="AU62" s="180">
        <v>0</v>
      </c>
      <c r="AV62" s="180">
        <v>-99503.115752020909</v>
      </c>
      <c r="AW62" s="180">
        <v>0</v>
      </c>
      <c r="AX62" s="180">
        <v>99503.115752020909</v>
      </c>
      <c r="AY62" s="180">
        <v>0</v>
      </c>
      <c r="AZ62" s="180">
        <v>-99503.115752020909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s="200" customFormat="1" ht="30" customHeight="1" outlineLevel="1" x14ac:dyDescent="0.25">
      <c r="A63" s="176"/>
      <c r="B63" s="176" t="s">
        <v>413</v>
      </c>
      <c r="C63" s="176"/>
      <c r="D63" s="176"/>
      <c r="E63" s="176"/>
      <c r="F63" s="176"/>
      <c r="G63" s="176"/>
      <c r="H63" s="176"/>
      <c r="I63" s="177"/>
      <c r="J63" s="190"/>
      <c r="K63" s="190"/>
      <c r="L63" s="192"/>
      <c r="M63" s="192"/>
      <c r="N63" s="192"/>
      <c r="O63" s="191"/>
      <c r="P63" s="192"/>
      <c r="Q63" s="192"/>
      <c r="R63" s="194">
        <v>0</v>
      </c>
      <c r="S63" s="194">
        <v>0</v>
      </c>
      <c r="T63" s="194">
        <v>0</v>
      </c>
      <c r="U63" s="251">
        <v>9698553.3237115461</v>
      </c>
      <c r="V63" s="191"/>
      <c r="W63" s="191">
        <v>729401.76558753778</v>
      </c>
      <c r="X63" s="191">
        <v>0</v>
      </c>
      <c r="Y63" s="191">
        <v>729401.76558753778</v>
      </c>
      <c r="Z63" s="191">
        <v>0</v>
      </c>
      <c r="AA63" s="191">
        <v>0</v>
      </c>
      <c r="AB63" s="191">
        <v>0</v>
      </c>
      <c r="AC63" s="251">
        <v>49108013.240148976</v>
      </c>
      <c r="AD63" s="191">
        <v>-38584690.486437432</v>
      </c>
      <c r="AE63" s="191">
        <v>0</v>
      </c>
      <c r="AF63" s="191">
        <v>38584690.486437432</v>
      </c>
      <c r="AG63" s="191">
        <v>0</v>
      </c>
      <c r="AH63" s="252">
        <v>-38515236.421747975</v>
      </c>
      <c r="AI63" s="191">
        <v>0</v>
      </c>
      <c r="AJ63" s="191">
        <v>38515236.421747975</v>
      </c>
      <c r="AK63" s="253">
        <v>0</v>
      </c>
      <c r="AL63" s="195"/>
      <c r="AM63" s="191">
        <v>49038559.175459526</v>
      </c>
      <c r="AN63" s="195"/>
      <c r="AO63" s="195"/>
      <c r="AP63" s="191">
        <v>10626356.011870259</v>
      </c>
      <c r="AQ63" s="196"/>
      <c r="AR63" s="191"/>
      <c r="AS63" s="191"/>
      <c r="AT63" s="191">
        <v>-38515236.421747975</v>
      </c>
      <c r="AU63" s="191">
        <v>0</v>
      </c>
      <c r="AV63" s="191">
        <v>38515236.421747975</v>
      </c>
      <c r="AW63" s="191">
        <v>0</v>
      </c>
      <c r="AX63" s="191">
        <v>-38515236.421747975</v>
      </c>
      <c r="AY63" s="191">
        <v>0</v>
      </c>
      <c r="AZ63" s="191">
        <v>38515236.421747975</v>
      </c>
      <c r="BA63" s="191">
        <v>0</v>
      </c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2"/>
      <c r="BR63" s="192"/>
      <c r="BS63" s="198"/>
      <c r="BT63" s="192"/>
      <c r="BU63" s="225"/>
      <c r="BV63" s="192"/>
      <c r="BW63" s="199"/>
      <c r="BX63" s="199"/>
      <c r="BY63" s="191"/>
      <c r="BZ63" s="191"/>
      <c r="CA63" s="191">
        <v>-824769.43</v>
      </c>
      <c r="CB63" s="191"/>
      <c r="CC63" s="191"/>
      <c r="CD63" s="191"/>
      <c r="CE63" s="191"/>
      <c r="CF63" s="191"/>
      <c r="CG63" s="191"/>
      <c r="CH63" s="191"/>
      <c r="CI63" s="191"/>
      <c r="CJ63" s="191"/>
      <c r="CK63" s="192"/>
      <c r="CL63" s="192"/>
    </row>
    <row r="64" spans="1:90" outlineLevel="3" x14ac:dyDescent="0.25">
      <c r="A64" s="137" t="s">
        <v>387</v>
      </c>
      <c r="B64" s="137" t="s">
        <v>414</v>
      </c>
      <c r="C64" s="137" t="s">
        <v>382</v>
      </c>
      <c r="D64" s="137" t="s">
        <v>383</v>
      </c>
      <c r="E64" s="137" t="s">
        <v>215</v>
      </c>
      <c r="F64" s="137" t="s">
        <v>404</v>
      </c>
      <c r="G64" s="137" t="s">
        <v>512</v>
      </c>
      <c r="H64" s="137" t="s">
        <v>416</v>
      </c>
      <c r="I64" s="163" t="s">
        <v>417</v>
      </c>
      <c r="J64" s="164">
        <v>375000</v>
      </c>
      <c r="K64" s="165">
        <v>375000</v>
      </c>
      <c r="L64" s="167">
        <v>0</v>
      </c>
      <c r="M64" s="167">
        <v>0</v>
      </c>
      <c r="N64" s="167">
        <v>0</v>
      </c>
      <c r="O64" s="166">
        <v>216.56166666666667</v>
      </c>
      <c r="P64" s="168">
        <v>216.56166666666667</v>
      </c>
      <c r="Q64" s="168">
        <v>0</v>
      </c>
      <c r="R64" s="169" t="s">
        <v>418</v>
      </c>
      <c r="S64" s="169">
        <v>0</v>
      </c>
      <c r="T64" s="169">
        <v>0</v>
      </c>
      <c r="U64" s="245">
        <v>81210625</v>
      </c>
      <c r="V64" s="166" t="s">
        <v>323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81210625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81210625</v>
      </c>
      <c r="AN64" s="170">
        <v>0</v>
      </c>
      <c r="AO64" s="167">
        <v>0</v>
      </c>
      <c r="AP64" s="166">
        <v>81210625</v>
      </c>
      <c r="AQ64" s="171">
        <v>1</v>
      </c>
      <c r="AR64" s="166">
        <v>0</v>
      </c>
      <c r="AS64" s="166">
        <v>216.56166666666667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81210625</v>
      </c>
      <c r="BM64" s="166" t="s">
        <v>324</v>
      </c>
      <c r="BN64" s="166">
        <v>0</v>
      </c>
      <c r="BO64" s="166" t="b">
        <v>0</v>
      </c>
      <c r="BP64" s="166">
        <v>0</v>
      </c>
      <c r="BQ64" s="167">
        <v>100</v>
      </c>
      <c r="BR64" s="167">
        <v>37500000</v>
      </c>
      <c r="BS64" s="173">
        <v>73</v>
      </c>
      <c r="BT64" s="167">
        <v>0</v>
      </c>
      <c r="BU64" s="231">
        <v>0</v>
      </c>
      <c r="BV64" s="167">
        <v>78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390</v>
      </c>
      <c r="B65" s="176"/>
      <c r="C65" s="176"/>
      <c r="D65" s="176"/>
      <c r="E65" s="176"/>
      <c r="F65" s="176"/>
      <c r="G65" s="176"/>
      <c r="H65" s="176"/>
      <c r="I65" s="177"/>
      <c r="J65" s="178"/>
      <c r="K65" s="179"/>
      <c r="L65" s="181"/>
      <c r="M65" s="181"/>
      <c r="N65" s="181"/>
      <c r="O65" s="180"/>
      <c r="P65" s="182"/>
      <c r="Q65" s="182"/>
      <c r="R65" s="183">
        <v>0</v>
      </c>
      <c r="S65" s="183">
        <v>0</v>
      </c>
      <c r="T65" s="183">
        <v>0</v>
      </c>
      <c r="U65" s="248">
        <v>81210625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81210625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81210625</v>
      </c>
      <c r="AN65" s="184"/>
      <c r="AO65" s="181"/>
      <c r="AP65" s="180">
        <v>81210625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329</v>
      </c>
      <c r="B66" s="137" t="s">
        <v>414</v>
      </c>
      <c r="C66" s="137" t="s">
        <v>382</v>
      </c>
      <c r="D66" s="137" t="s">
        <v>383</v>
      </c>
      <c r="E66" s="137" t="s">
        <v>502</v>
      </c>
      <c r="F66" s="137" t="s">
        <v>196</v>
      </c>
      <c r="G66" s="137" t="s">
        <v>415</v>
      </c>
      <c r="H66" s="137" t="s">
        <v>320</v>
      </c>
      <c r="I66" s="163" t="s">
        <v>335</v>
      </c>
      <c r="J66" s="165">
        <v>1</v>
      </c>
      <c r="K66" s="165">
        <v>1</v>
      </c>
      <c r="L66" s="167">
        <v>0</v>
      </c>
      <c r="M66" s="167">
        <v>0</v>
      </c>
      <c r="N66" s="167">
        <v>0</v>
      </c>
      <c r="O66" s="166">
        <v>1250000</v>
      </c>
      <c r="P66" s="167">
        <v>1250000</v>
      </c>
      <c r="Q66" s="167">
        <v>0</v>
      </c>
      <c r="R66" s="169" t="s">
        <v>419</v>
      </c>
      <c r="S66" s="169">
        <v>0</v>
      </c>
      <c r="T66" s="169">
        <v>0</v>
      </c>
      <c r="U66" s="245">
        <v>1250000</v>
      </c>
      <c r="V66" s="166" t="s">
        <v>323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1250000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1250000</v>
      </c>
      <c r="AN66" s="167">
        <v>0</v>
      </c>
      <c r="AO66" s="170">
        <v>0</v>
      </c>
      <c r="AP66" s="166">
        <v>1250000</v>
      </c>
      <c r="AQ66" s="171">
        <v>1</v>
      </c>
      <c r="AR66" s="166">
        <v>0</v>
      </c>
      <c r="AS66" s="166">
        <v>1250000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66">
        <v>1250000</v>
      </c>
      <c r="BM66" s="166" t="s">
        <v>324</v>
      </c>
      <c r="BN66" s="166">
        <v>0</v>
      </c>
      <c r="BO66" s="166" t="b">
        <v>0</v>
      </c>
      <c r="BP66" s="166">
        <v>0</v>
      </c>
      <c r="BQ66" s="168">
        <v>0</v>
      </c>
      <c r="BR66" s="167">
        <v>0</v>
      </c>
      <c r="BS66" s="173">
        <v>78</v>
      </c>
      <c r="BT66" s="167">
        <v>0</v>
      </c>
      <c r="BU66" s="231">
        <v>0</v>
      </c>
      <c r="BV66" s="167">
        <v>115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outlineLevel="3" x14ac:dyDescent="0.25">
      <c r="A67" s="137" t="s">
        <v>329</v>
      </c>
      <c r="B67" s="137" t="s">
        <v>414</v>
      </c>
      <c r="C67" s="137" t="s">
        <v>382</v>
      </c>
      <c r="D67" s="137" t="s">
        <v>383</v>
      </c>
      <c r="E67" s="137" t="s">
        <v>216</v>
      </c>
      <c r="F67" s="137" t="s">
        <v>196</v>
      </c>
      <c r="G67" s="137" t="s">
        <v>512</v>
      </c>
      <c r="H67" s="201" t="s">
        <v>334</v>
      </c>
      <c r="I67" s="163" t="s">
        <v>420</v>
      </c>
      <c r="J67" s="165">
        <v>1</v>
      </c>
      <c r="K67" s="165">
        <v>1</v>
      </c>
      <c r="L67" s="167">
        <v>0</v>
      </c>
      <c r="M67" s="167">
        <v>0</v>
      </c>
      <c r="N67" s="167">
        <v>0</v>
      </c>
      <c r="O67" s="166">
        <v>1663000</v>
      </c>
      <c r="P67" s="167">
        <v>1663000</v>
      </c>
      <c r="Q67" s="167">
        <v>0</v>
      </c>
      <c r="R67" s="169" t="s">
        <v>421</v>
      </c>
      <c r="S67" s="169">
        <v>0</v>
      </c>
      <c r="T67" s="169">
        <v>0</v>
      </c>
      <c r="U67" s="245">
        <v>1663000</v>
      </c>
      <c r="V67" s="166" t="s">
        <v>323</v>
      </c>
      <c r="W67" s="166">
        <v>0</v>
      </c>
      <c r="X67" s="166">
        <v>0</v>
      </c>
      <c r="Y67" s="166">
        <v>0</v>
      </c>
      <c r="Z67" s="166">
        <v>0</v>
      </c>
      <c r="AA67" s="166">
        <v>0</v>
      </c>
      <c r="AB67" s="166">
        <v>0</v>
      </c>
      <c r="AC67" s="245">
        <v>1663000</v>
      </c>
      <c r="AD67" s="166">
        <v>0</v>
      </c>
      <c r="AE67" s="166">
        <v>0</v>
      </c>
      <c r="AF67" s="166">
        <v>0</v>
      </c>
      <c r="AG67" s="166">
        <v>0</v>
      </c>
      <c r="AH67" s="246">
        <v>0</v>
      </c>
      <c r="AI67" s="166">
        <v>0</v>
      </c>
      <c r="AJ67" s="166">
        <v>0</v>
      </c>
      <c r="AK67" s="247">
        <v>0</v>
      </c>
      <c r="AL67" s="170">
        <v>0</v>
      </c>
      <c r="AM67" s="166">
        <v>1663000</v>
      </c>
      <c r="AN67" s="167">
        <v>0</v>
      </c>
      <c r="AO67" s="170">
        <v>0</v>
      </c>
      <c r="AP67" s="166">
        <v>1663000</v>
      </c>
      <c r="AQ67" s="171">
        <v>1</v>
      </c>
      <c r="AR67" s="166">
        <v>0</v>
      </c>
      <c r="AS67" s="166">
        <v>1663000</v>
      </c>
      <c r="AT67" s="166">
        <v>0</v>
      </c>
      <c r="AU67" s="166">
        <v>0</v>
      </c>
      <c r="AV67" s="166">
        <v>0</v>
      </c>
      <c r="AW67" s="166">
        <v>0</v>
      </c>
      <c r="AX67" s="166">
        <v>0</v>
      </c>
      <c r="AY67" s="166">
        <v>0</v>
      </c>
      <c r="AZ67" s="166">
        <v>0</v>
      </c>
      <c r="BA67" s="166">
        <v>0</v>
      </c>
      <c r="BB67" s="166" t="s">
        <v>196</v>
      </c>
      <c r="BC67" s="166" t="s">
        <v>196</v>
      </c>
      <c r="BD67" s="166">
        <v>0</v>
      </c>
      <c r="BE67" s="166">
        <v>0</v>
      </c>
      <c r="BF67" s="166">
        <v>0</v>
      </c>
      <c r="BG67" s="166">
        <v>0</v>
      </c>
      <c r="BH67" s="166">
        <v>0</v>
      </c>
      <c r="BI67" s="166">
        <v>0</v>
      </c>
      <c r="BJ67" s="166">
        <v>0</v>
      </c>
      <c r="BK67" s="166">
        <v>0</v>
      </c>
      <c r="BL67" s="166">
        <v>1663000</v>
      </c>
      <c r="BM67" s="166" t="s">
        <v>324</v>
      </c>
      <c r="BN67" s="166">
        <v>0</v>
      </c>
      <c r="BO67" s="166" t="b">
        <v>0</v>
      </c>
      <c r="BP67" s="166">
        <v>0</v>
      </c>
      <c r="BQ67" s="167">
        <v>0</v>
      </c>
      <c r="BR67" s="167">
        <v>0</v>
      </c>
      <c r="BS67" s="173">
        <v>78</v>
      </c>
      <c r="BT67" s="167">
        <v>0</v>
      </c>
      <c r="BU67" s="231">
        <v>0</v>
      </c>
      <c r="BV67" s="167">
        <v>119</v>
      </c>
      <c r="BW67" s="174">
        <v>0</v>
      </c>
      <c r="BX67" s="174">
        <v>0</v>
      </c>
      <c r="BY67" s="166">
        <v>0</v>
      </c>
      <c r="BZ67" s="166">
        <v>0</v>
      </c>
      <c r="CA67" s="166">
        <v>0</v>
      </c>
      <c r="CB67" s="166">
        <v>0</v>
      </c>
      <c r="CC67" s="166">
        <v>0</v>
      </c>
      <c r="CD67" s="166">
        <v>0</v>
      </c>
      <c r="CE67" s="166">
        <v>0</v>
      </c>
      <c r="CF67" s="166">
        <v>0</v>
      </c>
      <c r="CG67" s="166">
        <v>0</v>
      </c>
      <c r="CH67" s="166">
        <v>0</v>
      </c>
      <c r="CI67" s="166">
        <v>0</v>
      </c>
      <c r="CJ67" s="166">
        <v>0</v>
      </c>
      <c r="CK67" s="167">
        <v>0</v>
      </c>
      <c r="CL67" s="167">
        <v>0</v>
      </c>
    </row>
    <row r="68" spans="1:90" s="189" customFormat="1" ht="20.100000000000001" customHeight="1" outlineLevel="2" x14ac:dyDescent="0.25">
      <c r="A68" s="176" t="s">
        <v>342</v>
      </c>
      <c r="B68" s="176"/>
      <c r="C68" s="176"/>
      <c r="D68" s="176"/>
      <c r="E68" s="176"/>
      <c r="F68" s="176"/>
      <c r="G68" s="176"/>
      <c r="H68" s="202"/>
      <c r="I68" s="177"/>
      <c r="J68" s="179"/>
      <c r="K68" s="179"/>
      <c r="L68" s="181"/>
      <c r="M68" s="181"/>
      <c r="N68" s="181"/>
      <c r="O68" s="180"/>
      <c r="P68" s="181"/>
      <c r="Q68" s="181"/>
      <c r="R68" s="183">
        <v>0</v>
      </c>
      <c r="S68" s="183">
        <v>0</v>
      </c>
      <c r="T68" s="183">
        <v>0</v>
      </c>
      <c r="U68" s="248">
        <v>2913000</v>
      </c>
      <c r="V68" s="180"/>
      <c r="W68" s="180">
        <v>0</v>
      </c>
      <c r="X68" s="180">
        <v>0</v>
      </c>
      <c r="Y68" s="180">
        <v>0</v>
      </c>
      <c r="Z68" s="180">
        <v>0</v>
      </c>
      <c r="AA68" s="180">
        <v>0</v>
      </c>
      <c r="AB68" s="180">
        <v>0</v>
      </c>
      <c r="AC68" s="248">
        <v>2913000</v>
      </c>
      <c r="AD68" s="180">
        <v>0</v>
      </c>
      <c r="AE68" s="180">
        <v>0</v>
      </c>
      <c r="AF68" s="180">
        <v>0</v>
      </c>
      <c r="AG68" s="180">
        <v>0</v>
      </c>
      <c r="AH68" s="249">
        <v>0</v>
      </c>
      <c r="AI68" s="180">
        <v>0</v>
      </c>
      <c r="AJ68" s="180">
        <v>0</v>
      </c>
      <c r="AK68" s="250">
        <v>0</v>
      </c>
      <c r="AL68" s="184"/>
      <c r="AM68" s="180">
        <v>2913000</v>
      </c>
      <c r="AN68" s="181"/>
      <c r="AO68" s="184"/>
      <c r="AP68" s="180">
        <v>2913000</v>
      </c>
      <c r="AQ68" s="185"/>
      <c r="AR68" s="180"/>
      <c r="AS68" s="180"/>
      <c r="AT68" s="180">
        <v>0</v>
      </c>
      <c r="AU68" s="180">
        <v>0</v>
      </c>
      <c r="AV68" s="180">
        <v>0</v>
      </c>
      <c r="AW68" s="180">
        <v>0</v>
      </c>
      <c r="AX68" s="180">
        <v>0</v>
      </c>
      <c r="AY68" s="180">
        <v>0</v>
      </c>
      <c r="AZ68" s="180">
        <v>0</v>
      </c>
      <c r="BA68" s="180">
        <v>0</v>
      </c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180"/>
      <c r="BN68" s="180"/>
      <c r="BO68" s="180"/>
      <c r="BP68" s="180"/>
      <c r="BQ68" s="181"/>
      <c r="BR68" s="181"/>
      <c r="BS68" s="187"/>
      <c r="BT68" s="181"/>
      <c r="BU68" s="224"/>
      <c r="BV68" s="181"/>
      <c r="BW68" s="188"/>
      <c r="BX68" s="188"/>
      <c r="BY68" s="180"/>
      <c r="BZ68" s="180"/>
      <c r="CA68" s="180">
        <v>0</v>
      </c>
      <c r="CB68" s="180"/>
      <c r="CC68" s="180"/>
      <c r="CD68" s="180"/>
      <c r="CE68" s="180"/>
      <c r="CF68" s="180"/>
      <c r="CG68" s="180"/>
      <c r="CH68" s="180"/>
      <c r="CI68" s="180"/>
      <c r="CJ68" s="180"/>
      <c r="CK68" s="181"/>
      <c r="CL68" s="181"/>
    </row>
    <row r="69" spans="1:90" outlineLevel="3" x14ac:dyDescent="0.25">
      <c r="A69" s="137" t="s">
        <v>366</v>
      </c>
      <c r="B69" s="137" t="s">
        <v>414</v>
      </c>
      <c r="C69" s="137" t="s">
        <v>382</v>
      </c>
      <c r="D69" s="137" t="s">
        <v>383</v>
      </c>
      <c r="E69" s="137" t="s">
        <v>217</v>
      </c>
      <c r="F69" s="137" t="s">
        <v>196</v>
      </c>
      <c r="G69" s="137" t="s">
        <v>512</v>
      </c>
      <c r="H69" s="201" t="s">
        <v>334</v>
      </c>
      <c r="I69" s="163" t="s">
        <v>321</v>
      </c>
      <c r="J69" s="164">
        <v>1000</v>
      </c>
      <c r="K69" s="165">
        <v>1000</v>
      </c>
      <c r="L69" s="167">
        <v>0</v>
      </c>
      <c r="M69" s="167">
        <v>0</v>
      </c>
      <c r="N69" s="167">
        <v>1</v>
      </c>
      <c r="O69" s="166">
        <v>1360</v>
      </c>
      <c r="P69" s="168">
        <v>1360</v>
      </c>
      <c r="Q69" s="168">
        <v>0</v>
      </c>
      <c r="R69" s="169" t="s">
        <v>422</v>
      </c>
      <c r="S69" s="169">
        <v>0</v>
      </c>
      <c r="T69" s="169">
        <v>0</v>
      </c>
      <c r="U69" s="245">
        <v>1360000</v>
      </c>
      <c r="V69" s="166" t="s">
        <v>323</v>
      </c>
      <c r="W69" s="166">
        <v>0</v>
      </c>
      <c r="X69" s="166">
        <v>0</v>
      </c>
      <c r="Y69" s="166">
        <v>0</v>
      </c>
      <c r="Z69" s="166">
        <v>0</v>
      </c>
      <c r="AA69" s="166">
        <v>0</v>
      </c>
      <c r="AB69" s="166">
        <v>0</v>
      </c>
      <c r="AC69" s="245">
        <v>1360000</v>
      </c>
      <c r="AD69" s="166">
        <v>0</v>
      </c>
      <c r="AE69" s="166">
        <v>0</v>
      </c>
      <c r="AF69" s="166">
        <v>0</v>
      </c>
      <c r="AG69" s="166">
        <v>0</v>
      </c>
      <c r="AH69" s="246">
        <v>0</v>
      </c>
      <c r="AI69" s="166">
        <v>0</v>
      </c>
      <c r="AJ69" s="166">
        <v>0</v>
      </c>
      <c r="AK69" s="247">
        <v>0</v>
      </c>
      <c r="AL69" s="170">
        <v>0</v>
      </c>
      <c r="AM69" s="166">
        <v>1360000</v>
      </c>
      <c r="AN69" s="170">
        <v>0</v>
      </c>
      <c r="AO69" s="167">
        <v>0</v>
      </c>
      <c r="AP69" s="166">
        <v>1360000</v>
      </c>
      <c r="AQ69" s="171">
        <v>1</v>
      </c>
      <c r="AR69" s="166">
        <v>1360000</v>
      </c>
      <c r="AS69" s="166">
        <v>1360</v>
      </c>
      <c r="AT69" s="166">
        <v>0</v>
      </c>
      <c r="AU69" s="166">
        <v>0</v>
      </c>
      <c r="AV69" s="166">
        <v>0</v>
      </c>
      <c r="AW69" s="166">
        <v>0</v>
      </c>
      <c r="AX69" s="166">
        <v>0</v>
      </c>
      <c r="AY69" s="166">
        <v>0</v>
      </c>
      <c r="AZ69" s="166">
        <v>0</v>
      </c>
      <c r="BA69" s="166">
        <v>0</v>
      </c>
      <c r="BB69" s="166" t="s">
        <v>196</v>
      </c>
      <c r="BC69" s="166" t="s">
        <v>196</v>
      </c>
      <c r="BD69" s="166">
        <v>0</v>
      </c>
      <c r="BE69" s="166">
        <v>0</v>
      </c>
      <c r="BF69" s="166">
        <v>0</v>
      </c>
      <c r="BG69" s="166">
        <v>0</v>
      </c>
      <c r="BH69" s="166">
        <v>0</v>
      </c>
      <c r="BI69" s="166">
        <v>0</v>
      </c>
      <c r="BJ69" s="166">
        <v>0</v>
      </c>
      <c r="BK69" s="166">
        <v>0</v>
      </c>
      <c r="BL69" s="174">
        <v>1360000</v>
      </c>
      <c r="BM69" s="166" t="s">
        <v>324</v>
      </c>
      <c r="BN69" s="166">
        <v>0</v>
      </c>
      <c r="BO69" s="166" t="b">
        <v>0</v>
      </c>
      <c r="BP69" s="166">
        <v>0</v>
      </c>
      <c r="BQ69" s="167">
        <v>2360</v>
      </c>
      <c r="BR69" s="167">
        <v>2360000</v>
      </c>
      <c r="BS69" s="173">
        <v>72</v>
      </c>
      <c r="BT69" s="167">
        <v>0</v>
      </c>
      <c r="BU69" s="231">
        <v>0</v>
      </c>
      <c r="BV69" s="167">
        <v>35</v>
      </c>
      <c r="BW69" s="174">
        <v>0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0</v>
      </c>
      <c r="CH69" s="166">
        <v>0</v>
      </c>
      <c r="CI69" s="166">
        <v>0</v>
      </c>
      <c r="CJ69" s="166">
        <v>0</v>
      </c>
      <c r="CK69" s="167">
        <v>0</v>
      </c>
      <c r="CL69" s="167">
        <v>0</v>
      </c>
    </row>
    <row r="70" spans="1:90" s="189" customFormat="1" ht="20.100000000000001" customHeight="1" outlineLevel="2" x14ac:dyDescent="0.25">
      <c r="A70" s="176" t="s">
        <v>367</v>
      </c>
      <c r="B70" s="176"/>
      <c r="C70" s="176"/>
      <c r="D70" s="176"/>
      <c r="E70" s="176"/>
      <c r="F70" s="176"/>
      <c r="G70" s="176"/>
      <c r="H70" s="202"/>
      <c r="I70" s="177"/>
      <c r="J70" s="178"/>
      <c r="K70" s="179"/>
      <c r="L70" s="181"/>
      <c r="M70" s="181"/>
      <c r="N70" s="181"/>
      <c r="O70" s="180"/>
      <c r="P70" s="182"/>
      <c r="Q70" s="182"/>
      <c r="R70" s="183">
        <v>0</v>
      </c>
      <c r="S70" s="183">
        <v>0</v>
      </c>
      <c r="T70" s="183">
        <v>0</v>
      </c>
      <c r="U70" s="248">
        <v>1360000</v>
      </c>
      <c r="V70" s="180"/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248">
        <v>1360000</v>
      </c>
      <c r="AD70" s="180">
        <v>0</v>
      </c>
      <c r="AE70" s="180">
        <v>0</v>
      </c>
      <c r="AF70" s="180">
        <v>0</v>
      </c>
      <c r="AG70" s="180">
        <v>0</v>
      </c>
      <c r="AH70" s="249">
        <v>0</v>
      </c>
      <c r="AI70" s="180">
        <v>0</v>
      </c>
      <c r="AJ70" s="180">
        <v>0</v>
      </c>
      <c r="AK70" s="250">
        <v>0</v>
      </c>
      <c r="AL70" s="184"/>
      <c r="AM70" s="180">
        <v>1360000</v>
      </c>
      <c r="AN70" s="184"/>
      <c r="AO70" s="181"/>
      <c r="AP70" s="180">
        <v>1360000</v>
      </c>
      <c r="AQ70" s="185"/>
      <c r="AR70" s="180"/>
      <c r="AS70" s="180"/>
      <c r="AT70" s="180">
        <v>0</v>
      </c>
      <c r="AU70" s="180">
        <v>0</v>
      </c>
      <c r="AV70" s="180">
        <v>0</v>
      </c>
      <c r="AW70" s="180">
        <v>0</v>
      </c>
      <c r="AX70" s="180">
        <v>0</v>
      </c>
      <c r="AY70" s="180">
        <v>0</v>
      </c>
      <c r="AZ70" s="180">
        <v>0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8"/>
      <c r="BM70" s="180"/>
      <c r="BN70" s="180"/>
      <c r="BO70" s="180"/>
      <c r="BP70" s="180"/>
      <c r="BQ70" s="181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343</v>
      </c>
      <c r="B71" s="137" t="s">
        <v>414</v>
      </c>
      <c r="C71" s="137" t="s">
        <v>382</v>
      </c>
      <c r="D71" s="137" t="s">
        <v>383</v>
      </c>
      <c r="E71" s="137" t="s">
        <v>218</v>
      </c>
      <c r="F71" s="137" t="s">
        <v>423</v>
      </c>
      <c r="G71" s="137" t="s">
        <v>415</v>
      </c>
      <c r="H71" s="137" t="s">
        <v>326</v>
      </c>
      <c r="I71" s="163" t="s">
        <v>321</v>
      </c>
      <c r="J71" s="165">
        <v>59891</v>
      </c>
      <c r="K71" s="165">
        <v>59891</v>
      </c>
      <c r="L71" s="167">
        <v>0</v>
      </c>
      <c r="M71" s="167">
        <v>0</v>
      </c>
      <c r="N71" s="167">
        <v>1</v>
      </c>
      <c r="O71" s="166">
        <v>5</v>
      </c>
      <c r="P71" s="168">
        <v>5</v>
      </c>
      <c r="Q71" s="168">
        <v>0</v>
      </c>
      <c r="R71" s="169" t="s">
        <v>424</v>
      </c>
      <c r="S71" s="169">
        <v>0</v>
      </c>
      <c r="T71" s="169">
        <v>0</v>
      </c>
      <c r="U71" s="245">
        <v>299455</v>
      </c>
      <c r="V71" s="166" t="s">
        <v>323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299455</v>
      </c>
      <c r="AD71" s="166">
        <v>0</v>
      </c>
      <c r="AE71" s="166">
        <v>0</v>
      </c>
      <c r="AF71" s="166">
        <v>0</v>
      </c>
      <c r="AG71" s="166">
        <v>0</v>
      </c>
      <c r="AH71" s="246">
        <v>29945.5</v>
      </c>
      <c r="AI71" s="166">
        <v>0</v>
      </c>
      <c r="AJ71" s="166">
        <v>-29945.5</v>
      </c>
      <c r="AK71" s="247">
        <v>0</v>
      </c>
      <c r="AL71" s="170">
        <v>0</v>
      </c>
      <c r="AM71" s="166">
        <v>269509.5</v>
      </c>
      <c r="AN71" s="167">
        <v>0</v>
      </c>
      <c r="AO71" s="170">
        <v>0</v>
      </c>
      <c r="AP71" s="166">
        <v>385548.3125</v>
      </c>
      <c r="AQ71" s="171">
        <v>1</v>
      </c>
      <c r="AR71" s="166">
        <v>299455</v>
      </c>
      <c r="AS71" s="166">
        <v>5</v>
      </c>
      <c r="AT71" s="166">
        <v>29945.5</v>
      </c>
      <c r="AU71" s="166">
        <v>0</v>
      </c>
      <c r="AV71" s="166">
        <v>-29945.5</v>
      </c>
      <c r="AW71" s="166">
        <v>0</v>
      </c>
      <c r="AX71" s="166">
        <v>29945.5</v>
      </c>
      <c r="AY71" s="166">
        <v>0</v>
      </c>
      <c r="AZ71" s="166">
        <v>-29945.5</v>
      </c>
      <c r="BA71" s="166">
        <v>0</v>
      </c>
      <c r="BB71" s="166">
        <v>5</v>
      </c>
      <c r="BC71" s="166">
        <v>5</v>
      </c>
      <c r="BD71" s="166">
        <v>29945.5</v>
      </c>
      <c r="BE71" s="166">
        <v>0</v>
      </c>
      <c r="BF71" s="166">
        <v>-29945.5</v>
      </c>
      <c r="BG71" s="166">
        <v>0</v>
      </c>
      <c r="BH71" s="166">
        <v>29945.5</v>
      </c>
      <c r="BI71" s="166">
        <v>0</v>
      </c>
      <c r="BJ71" s="166">
        <v>-29945.5</v>
      </c>
      <c r="BK71" s="166">
        <v>0</v>
      </c>
      <c r="BL71" s="166">
        <v>385548.3125</v>
      </c>
      <c r="BM71" s="166" t="s">
        <v>327</v>
      </c>
      <c r="BN71" s="166">
        <v>0</v>
      </c>
      <c r="BO71" s="166" t="b">
        <v>0</v>
      </c>
      <c r="BP71" s="166">
        <v>-29945.5</v>
      </c>
      <c r="BQ71" s="168">
        <v>1.1200000000000001</v>
      </c>
      <c r="BR71" s="167">
        <v>67077.919999999998</v>
      </c>
      <c r="BS71" s="173">
        <v>71</v>
      </c>
      <c r="BT71" s="167">
        <v>0</v>
      </c>
      <c r="BU71" s="231">
        <v>59891</v>
      </c>
      <c r="BV71" s="167">
        <v>7</v>
      </c>
      <c r="BW71" s="174">
        <v>5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29945.5</v>
      </c>
      <c r="CH71" s="166">
        <v>0</v>
      </c>
      <c r="CI71" s="166">
        <v>-29945.5</v>
      </c>
      <c r="CJ71" s="166">
        <v>0</v>
      </c>
      <c r="CK71" s="167">
        <v>0</v>
      </c>
      <c r="CL71" s="167">
        <v>0</v>
      </c>
    </row>
    <row r="72" spans="1:90" outlineLevel="3" x14ac:dyDescent="0.25">
      <c r="A72" s="137" t="s">
        <v>343</v>
      </c>
      <c r="B72" s="137" t="s">
        <v>414</v>
      </c>
      <c r="C72" s="137" t="s">
        <v>382</v>
      </c>
      <c r="D72" s="137" t="s">
        <v>383</v>
      </c>
      <c r="E72" s="137" t="s">
        <v>524</v>
      </c>
      <c r="F72" s="137" t="s">
        <v>523</v>
      </c>
      <c r="G72" s="137" t="s">
        <v>415</v>
      </c>
      <c r="H72" s="137" t="s">
        <v>326</v>
      </c>
      <c r="I72" s="163" t="s">
        <v>321</v>
      </c>
      <c r="J72" s="165">
        <v>1339286</v>
      </c>
      <c r="K72" s="165">
        <v>1339286</v>
      </c>
      <c r="L72" s="167">
        <v>0</v>
      </c>
      <c r="M72" s="167">
        <v>0.03</v>
      </c>
      <c r="N72" s="167">
        <v>1</v>
      </c>
      <c r="O72" s="166">
        <v>14.75</v>
      </c>
      <c r="P72" s="168">
        <v>14.3125</v>
      </c>
      <c r="Q72" s="168">
        <v>0.4375</v>
      </c>
      <c r="R72" s="169">
        <v>0</v>
      </c>
      <c r="S72" s="169">
        <v>0</v>
      </c>
      <c r="T72" s="169">
        <v>0</v>
      </c>
      <c r="U72" s="245">
        <v>19754468.5</v>
      </c>
      <c r="V72" s="166" t="s">
        <v>323</v>
      </c>
      <c r="W72" s="166">
        <v>592634.05499999993</v>
      </c>
      <c r="X72" s="166">
        <v>0</v>
      </c>
      <c r="Y72" s="166">
        <v>592634.05499999993</v>
      </c>
      <c r="Z72" s="166">
        <v>0</v>
      </c>
      <c r="AA72" s="166">
        <v>0</v>
      </c>
      <c r="AB72" s="166">
        <v>0</v>
      </c>
      <c r="AC72" s="245">
        <v>19168530.875</v>
      </c>
      <c r="AD72" s="166">
        <v>585937.625</v>
      </c>
      <c r="AE72" s="166">
        <v>0</v>
      </c>
      <c r="AF72" s="166">
        <v>-585937.625</v>
      </c>
      <c r="AG72" s="166">
        <v>0</v>
      </c>
      <c r="AH72" s="246">
        <v>-3348215</v>
      </c>
      <c r="AI72" s="166">
        <v>0</v>
      </c>
      <c r="AJ72" s="166">
        <v>3348215</v>
      </c>
      <c r="AK72" s="247">
        <v>0</v>
      </c>
      <c r="AL72" s="170">
        <v>0</v>
      </c>
      <c r="AM72" s="166">
        <v>23102683.5</v>
      </c>
      <c r="AN72" s="167">
        <v>0</v>
      </c>
      <c r="AO72" s="170">
        <v>0</v>
      </c>
      <c r="AP72" s="166">
        <v>0</v>
      </c>
      <c r="AQ72" s="171">
        <v>1</v>
      </c>
      <c r="AR72" s="166">
        <v>19754468.5</v>
      </c>
      <c r="AS72" s="166">
        <v>14.75</v>
      </c>
      <c r="AT72" s="166">
        <v>-3348215</v>
      </c>
      <c r="AU72" s="166">
        <v>0</v>
      </c>
      <c r="AV72" s="166">
        <v>3348215</v>
      </c>
      <c r="AW72" s="166">
        <v>0</v>
      </c>
      <c r="AX72" s="166">
        <v>-3348215</v>
      </c>
      <c r="AY72" s="166">
        <v>0</v>
      </c>
      <c r="AZ72" s="166">
        <v>3348215</v>
      </c>
      <c r="BA72" s="166">
        <v>0</v>
      </c>
      <c r="BB72" s="166">
        <v>14.75</v>
      </c>
      <c r="BC72" s="166">
        <v>14.3125</v>
      </c>
      <c r="BD72" s="166">
        <v>-3934152.625</v>
      </c>
      <c r="BE72" s="166">
        <v>0</v>
      </c>
      <c r="BF72" s="166">
        <v>3934152.625</v>
      </c>
      <c r="BG72" s="166">
        <v>0</v>
      </c>
      <c r="BH72" s="166">
        <v>-3934152.625</v>
      </c>
      <c r="BI72" s="166">
        <v>0</v>
      </c>
      <c r="BJ72" s="166">
        <v>3934152.625</v>
      </c>
      <c r="BK72" s="166">
        <v>0</v>
      </c>
      <c r="BL72" s="166">
        <v>0</v>
      </c>
      <c r="BM72" s="166" t="s">
        <v>327</v>
      </c>
      <c r="BN72" s="166">
        <v>0</v>
      </c>
      <c r="BO72" s="166" t="b">
        <v>0</v>
      </c>
      <c r="BP72" s="166">
        <v>3934152.625</v>
      </c>
      <c r="BQ72" s="168">
        <v>0</v>
      </c>
      <c r="BR72" s="167">
        <v>0</v>
      </c>
      <c r="BS72" s="173">
        <v>71</v>
      </c>
      <c r="BT72" s="167">
        <v>585937.625</v>
      </c>
      <c r="BU72" s="231">
        <v>1339286</v>
      </c>
      <c r="BV72" s="167">
        <v>22</v>
      </c>
      <c r="BW72" s="174">
        <v>14.75</v>
      </c>
      <c r="BX72" s="174">
        <v>0</v>
      </c>
      <c r="BY72" s="166">
        <v>0</v>
      </c>
      <c r="BZ72" s="166">
        <v>0</v>
      </c>
      <c r="CA72" s="166">
        <v>0</v>
      </c>
      <c r="CB72" s="166">
        <v>0</v>
      </c>
      <c r="CC72" s="166">
        <v>0</v>
      </c>
      <c r="CD72" s="166">
        <v>0</v>
      </c>
      <c r="CE72" s="166">
        <v>0</v>
      </c>
      <c r="CF72" s="166">
        <v>0</v>
      </c>
      <c r="CG72" s="166">
        <v>-3934152.625</v>
      </c>
      <c r="CH72" s="166">
        <v>0</v>
      </c>
      <c r="CI72" s="166">
        <v>3934152.625</v>
      </c>
      <c r="CJ72" s="166">
        <v>0</v>
      </c>
      <c r="CK72" s="167">
        <v>0.03</v>
      </c>
      <c r="CL72" s="167">
        <v>0</v>
      </c>
    </row>
    <row r="73" spans="1:90" s="189" customFormat="1" ht="20.100000000000001" customHeight="1" outlineLevel="2" x14ac:dyDescent="0.25">
      <c r="A73" s="176" t="s">
        <v>344</v>
      </c>
      <c r="B73" s="176"/>
      <c r="C73" s="176"/>
      <c r="D73" s="176"/>
      <c r="E73" s="176"/>
      <c r="F73" s="176"/>
      <c r="G73" s="176"/>
      <c r="H73" s="176"/>
      <c r="I73" s="177"/>
      <c r="J73" s="179"/>
      <c r="K73" s="179"/>
      <c r="L73" s="181"/>
      <c r="M73" s="181"/>
      <c r="N73" s="181"/>
      <c r="O73" s="180"/>
      <c r="P73" s="182"/>
      <c r="Q73" s="182"/>
      <c r="R73" s="183">
        <v>0</v>
      </c>
      <c r="S73" s="183">
        <v>0</v>
      </c>
      <c r="T73" s="183">
        <v>0</v>
      </c>
      <c r="U73" s="248">
        <v>20053923.5</v>
      </c>
      <c r="V73" s="180"/>
      <c r="W73" s="180">
        <v>592634.05499999993</v>
      </c>
      <c r="X73" s="180">
        <v>0</v>
      </c>
      <c r="Y73" s="180">
        <v>592634.05499999993</v>
      </c>
      <c r="Z73" s="180">
        <v>0</v>
      </c>
      <c r="AA73" s="180">
        <v>0</v>
      </c>
      <c r="AB73" s="180">
        <v>0</v>
      </c>
      <c r="AC73" s="248">
        <v>19467985.875</v>
      </c>
      <c r="AD73" s="180">
        <v>585937.625</v>
      </c>
      <c r="AE73" s="180">
        <v>0</v>
      </c>
      <c r="AF73" s="180">
        <v>-585937.625</v>
      </c>
      <c r="AG73" s="180">
        <v>0</v>
      </c>
      <c r="AH73" s="249">
        <v>-3318269.5</v>
      </c>
      <c r="AI73" s="180">
        <v>0</v>
      </c>
      <c r="AJ73" s="180">
        <v>3318269.5</v>
      </c>
      <c r="AK73" s="250">
        <v>0</v>
      </c>
      <c r="AL73" s="184"/>
      <c r="AM73" s="180">
        <v>23372193</v>
      </c>
      <c r="AN73" s="181"/>
      <c r="AO73" s="184"/>
      <c r="AP73" s="180">
        <v>385548.3125</v>
      </c>
      <c r="AQ73" s="185"/>
      <c r="AR73" s="180"/>
      <c r="AS73" s="180"/>
      <c r="AT73" s="180">
        <v>-3318269.5</v>
      </c>
      <c r="AU73" s="180">
        <v>0</v>
      </c>
      <c r="AV73" s="180">
        <v>3318269.5</v>
      </c>
      <c r="AW73" s="180">
        <v>0</v>
      </c>
      <c r="AX73" s="180">
        <v>-3318269.5</v>
      </c>
      <c r="AY73" s="180">
        <v>0</v>
      </c>
      <c r="AZ73" s="180">
        <v>3318269.5</v>
      </c>
      <c r="BA73" s="180">
        <v>0</v>
      </c>
      <c r="BB73" s="180"/>
      <c r="BC73" s="180"/>
      <c r="BD73" s="180"/>
      <c r="BE73" s="180"/>
      <c r="BF73" s="180"/>
      <c r="BG73" s="180"/>
      <c r="BH73" s="180"/>
      <c r="BI73" s="180"/>
      <c r="BJ73" s="180"/>
      <c r="BK73" s="180"/>
      <c r="BL73" s="180"/>
      <c r="BM73" s="180"/>
      <c r="BN73" s="180"/>
      <c r="BO73" s="180"/>
      <c r="BP73" s="180"/>
      <c r="BQ73" s="182"/>
      <c r="BR73" s="181"/>
      <c r="BS73" s="187"/>
      <c r="BT73" s="181"/>
      <c r="BU73" s="224"/>
      <c r="BV73" s="181"/>
      <c r="BW73" s="188"/>
      <c r="BX73" s="188"/>
      <c r="BY73" s="180"/>
      <c r="BZ73" s="180"/>
      <c r="CA73" s="180">
        <v>0</v>
      </c>
      <c r="CB73" s="180"/>
      <c r="CC73" s="180"/>
      <c r="CD73" s="180"/>
      <c r="CE73" s="180"/>
      <c r="CF73" s="180"/>
      <c r="CG73" s="180"/>
      <c r="CH73" s="180"/>
      <c r="CI73" s="180"/>
      <c r="CJ73" s="180"/>
      <c r="CK73" s="181"/>
      <c r="CL73" s="181"/>
    </row>
    <row r="74" spans="1:90" outlineLevel="3" x14ac:dyDescent="0.25">
      <c r="A74" s="137" t="s">
        <v>360</v>
      </c>
      <c r="B74" s="137" t="s">
        <v>414</v>
      </c>
      <c r="C74" s="137" t="s">
        <v>382</v>
      </c>
      <c r="D74" s="137" t="s">
        <v>383</v>
      </c>
      <c r="E74" s="137" t="s">
        <v>219</v>
      </c>
      <c r="F74" s="137" t="s">
        <v>196</v>
      </c>
      <c r="G74" s="137" t="s">
        <v>415</v>
      </c>
      <c r="H74" s="137" t="s">
        <v>320</v>
      </c>
      <c r="I74" s="163" t="s">
        <v>361</v>
      </c>
      <c r="J74" s="165">
        <v>1</v>
      </c>
      <c r="K74" s="165">
        <v>1</v>
      </c>
      <c r="L74" s="167">
        <v>0</v>
      </c>
      <c r="M74" s="167">
        <v>0</v>
      </c>
      <c r="N74" s="167">
        <v>0</v>
      </c>
      <c r="O74" s="166">
        <v>2013591.6599838899</v>
      </c>
      <c r="P74" s="167">
        <v>2013591.6599838899</v>
      </c>
      <c r="Q74" s="167">
        <v>0</v>
      </c>
      <c r="R74" s="169" t="s">
        <v>425</v>
      </c>
      <c r="S74" s="169">
        <v>0</v>
      </c>
      <c r="T74" s="169">
        <v>0</v>
      </c>
      <c r="U74" s="245">
        <v>2013591.6599838899</v>
      </c>
      <c r="V74" s="166" t="s">
        <v>323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2013591.6599838899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2013591.6599838899</v>
      </c>
      <c r="AN74" s="167">
        <v>0</v>
      </c>
      <c r="AO74" s="170">
        <v>0</v>
      </c>
      <c r="AP74" s="166">
        <v>2002698.811523003</v>
      </c>
      <c r="AQ74" s="171">
        <v>1</v>
      </c>
      <c r="AR74" s="166">
        <v>0</v>
      </c>
      <c r="AS74" s="166">
        <v>2013591.6599838899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2002698.811523003</v>
      </c>
      <c r="BM74" s="166" t="s">
        <v>327</v>
      </c>
      <c r="BN74" s="166">
        <v>0</v>
      </c>
      <c r="BO74" s="166" t="b">
        <v>0</v>
      </c>
      <c r="BP74" s="166">
        <v>0</v>
      </c>
      <c r="BQ74" s="168">
        <v>0</v>
      </c>
      <c r="BR74" s="167">
        <v>0</v>
      </c>
      <c r="BS74" s="173">
        <v>79</v>
      </c>
      <c r="BT74" s="167">
        <v>0</v>
      </c>
      <c r="BU74" s="231">
        <v>0</v>
      </c>
      <c r="BV74" s="167">
        <v>157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363</v>
      </c>
      <c r="B75" s="176"/>
      <c r="C75" s="176"/>
      <c r="D75" s="176"/>
      <c r="E75" s="176"/>
      <c r="F75" s="176"/>
      <c r="G75" s="176"/>
      <c r="H75" s="176"/>
      <c r="I75" s="177"/>
      <c r="J75" s="179"/>
      <c r="K75" s="179"/>
      <c r="L75" s="181"/>
      <c r="M75" s="181"/>
      <c r="N75" s="181"/>
      <c r="O75" s="180"/>
      <c r="P75" s="181"/>
      <c r="Q75" s="181"/>
      <c r="R75" s="183">
        <v>0</v>
      </c>
      <c r="S75" s="183">
        <v>0</v>
      </c>
      <c r="T75" s="183">
        <v>0</v>
      </c>
      <c r="U75" s="248">
        <v>2013591.6599838899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2013591.6599838899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2013591.6599838899</v>
      </c>
      <c r="AN75" s="181"/>
      <c r="AO75" s="184"/>
      <c r="AP75" s="180">
        <v>2002698.811523003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2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403</v>
      </c>
      <c r="B76" s="137" t="s">
        <v>414</v>
      </c>
      <c r="C76" s="137" t="s">
        <v>382</v>
      </c>
      <c r="D76" s="137" t="s">
        <v>383</v>
      </c>
      <c r="E76" s="137" t="s">
        <v>220</v>
      </c>
      <c r="F76" s="137" t="s">
        <v>404</v>
      </c>
      <c r="G76" s="137" t="s">
        <v>512</v>
      </c>
      <c r="H76" s="137" t="s">
        <v>353</v>
      </c>
      <c r="I76" s="163" t="s">
        <v>353</v>
      </c>
      <c r="J76" s="164">
        <v>1</v>
      </c>
      <c r="K76" s="165">
        <v>1</v>
      </c>
      <c r="L76" s="167">
        <v>0</v>
      </c>
      <c r="M76" s="167">
        <v>0</v>
      </c>
      <c r="N76" s="167">
        <v>1</v>
      </c>
      <c r="O76" s="166">
        <v>23513434.5</v>
      </c>
      <c r="P76" s="167">
        <v>23513434.5</v>
      </c>
      <c r="Q76" s="167">
        <v>0</v>
      </c>
      <c r="R76" s="169" t="s">
        <v>426</v>
      </c>
      <c r="S76" s="169">
        <v>0</v>
      </c>
      <c r="T76" s="169">
        <v>0</v>
      </c>
      <c r="U76" s="245">
        <v>23513434.5</v>
      </c>
      <c r="V76" s="166" t="s">
        <v>323</v>
      </c>
      <c r="W76" s="166">
        <v>0</v>
      </c>
      <c r="X76" s="166">
        <v>0</v>
      </c>
      <c r="Y76" s="166">
        <v>0</v>
      </c>
      <c r="Z76" s="166">
        <v>0</v>
      </c>
      <c r="AA76" s="166">
        <v>0</v>
      </c>
      <c r="AB76" s="166">
        <v>0</v>
      </c>
      <c r="AC76" s="245">
        <v>23513434.5</v>
      </c>
      <c r="AD76" s="166">
        <v>0</v>
      </c>
      <c r="AE76" s="166">
        <v>0</v>
      </c>
      <c r="AF76" s="166">
        <v>0</v>
      </c>
      <c r="AG76" s="166">
        <v>0</v>
      </c>
      <c r="AH76" s="246">
        <v>0</v>
      </c>
      <c r="AI76" s="166">
        <v>0</v>
      </c>
      <c r="AJ76" s="166">
        <v>0</v>
      </c>
      <c r="AK76" s="247">
        <v>0</v>
      </c>
      <c r="AL76" s="170">
        <v>0</v>
      </c>
      <c r="AM76" s="166">
        <v>23513434.5</v>
      </c>
      <c r="AN76" s="170">
        <v>0</v>
      </c>
      <c r="AO76" s="170">
        <v>0</v>
      </c>
      <c r="AP76" s="166">
        <v>23513434.5</v>
      </c>
      <c r="AQ76" s="171">
        <v>1</v>
      </c>
      <c r="AR76" s="166">
        <v>23513434.5</v>
      </c>
      <c r="AS76" s="166">
        <v>23513434.5</v>
      </c>
      <c r="AT76" s="166">
        <v>0</v>
      </c>
      <c r="AU76" s="166">
        <v>0</v>
      </c>
      <c r="AV76" s="166">
        <v>0</v>
      </c>
      <c r="AW76" s="166">
        <v>0</v>
      </c>
      <c r="AX76" s="166">
        <v>0</v>
      </c>
      <c r="AY76" s="166">
        <v>0</v>
      </c>
      <c r="AZ76" s="166">
        <v>0</v>
      </c>
      <c r="BA76" s="166">
        <v>0</v>
      </c>
      <c r="BB76" s="166" t="s">
        <v>196</v>
      </c>
      <c r="BC76" s="166" t="s">
        <v>196</v>
      </c>
      <c r="BD76" s="166">
        <v>0</v>
      </c>
      <c r="BE76" s="166">
        <v>0</v>
      </c>
      <c r="BF76" s="166">
        <v>0</v>
      </c>
      <c r="BG76" s="166">
        <v>0</v>
      </c>
      <c r="BH76" s="166">
        <v>0</v>
      </c>
      <c r="BI76" s="166">
        <v>0</v>
      </c>
      <c r="BJ76" s="166">
        <v>0</v>
      </c>
      <c r="BK76" s="166">
        <v>0</v>
      </c>
      <c r="BL76" s="166">
        <v>23513434.5</v>
      </c>
      <c r="BM76" s="166" t="s">
        <v>324</v>
      </c>
      <c r="BN76" s="166">
        <v>0</v>
      </c>
      <c r="BO76" s="166" t="b">
        <v>0</v>
      </c>
      <c r="BP76" s="166">
        <v>0</v>
      </c>
      <c r="BQ76" s="167">
        <v>0</v>
      </c>
      <c r="BR76" s="167">
        <v>0</v>
      </c>
      <c r="BS76" s="173">
        <v>74</v>
      </c>
      <c r="BT76" s="167">
        <v>0</v>
      </c>
      <c r="BU76" s="231">
        <v>0</v>
      </c>
      <c r="BV76" s="167">
        <v>81</v>
      </c>
      <c r="BW76" s="174">
        <v>0</v>
      </c>
      <c r="BX76" s="174">
        <v>0</v>
      </c>
      <c r="BY76" s="166">
        <v>0</v>
      </c>
      <c r="BZ76" s="166">
        <v>0</v>
      </c>
      <c r="CA76" s="166">
        <v>0</v>
      </c>
      <c r="CB76" s="166">
        <v>0</v>
      </c>
      <c r="CC76" s="166">
        <v>0</v>
      </c>
      <c r="CD76" s="166">
        <v>0</v>
      </c>
      <c r="CE76" s="166">
        <v>0</v>
      </c>
      <c r="CF76" s="166">
        <v>0</v>
      </c>
      <c r="CG76" s="166">
        <v>0</v>
      </c>
      <c r="CH76" s="166">
        <v>0</v>
      </c>
      <c r="CI76" s="166">
        <v>0</v>
      </c>
      <c r="CJ76" s="166">
        <v>0</v>
      </c>
      <c r="CK76" s="167">
        <v>0</v>
      </c>
      <c r="CL76" s="167">
        <v>0</v>
      </c>
    </row>
    <row r="77" spans="1:90" outlineLevel="3" x14ac:dyDescent="0.25">
      <c r="A77" s="137" t="s">
        <v>403</v>
      </c>
      <c r="B77" s="137" t="s">
        <v>414</v>
      </c>
      <c r="C77" s="137" t="s">
        <v>382</v>
      </c>
      <c r="D77" s="137" t="s">
        <v>383</v>
      </c>
      <c r="E77" s="137" t="s">
        <v>221</v>
      </c>
      <c r="F77" s="137" t="s">
        <v>404</v>
      </c>
      <c r="G77" s="137" t="s">
        <v>415</v>
      </c>
      <c r="H77" s="137" t="s">
        <v>353</v>
      </c>
      <c r="I77" s="163" t="s">
        <v>353</v>
      </c>
      <c r="J77" s="164">
        <v>1</v>
      </c>
      <c r="K77" s="165">
        <v>1</v>
      </c>
      <c r="L77" s="167">
        <v>0</v>
      </c>
      <c r="M77" s="167">
        <v>0</v>
      </c>
      <c r="N77" s="167">
        <v>1</v>
      </c>
      <c r="O77" s="166">
        <v>1374750</v>
      </c>
      <c r="P77" s="167">
        <v>1374750</v>
      </c>
      <c r="Q77" s="167">
        <v>0</v>
      </c>
      <c r="R77" s="169" t="s">
        <v>427</v>
      </c>
      <c r="S77" s="169">
        <v>0</v>
      </c>
      <c r="T77" s="169">
        <v>0</v>
      </c>
      <c r="U77" s="245">
        <v>1374750</v>
      </c>
      <c r="V77" s="166" t="s">
        <v>323</v>
      </c>
      <c r="W77" s="166">
        <v>0</v>
      </c>
      <c r="X77" s="166">
        <v>0</v>
      </c>
      <c r="Y77" s="166">
        <v>0</v>
      </c>
      <c r="Z77" s="166">
        <v>0</v>
      </c>
      <c r="AA77" s="166">
        <v>0</v>
      </c>
      <c r="AB77" s="166">
        <v>0</v>
      </c>
      <c r="AC77" s="245">
        <v>1374750</v>
      </c>
      <c r="AD77" s="166">
        <v>0</v>
      </c>
      <c r="AE77" s="166">
        <v>0</v>
      </c>
      <c r="AF77" s="166">
        <v>0</v>
      </c>
      <c r="AG77" s="166">
        <v>0</v>
      </c>
      <c r="AH77" s="246">
        <v>0</v>
      </c>
      <c r="AI77" s="166">
        <v>0</v>
      </c>
      <c r="AJ77" s="166">
        <v>0</v>
      </c>
      <c r="AK77" s="247">
        <v>0</v>
      </c>
      <c r="AL77" s="170">
        <v>0</v>
      </c>
      <c r="AM77" s="166">
        <v>1374750</v>
      </c>
      <c r="AN77" s="170">
        <v>0</v>
      </c>
      <c r="AO77" s="170">
        <v>0</v>
      </c>
      <c r="AP77" s="166">
        <v>1374750</v>
      </c>
      <c r="AQ77" s="171">
        <v>1</v>
      </c>
      <c r="AR77" s="166">
        <v>1374750</v>
      </c>
      <c r="AS77" s="166">
        <v>1374750</v>
      </c>
      <c r="AT77" s="166">
        <v>0</v>
      </c>
      <c r="AU77" s="166">
        <v>0</v>
      </c>
      <c r="AV77" s="166">
        <v>0</v>
      </c>
      <c r="AW77" s="166">
        <v>0</v>
      </c>
      <c r="AX77" s="166">
        <v>0</v>
      </c>
      <c r="AY77" s="166">
        <v>0</v>
      </c>
      <c r="AZ77" s="166">
        <v>0</v>
      </c>
      <c r="BA77" s="166">
        <v>0</v>
      </c>
      <c r="BB77" s="166" t="s">
        <v>196</v>
      </c>
      <c r="BC77" s="166" t="s">
        <v>196</v>
      </c>
      <c r="BD77" s="166">
        <v>0</v>
      </c>
      <c r="BE77" s="166">
        <v>0</v>
      </c>
      <c r="BF77" s="166">
        <v>0</v>
      </c>
      <c r="BG77" s="166">
        <v>0</v>
      </c>
      <c r="BH77" s="166">
        <v>0</v>
      </c>
      <c r="BI77" s="166">
        <v>0</v>
      </c>
      <c r="BJ77" s="166">
        <v>0</v>
      </c>
      <c r="BK77" s="166">
        <v>0</v>
      </c>
      <c r="BL77" s="166">
        <v>1374750</v>
      </c>
      <c r="BM77" s="166" t="s">
        <v>324</v>
      </c>
      <c r="BN77" s="166">
        <v>0</v>
      </c>
      <c r="BO77" s="166" t="b">
        <v>0</v>
      </c>
      <c r="BP77" s="166">
        <v>0</v>
      </c>
      <c r="BQ77" s="167">
        <v>0</v>
      </c>
      <c r="BR77" s="167">
        <v>0</v>
      </c>
      <c r="BS77" s="173">
        <v>74</v>
      </c>
      <c r="BT77" s="167">
        <v>0</v>
      </c>
      <c r="BU77" s="231">
        <v>0</v>
      </c>
      <c r="BV77" s="167">
        <v>83</v>
      </c>
      <c r="BW77" s="174">
        <v>0</v>
      </c>
      <c r="BX77" s="174">
        <v>0</v>
      </c>
      <c r="BY77" s="166">
        <v>0</v>
      </c>
      <c r="BZ77" s="166">
        <v>0</v>
      </c>
      <c r="CA77" s="166">
        <v>0</v>
      </c>
      <c r="CB77" s="166">
        <v>0</v>
      </c>
      <c r="CC77" s="166">
        <v>0</v>
      </c>
      <c r="CD77" s="166">
        <v>0</v>
      </c>
      <c r="CE77" s="166">
        <v>0</v>
      </c>
      <c r="CF77" s="166">
        <v>0</v>
      </c>
      <c r="CG77" s="166">
        <v>0</v>
      </c>
      <c r="CH77" s="166">
        <v>0</v>
      </c>
      <c r="CI77" s="166">
        <v>0</v>
      </c>
      <c r="CJ77" s="166">
        <v>0</v>
      </c>
      <c r="CK77" s="167">
        <v>0</v>
      </c>
      <c r="CL77" s="167">
        <v>0</v>
      </c>
    </row>
    <row r="78" spans="1:90" s="189" customFormat="1" ht="20.100000000000001" customHeight="1" outlineLevel="2" x14ac:dyDescent="0.25">
      <c r="A78" s="176" t="s">
        <v>406</v>
      </c>
      <c r="B78" s="176"/>
      <c r="C78" s="176"/>
      <c r="D78" s="176"/>
      <c r="E78" s="176"/>
      <c r="F78" s="176"/>
      <c r="G78" s="176"/>
      <c r="H78" s="176"/>
      <c r="I78" s="177"/>
      <c r="J78" s="178"/>
      <c r="K78" s="179"/>
      <c r="L78" s="181"/>
      <c r="M78" s="181"/>
      <c r="N78" s="181"/>
      <c r="O78" s="180"/>
      <c r="P78" s="181"/>
      <c r="Q78" s="181"/>
      <c r="R78" s="183">
        <v>0</v>
      </c>
      <c r="S78" s="183">
        <v>0</v>
      </c>
      <c r="T78" s="183">
        <v>0</v>
      </c>
      <c r="U78" s="248">
        <v>24888184.5</v>
      </c>
      <c r="V78" s="180"/>
      <c r="W78" s="180">
        <v>0</v>
      </c>
      <c r="X78" s="180">
        <v>0</v>
      </c>
      <c r="Y78" s="180">
        <v>0</v>
      </c>
      <c r="Z78" s="180">
        <v>0</v>
      </c>
      <c r="AA78" s="180">
        <v>0</v>
      </c>
      <c r="AB78" s="180">
        <v>0</v>
      </c>
      <c r="AC78" s="248">
        <v>24888184.5</v>
      </c>
      <c r="AD78" s="180">
        <v>0</v>
      </c>
      <c r="AE78" s="180">
        <v>0</v>
      </c>
      <c r="AF78" s="180">
        <v>0</v>
      </c>
      <c r="AG78" s="180">
        <v>0</v>
      </c>
      <c r="AH78" s="249">
        <v>0</v>
      </c>
      <c r="AI78" s="180">
        <v>0</v>
      </c>
      <c r="AJ78" s="180">
        <v>0</v>
      </c>
      <c r="AK78" s="250">
        <v>0</v>
      </c>
      <c r="AL78" s="184"/>
      <c r="AM78" s="180">
        <v>24888184.5</v>
      </c>
      <c r="AN78" s="184"/>
      <c r="AO78" s="184"/>
      <c r="AP78" s="180">
        <v>24888184.5</v>
      </c>
      <c r="AQ78" s="185"/>
      <c r="AR78" s="180"/>
      <c r="AS78" s="180"/>
      <c r="AT78" s="180">
        <v>0</v>
      </c>
      <c r="AU78" s="180">
        <v>0</v>
      </c>
      <c r="AV78" s="180">
        <v>0</v>
      </c>
      <c r="AW78" s="180">
        <v>0</v>
      </c>
      <c r="AX78" s="180">
        <v>0</v>
      </c>
      <c r="AY78" s="180">
        <v>0</v>
      </c>
      <c r="AZ78" s="180">
        <v>0</v>
      </c>
      <c r="BA78" s="180">
        <v>0</v>
      </c>
      <c r="BB78" s="180"/>
      <c r="BC78" s="180"/>
      <c r="BD78" s="180"/>
      <c r="BE78" s="180"/>
      <c r="BF78" s="180"/>
      <c r="BG78" s="180"/>
      <c r="BH78" s="180"/>
      <c r="BI78" s="180"/>
      <c r="BJ78" s="180"/>
      <c r="BK78" s="180"/>
      <c r="BL78" s="180"/>
      <c r="BM78" s="180"/>
      <c r="BN78" s="180"/>
      <c r="BO78" s="180"/>
      <c r="BP78" s="180"/>
      <c r="BQ78" s="181"/>
      <c r="BR78" s="181"/>
      <c r="BS78" s="187"/>
      <c r="BT78" s="181"/>
      <c r="BU78" s="224"/>
      <c r="BV78" s="181"/>
      <c r="BW78" s="188"/>
      <c r="BX78" s="188"/>
      <c r="BY78" s="180"/>
      <c r="BZ78" s="180"/>
      <c r="CA78" s="180">
        <v>0</v>
      </c>
      <c r="CB78" s="180"/>
      <c r="CC78" s="180"/>
      <c r="CD78" s="180"/>
      <c r="CE78" s="180"/>
      <c r="CF78" s="180"/>
      <c r="CG78" s="180"/>
      <c r="CH78" s="180"/>
      <c r="CI78" s="180"/>
      <c r="CJ78" s="180"/>
      <c r="CK78" s="181"/>
      <c r="CL78" s="181"/>
    </row>
    <row r="79" spans="1:90" outlineLevel="3" x14ac:dyDescent="0.25">
      <c r="A79" s="137" t="s">
        <v>554</v>
      </c>
      <c r="B79" s="137" t="s">
        <v>414</v>
      </c>
      <c r="C79" s="137" t="s">
        <v>382</v>
      </c>
      <c r="D79" s="137" t="s">
        <v>383</v>
      </c>
      <c r="E79" s="137" t="s">
        <v>555</v>
      </c>
      <c r="F79" s="137" t="s">
        <v>528</v>
      </c>
      <c r="G79" s="137" t="s">
        <v>352</v>
      </c>
      <c r="H79" s="137" t="s">
        <v>326</v>
      </c>
      <c r="I79" s="163" t="s">
        <v>321</v>
      </c>
      <c r="J79" s="165">
        <v>3314340</v>
      </c>
      <c r="K79" s="165">
        <v>3314340</v>
      </c>
      <c r="L79" s="167">
        <v>0</v>
      </c>
      <c r="M79" s="167">
        <v>0.62</v>
      </c>
      <c r="N79" s="167">
        <v>1</v>
      </c>
      <c r="O79" s="166">
        <v>37.49</v>
      </c>
      <c r="P79" s="168">
        <v>37.1875</v>
      </c>
      <c r="Q79" s="168">
        <v>0.30250000000000199</v>
      </c>
      <c r="R79" s="169" t="s">
        <v>529</v>
      </c>
      <c r="S79" s="169">
        <v>0</v>
      </c>
      <c r="T79" s="169">
        <v>0</v>
      </c>
      <c r="U79" s="245">
        <v>124254606.60000001</v>
      </c>
      <c r="V79" s="166" t="s">
        <v>551</v>
      </c>
      <c r="W79" s="166">
        <v>77037856.092000008</v>
      </c>
      <c r="X79" s="166">
        <v>0</v>
      </c>
      <c r="Y79" s="166">
        <v>77037856.092000008</v>
      </c>
      <c r="Z79" s="166">
        <v>0</v>
      </c>
      <c r="AA79" s="166">
        <v>0</v>
      </c>
      <c r="AB79" s="166">
        <v>0</v>
      </c>
      <c r="AC79" s="245">
        <v>123252018.75</v>
      </c>
      <c r="AD79" s="166">
        <v>1002587.8500000089</v>
      </c>
      <c r="AE79" s="166">
        <v>0</v>
      </c>
      <c r="AF79" s="166">
        <v>-1002587.8500000089</v>
      </c>
      <c r="AG79" s="166">
        <v>0</v>
      </c>
      <c r="AH79" s="246">
        <v>-24476400.899999991</v>
      </c>
      <c r="AI79" s="166">
        <v>0</v>
      </c>
      <c r="AJ79" s="166">
        <v>24476400.899999991</v>
      </c>
      <c r="AK79" s="247">
        <v>0</v>
      </c>
      <c r="AL79" s="170">
        <v>0</v>
      </c>
      <c r="AM79" s="166">
        <v>0</v>
      </c>
      <c r="AN79" s="167">
        <v>0</v>
      </c>
      <c r="AO79" s="170">
        <v>0</v>
      </c>
      <c r="AP79" s="166">
        <v>0</v>
      </c>
      <c r="AQ79" s="171">
        <v>1</v>
      </c>
      <c r="AR79" s="166">
        <v>124254606.60000001</v>
      </c>
      <c r="AS79" s="166">
        <v>37.49</v>
      </c>
      <c r="AT79" s="166">
        <v>-24476400.899999991</v>
      </c>
      <c r="AU79" s="166">
        <v>0</v>
      </c>
      <c r="AV79" s="166">
        <v>24476400.899999991</v>
      </c>
      <c r="AW79" s="166">
        <v>0</v>
      </c>
      <c r="AX79" s="166">
        <v>-24476400.899999991</v>
      </c>
      <c r="AY79" s="166">
        <v>0</v>
      </c>
      <c r="AZ79" s="166">
        <v>24476400.899999991</v>
      </c>
      <c r="BA79" s="166">
        <v>0</v>
      </c>
      <c r="BB79" s="166">
        <v>37.49</v>
      </c>
      <c r="BC79" s="166">
        <v>37.1875</v>
      </c>
      <c r="BD79" s="166">
        <v>-25478988.75</v>
      </c>
      <c r="BE79" s="166">
        <v>0</v>
      </c>
      <c r="BF79" s="166">
        <v>25478988.75</v>
      </c>
      <c r="BG79" s="166">
        <v>0</v>
      </c>
      <c r="BH79" s="166">
        <v>-25478988.75</v>
      </c>
      <c r="BI79" s="166">
        <v>0</v>
      </c>
      <c r="BJ79" s="166">
        <v>25478988.75</v>
      </c>
      <c r="BK79" s="166">
        <v>0</v>
      </c>
      <c r="BL79" s="166">
        <v>0</v>
      </c>
      <c r="BM79" s="166" t="s">
        <v>327</v>
      </c>
      <c r="BN79" s="166">
        <v>0</v>
      </c>
      <c r="BO79" s="166" t="b">
        <v>0</v>
      </c>
      <c r="BP79" s="166">
        <v>25478988.75</v>
      </c>
      <c r="BQ79" s="168">
        <v>11.95</v>
      </c>
      <c r="BR79" s="167">
        <v>39606363</v>
      </c>
      <c r="BS79" s="173">
        <v>82</v>
      </c>
      <c r="BT79" s="167">
        <v>1002587.8500000089</v>
      </c>
      <c r="BU79" s="231">
        <v>3314340</v>
      </c>
      <c r="BV79" s="167">
        <v>9</v>
      </c>
      <c r="BW79" s="174">
        <v>37.49</v>
      </c>
      <c r="BX79" s="174">
        <v>0</v>
      </c>
      <c r="BY79" s="166">
        <v>0</v>
      </c>
      <c r="BZ79" s="166">
        <v>148731007.5</v>
      </c>
      <c r="CA79" s="166">
        <v>148731007.5</v>
      </c>
      <c r="CB79" s="166">
        <v>148731007.5</v>
      </c>
      <c r="CC79" s="166">
        <v>0</v>
      </c>
      <c r="CD79" s="166">
        <v>0</v>
      </c>
      <c r="CE79" s="166">
        <v>0</v>
      </c>
      <c r="CF79" s="166">
        <v>0</v>
      </c>
      <c r="CG79" s="166">
        <v>-25478988.75</v>
      </c>
      <c r="CH79" s="166">
        <v>0</v>
      </c>
      <c r="CI79" s="166">
        <v>25478988.75</v>
      </c>
      <c r="CJ79" s="166">
        <v>0</v>
      </c>
      <c r="CK79" s="167">
        <v>0.62</v>
      </c>
      <c r="CL79" s="167">
        <v>0</v>
      </c>
    </row>
    <row r="80" spans="1:90" s="189" customFormat="1" ht="20.100000000000001" customHeight="1" outlineLevel="2" x14ac:dyDescent="0.25">
      <c r="A80" s="176" t="s">
        <v>556</v>
      </c>
      <c r="B80" s="176"/>
      <c r="C80" s="176"/>
      <c r="D80" s="176"/>
      <c r="E80" s="176"/>
      <c r="F80" s="176"/>
      <c r="G80" s="176"/>
      <c r="H80" s="176"/>
      <c r="I80" s="177"/>
      <c r="J80" s="179"/>
      <c r="K80" s="179"/>
      <c r="L80" s="181"/>
      <c r="M80" s="181"/>
      <c r="N80" s="181"/>
      <c r="O80" s="180"/>
      <c r="P80" s="182"/>
      <c r="Q80" s="182"/>
      <c r="R80" s="183">
        <v>0</v>
      </c>
      <c r="S80" s="183">
        <v>0</v>
      </c>
      <c r="T80" s="183">
        <v>0</v>
      </c>
      <c r="U80" s="248">
        <v>124254606.60000001</v>
      </c>
      <c r="V80" s="180"/>
      <c r="W80" s="180">
        <v>77037856.092000008</v>
      </c>
      <c r="X80" s="180">
        <v>0</v>
      </c>
      <c r="Y80" s="180">
        <v>77037856.092000008</v>
      </c>
      <c r="Z80" s="180">
        <v>0</v>
      </c>
      <c r="AA80" s="180">
        <v>0</v>
      </c>
      <c r="AB80" s="180">
        <v>0</v>
      </c>
      <c r="AC80" s="248">
        <v>123252018.75</v>
      </c>
      <c r="AD80" s="180">
        <v>1002587.8500000089</v>
      </c>
      <c r="AE80" s="180">
        <v>0</v>
      </c>
      <c r="AF80" s="180">
        <v>-1002587.8500000089</v>
      </c>
      <c r="AG80" s="180">
        <v>0</v>
      </c>
      <c r="AH80" s="249">
        <v>-24476400.899999991</v>
      </c>
      <c r="AI80" s="180">
        <v>0</v>
      </c>
      <c r="AJ80" s="180">
        <v>24476400.899999991</v>
      </c>
      <c r="AK80" s="250">
        <v>0</v>
      </c>
      <c r="AL80" s="184"/>
      <c r="AM80" s="180">
        <v>0</v>
      </c>
      <c r="AN80" s="181"/>
      <c r="AO80" s="184"/>
      <c r="AP80" s="180">
        <v>0</v>
      </c>
      <c r="AQ80" s="185"/>
      <c r="AR80" s="180"/>
      <c r="AS80" s="180"/>
      <c r="AT80" s="180">
        <v>-24476400.899999991</v>
      </c>
      <c r="AU80" s="180">
        <v>0</v>
      </c>
      <c r="AV80" s="180">
        <v>24476400.899999991</v>
      </c>
      <c r="AW80" s="180">
        <v>0</v>
      </c>
      <c r="AX80" s="180">
        <v>-24476400.899999991</v>
      </c>
      <c r="AY80" s="180">
        <v>0</v>
      </c>
      <c r="AZ80" s="180">
        <v>24476400.899999991</v>
      </c>
      <c r="BA80" s="180">
        <v>0</v>
      </c>
      <c r="BB80" s="180"/>
      <c r="BC80" s="180"/>
      <c r="BD80" s="180"/>
      <c r="BE80" s="180"/>
      <c r="BF80" s="180"/>
      <c r="BG80" s="180"/>
      <c r="BH80" s="180"/>
      <c r="BI80" s="180"/>
      <c r="BJ80" s="180"/>
      <c r="BK80" s="180"/>
      <c r="BL80" s="180"/>
      <c r="BM80" s="180"/>
      <c r="BN80" s="180"/>
      <c r="BO80" s="180"/>
      <c r="BP80" s="180"/>
      <c r="BQ80" s="182"/>
      <c r="BR80" s="181"/>
      <c r="BS80" s="187"/>
      <c r="BT80" s="181"/>
      <c r="BU80" s="224"/>
      <c r="BV80" s="181"/>
      <c r="BW80" s="188"/>
      <c r="BX80" s="188"/>
      <c r="BY80" s="180"/>
      <c r="BZ80" s="180"/>
      <c r="CA80" s="180">
        <v>148731007.5</v>
      </c>
      <c r="CB80" s="180"/>
      <c r="CC80" s="180"/>
      <c r="CD80" s="180"/>
      <c r="CE80" s="180"/>
      <c r="CF80" s="180"/>
      <c r="CG80" s="180"/>
      <c r="CH80" s="180"/>
      <c r="CI80" s="180"/>
      <c r="CJ80" s="180"/>
      <c r="CK80" s="181"/>
      <c r="CL80" s="181"/>
    </row>
    <row r="81" spans="1:90" s="200" customFormat="1" ht="30" customHeight="1" outlineLevel="1" x14ac:dyDescent="0.25">
      <c r="A81" s="176"/>
      <c r="B81" s="176" t="s">
        <v>428</v>
      </c>
      <c r="C81" s="176"/>
      <c r="D81" s="176"/>
      <c r="E81" s="176"/>
      <c r="F81" s="176"/>
      <c r="G81" s="176"/>
      <c r="H81" s="176"/>
      <c r="I81" s="177"/>
      <c r="J81" s="190"/>
      <c r="K81" s="190"/>
      <c r="L81" s="192"/>
      <c r="M81" s="192"/>
      <c r="N81" s="192"/>
      <c r="O81" s="191"/>
      <c r="P81" s="193"/>
      <c r="Q81" s="193"/>
      <c r="R81" s="194">
        <v>0</v>
      </c>
      <c r="S81" s="194">
        <v>0</v>
      </c>
      <c r="T81" s="194">
        <v>0</v>
      </c>
      <c r="U81" s="251">
        <v>256693931.2599839</v>
      </c>
      <c r="V81" s="191"/>
      <c r="W81" s="191">
        <v>77630490.147000015</v>
      </c>
      <c r="X81" s="191">
        <v>0</v>
      </c>
      <c r="Y81" s="191">
        <v>77630490.147000015</v>
      </c>
      <c r="Z81" s="191">
        <v>0</v>
      </c>
      <c r="AA81" s="191">
        <v>0</v>
      </c>
      <c r="AB81" s="191">
        <v>0</v>
      </c>
      <c r="AC81" s="251">
        <v>255105405.78498387</v>
      </c>
      <c r="AD81" s="191">
        <v>1588525.4750000089</v>
      </c>
      <c r="AE81" s="191">
        <v>0</v>
      </c>
      <c r="AF81" s="191">
        <v>-1588525.4750000089</v>
      </c>
      <c r="AG81" s="191">
        <v>0</v>
      </c>
      <c r="AH81" s="252">
        <v>-27794670.399999991</v>
      </c>
      <c r="AI81" s="191">
        <v>0</v>
      </c>
      <c r="AJ81" s="191">
        <v>27794670.399999991</v>
      </c>
      <c r="AK81" s="253">
        <v>0</v>
      </c>
      <c r="AL81" s="195"/>
      <c r="AM81" s="191">
        <v>135757594.15998387</v>
      </c>
      <c r="AN81" s="192"/>
      <c r="AO81" s="195"/>
      <c r="AP81" s="191">
        <v>112760056.62402301</v>
      </c>
      <c r="AQ81" s="196"/>
      <c r="AR81" s="191"/>
      <c r="AS81" s="191"/>
      <c r="AT81" s="191">
        <v>-27794670.399999991</v>
      </c>
      <c r="AU81" s="191">
        <v>0</v>
      </c>
      <c r="AV81" s="191">
        <v>27794670.399999991</v>
      </c>
      <c r="AW81" s="191">
        <v>0</v>
      </c>
      <c r="AX81" s="191">
        <v>-27794670.399999991</v>
      </c>
      <c r="AY81" s="191">
        <v>0</v>
      </c>
      <c r="AZ81" s="191">
        <v>27794670.399999991</v>
      </c>
      <c r="BA81" s="191">
        <v>0</v>
      </c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3"/>
      <c r="BR81" s="192"/>
      <c r="BS81" s="198"/>
      <c r="BT81" s="192"/>
      <c r="BU81" s="225"/>
      <c r="BV81" s="192"/>
      <c r="BW81" s="199"/>
      <c r="BX81" s="199"/>
      <c r="BY81" s="191"/>
      <c r="BZ81" s="191"/>
      <c r="CA81" s="191">
        <v>148731007.5</v>
      </c>
      <c r="CB81" s="191"/>
      <c r="CC81" s="191"/>
      <c r="CD81" s="191"/>
      <c r="CE81" s="191"/>
      <c r="CF81" s="191"/>
      <c r="CG81" s="191"/>
      <c r="CH81" s="191"/>
      <c r="CI81" s="191"/>
      <c r="CJ81" s="191"/>
      <c r="CK81" s="192"/>
      <c r="CL81" s="192"/>
    </row>
    <row r="82" spans="1:90" s="189" customFormat="1" ht="20.100000000000001" hidden="1" customHeight="1" x14ac:dyDescent="0.25">
      <c r="A82" s="176" t="s">
        <v>429</v>
      </c>
      <c r="B82" s="176"/>
      <c r="C82" s="176"/>
      <c r="D82" s="176"/>
      <c r="E82" s="176"/>
      <c r="F82" s="176"/>
      <c r="G82" s="176"/>
      <c r="H82" s="176"/>
      <c r="I82" s="177"/>
      <c r="J82" s="179"/>
      <c r="K82" s="179"/>
      <c r="L82" s="181"/>
      <c r="M82" s="181"/>
      <c r="N82" s="181"/>
      <c r="O82" s="180"/>
      <c r="P82" s="182"/>
      <c r="Q82" s="182"/>
      <c r="R82" s="183">
        <v>0</v>
      </c>
      <c r="S82" s="183">
        <v>0</v>
      </c>
      <c r="T82" s="183">
        <v>0</v>
      </c>
      <c r="U82" s="248">
        <v>482320764.92470896</v>
      </c>
      <c r="V82" s="180"/>
      <c r="W82" s="180">
        <v>78359891.912587538</v>
      </c>
      <c r="X82" s="180">
        <v>0</v>
      </c>
      <c r="Y82" s="180">
        <v>78359891.912587538</v>
      </c>
      <c r="Z82" s="180">
        <v>0</v>
      </c>
      <c r="AA82" s="180">
        <v>0</v>
      </c>
      <c r="AB82" s="180">
        <v>0</v>
      </c>
      <c r="AC82" s="248">
        <v>582236334.54828382</v>
      </c>
      <c r="AD82" s="180">
        <v>-99090800.193574756</v>
      </c>
      <c r="AE82" s="180">
        <v>0</v>
      </c>
      <c r="AF82" s="180">
        <v>99090800.193574756</v>
      </c>
      <c r="AG82" s="180">
        <v>0</v>
      </c>
      <c r="AH82" s="249">
        <v>-134600811.5789018</v>
      </c>
      <c r="AI82" s="180">
        <v>0</v>
      </c>
      <c r="AJ82" s="180">
        <v>134600811.5789018</v>
      </c>
      <c r="AK82" s="250">
        <v>0</v>
      </c>
      <c r="AL82" s="184"/>
      <c r="AM82" s="180">
        <v>385997193.01694417</v>
      </c>
      <c r="AN82" s="181"/>
      <c r="AO82" s="184"/>
      <c r="AP82" s="180">
        <v>389569041.5048303</v>
      </c>
      <c r="AQ82" s="185"/>
      <c r="AR82" s="180"/>
      <c r="AS82" s="180"/>
      <c r="AT82" s="180">
        <v>-134600811.5789018</v>
      </c>
      <c r="AU82" s="180">
        <v>0</v>
      </c>
      <c r="AV82" s="180">
        <v>134600811.5789018</v>
      </c>
      <c r="AW82" s="180">
        <v>0</v>
      </c>
      <c r="AX82" s="180">
        <v>-134600811.5789018</v>
      </c>
      <c r="AY82" s="180">
        <v>0</v>
      </c>
      <c r="AZ82" s="180">
        <v>134600811.5789018</v>
      </c>
      <c r="BA82" s="180">
        <v>0</v>
      </c>
      <c r="BB82" s="180"/>
      <c r="BC82" s="180"/>
      <c r="BD82" s="180"/>
      <c r="BE82" s="180"/>
      <c r="BF82" s="180"/>
      <c r="BG82" s="180"/>
      <c r="BH82" s="180"/>
      <c r="BI82" s="180"/>
      <c r="BJ82" s="180"/>
      <c r="BK82" s="180"/>
      <c r="BL82" s="180"/>
      <c r="BM82" s="180"/>
      <c r="BN82" s="180"/>
      <c r="BO82" s="180"/>
      <c r="BP82" s="180"/>
      <c r="BQ82" s="182"/>
      <c r="BR82" s="181"/>
      <c r="BS82" s="187"/>
      <c r="BT82" s="181"/>
      <c r="BU82" s="224"/>
      <c r="BV82" s="181"/>
      <c r="BW82" s="188"/>
      <c r="BX82" s="188"/>
      <c r="BY82" s="180"/>
      <c r="BZ82" s="180"/>
      <c r="CA82" s="180">
        <v>230924383.48666668</v>
      </c>
      <c r="CB82" s="180"/>
      <c r="CC82" s="180"/>
      <c r="CD82" s="180"/>
      <c r="CE82" s="180"/>
      <c r="CF82" s="180"/>
      <c r="CG82" s="180"/>
      <c r="CH82" s="180"/>
      <c r="CI82" s="180"/>
      <c r="CJ82" s="180"/>
      <c r="CK82" s="181"/>
      <c r="CL82" s="181"/>
    </row>
    <row r="83" spans="1:90" s="200" customFormat="1" ht="30" customHeight="1" thickBot="1" x14ac:dyDescent="0.3">
      <c r="A83" s="203"/>
      <c r="B83" s="203" t="s">
        <v>429</v>
      </c>
      <c r="C83" s="203"/>
      <c r="D83" s="203"/>
      <c r="E83" s="203"/>
      <c r="F83" s="203"/>
      <c r="G83" s="203"/>
      <c r="H83" s="203"/>
      <c r="I83" s="204"/>
      <c r="J83" s="205"/>
      <c r="K83" s="205"/>
      <c r="L83" s="206"/>
      <c r="M83" s="206"/>
      <c r="N83" s="206"/>
      <c r="O83" s="207"/>
      <c r="P83" s="278"/>
      <c r="Q83" s="278"/>
      <c r="R83" s="208">
        <v>0</v>
      </c>
      <c r="S83" s="208">
        <v>0</v>
      </c>
      <c r="T83" s="208">
        <v>0</v>
      </c>
      <c r="U83" s="254">
        <v>482320764.92470896</v>
      </c>
      <c r="V83" s="207"/>
      <c r="W83" s="207">
        <v>78359891.912587538</v>
      </c>
      <c r="X83" s="207">
        <v>0</v>
      </c>
      <c r="Y83" s="207">
        <v>78359891.912587538</v>
      </c>
      <c r="Z83" s="207">
        <v>0</v>
      </c>
      <c r="AA83" s="207">
        <v>0</v>
      </c>
      <c r="AB83" s="207">
        <v>0</v>
      </c>
      <c r="AC83" s="254">
        <v>582236334.54828382</v>
      </c>
      <c r="AD83" s="207">
        <v>-99090800.193574756</v>
      </c>
      <c r="AE83" s="207">
        <v>0</v>
      </c>
      <c r="AF83" s="207">
        <v>99090800.193574756</v>
      </c>
      <c r="AG83" s="207">
        <v>0</v>
      </c>
      <c r="AH83" s="255">
        <v>-134600811.5789018</v>
      </c>
      <c r="AI83" s="207">
        <v>0</v>
      </c>
      <c r="AJ83" s="207">
        <v>134600811.5789018</v>
      </c>
      <c r="AK83" s="256">
        <v>0</v>
      </c>
      <c r="AL83" s="209"/>
      <c r="AM83" s="207">
        <v>385997193.01694417</v>
      </c>
      <c r="AN83" s="206"/>
      <c r="AO83" s="209"/>
      <c r="AP83" s="207">
        <v>389569041.5048303</v>
      </c>
      <c r="AQ83" s="210"/>
      <c r="AR83" s="207"/>
      <c r="AS83" s="207"/>
      <c r="AT83" s="207">
        <v>-134600811.5789018</v>
      </c>
      <c r="AU83" s="207">
        <v>0</v>
      </c>
      <c r="AV83" s="207">
        <v>134600811.5789018</v>
      </c>
      <c r="AW83" s="207">
        <v>0</v>
      </c>
      <c r="AX83" s="207">
        <v>-134600811.5789018</v>
      </c>
      <c r="AY83" s="207">
        <v>0</v>
      </c>
      <c r="AZ83" s="207">
        <v>134600811.5789018</v>
      </c>
      <c r="BA83" s="207">
        <v>0</v>
      </c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07"/>
      <c r="BN83" s="207"/>
      <c r="BO83" s="207"/>
      <c r="BP83" s="207"/>
      <c r="BQ83" s="278"/>
      <c r="BR83" s="206"/>
      <c r="BS83" s="211"/>
      <c r="BT83" s="206"/>
      <c r="BU83" s="226"/>
      <c r="BV83" s="206"/>
      <c r="BW83" s="212"/>
      <c r="BX83" s="212"/>
      <c r="BY83" s="207"/>
      <c r="BZ83" s="207"/>
      <c r="CA83" s="207">
        <v>230924383.48666668</v>
      </c>
      <c r="CB83" s="207"/>
      <c r="CC83" s="207"/>
      <c r="CD83" s="207"/>
      <c r="CE83" s="207"/>
      <c r="CF83" s="207"/>
      <c r="CG83" s="207"/>
      <c r="CH83" s="207"/>
      <c r="CI83" s="207"/>
      <c r="CJ83" s="207"/>
      <c r="CK83" s="206"/>
      <c r="CL83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3:BL31 AC43 BL38:BL43 AP4:AP43 AM4:AM43 AM48:AM51 BL48:BL51 AC48:AC51 AP48:AP51 AC76:AC78 BL76:BL83 AM76:AM83 AP76:AP83">
    <cfRule type="cellIs" priority="1" stopIfTrue="1" operator="notEqual">
      <formula>"$BM$54"</formula>
    </cfRule>
  </conditionalFormatting>
  <conditionalFormatting sqref="BO4:BO83">
    <cfRule type="cellIs" dxfId="1" priority="2" stopIfTrue="1" operator="notEqual">
      <formula>FALSE</formula>
    </cfRule>
  </conditionalFormatting>
  <conditionalFormatting sqref="BN4:BN83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2001-01-30T18:01:57Z</cp:lastPrinted>
  <dcterms:created xsi:type="dcterms:W3CDTF">2000-08-10T21:11:42Z</dcterms:created>
  <dcterms:modified xsi:type="dcterms:W3CDTF">2023-09-17T17:10:48Z</dcterms:modified>
</cp:coreProperties>
</file>