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7CBCA5-60B1-45E4-A05F-C61C33DABD1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6" i="6"/>
  <c r="B48" i="6"/>
  <c r="B49" i="6"/>
  <c r="F49" i="6"/>
  <c r="B50" i="6"/>
  <c r="B53" i="6"/>
  <c r="B55" i="6"/>
  <c r="B58" i="6"/>
  <c r="B59" i="6"/>
  <c r="B60" i="6"/>
  <c r="B61" i="6"/>
  <c r="B62" i="6"/>
  <c r="B66" i="6"/>
  <c r="D67" i="6"/>
  <c r="D68" i="6"/>
  <c r="B69" i="6"/>
  <c r="D69" i="6"/>
  <c r="D70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P9" i="4"/>
  <c r="M10" i="4"/>
  <c r="P10" i="4"/>
  <c r="B11" i="4"/>
  <c r="E11" i="4"/>
  <c r="I11" i="4"/>
  <c r="M11" i="4"/>
  <c r="P11" i="4"/>
  <c r="I12" i="4"/>
  <c r="I13" i="4"/>
  <c r="M13" i="4"/>
  <c r="P13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I20" i="4"/>
  <c r="M20" i="4"/>
  <c r="O20" i="4"/>
  <c r="P20" i="4"/>
  <c r="E21" i="4"/>
  <c r="I21" i="4"/>
  <c r="P21" i="4"/>
  <c r="I22" i="4"/>
  <c r="P22" i="4"/>
  <c r="I23" i="4"/>
  <c r="P23" i="4"/>
  <c r="D24" i="4"/>
  <c r="E24" i="4"/>
  <c r="P24" i="4"/>
  <c r="E25" i="4"/>
  <c r="I25" i="4"/>
  <c r="P25" i="4"/>
  <c r="E26" i="4"/>
  <c r="P26" i="4"/>
  <c r="E27" i="4"/>
  <c r="P27" i="4"/>
  <c r="I28" i="4"/>
  <c r="P28" i="4"/>
  <c r="E29" i="4"/>
  <c r="I29" i="4"/>
  <c r="E30" i="4"/>
  <c r="I30" i="4"/>
  <c r="E31" i="4"/>
  <c r="I32" i="4"/>
  <c r="M32" i="4"/>
  <c r="I33" i="4"/>
  <c r="M33" i="4"/>
  <c r="I34" i="4"/>
  <c r="M34" i="4"/>
  <c r="I35" i="4"/>
  <c r="M35" i="4"/>
  <c r="I36" i="4"/>
  <c r="M36" i="4"/>
  <c r="I37" i="4"/>
  <c r="M37" i="4"/>
  <c r="M38" i="4"/>
  <c r="M39" i="4"/>
  <c r="M40" i="4"/>
  <c r="N40" i="4"/>
  <c r="M43" i="4"/>
  <c r="P43" i="4"/>
  <c r="P44" i="4"/>
  <c r="P45" i="4"/>
  <c r="P46" i="4"/>
  <c r="P49" i="4"/>
  <c r="D2" i="9"/>
  <c r="D3" i="9"/>
  <c r="E3" i="9"/>
  <c r="D4" i="9"/>
  <c r="E4" i="9"/>
  <c r="D5" i="9"/>
  <c r="E5" i="9"/>
  <c r="D7" i="9"/>
  <c r="E7" i="9"/>
  <c r="D8" i="9"/>
  <c r="D9" i="9"/>
  <c r="D11" i="9"/>
  <c r="E11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<sst xmlns="http://schemas.openxmlformats.org/spreadsheetml/2006/main" count="313" uniqueCount="226">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</sst>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21" sqref="C21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159" t="s">
        <v>193</v>
      </c>
      <c r="C2" s="159"/>
      <c r="D2" s="159"/>
      <c r="E2" s="159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36920</v>
      </c>
      <c r="D5" s="61" t="s">
        <v>16</v>
      </c>
      <c r="E5" s="62">
        <f>+C5-1</f>
        <v>36919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+Financials!I37</f>
        <v>191045594.87753209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3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25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25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25">
      <c r="A5" s="124"/>
      <c r="J5" s="4"/>
      <c r="L5" s="4"/>
      <c r="M5" s="4"/>
      <c r="N5" s="5"/>
      <c r="P5" s="4"/>
      <c r="Q5" s="4"/>
      <c r="R5" s="133"/>
      <c r="S5" s="125"/>
    </row>
    <row r="7" spans="1:20" ht="16.5" thickBot="1" x14ac:dyDescent="0.3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30" t="e">
        <f>+S9-'MRP Raptor'!U92+SUM(#REF!)+(+#REF!+#REF!)/0.6*0.3612</f>
        <v>#REF!</v>
      </c>
    </row>
    <row r="11" spans="1:20" x14ac:dyDescent="0.25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85" activePane="bottomLeft" state="frozen"/>
      <selection pane="bottomLeft" activeCell="A107" sqref="A107:B107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144" t="s">
        <v>148</v>
      </c>
      <c r="B1" s="118"/>
    </row>
    <row r="2" spans="1:2" x14ac:dyDescent="0.25">
      <c r="B2" s="119"/>
    </row>
    <row r="3" spans="1:2" x14ac:dyDescent="0.25">
      <c r="A3" s="164" t="s">
        <v>4</v>
      </c>
      <c r="B3" s="165"/>
    </row>
    <row r="4" spans="1:2" x14ac:dyDescent="0.25">
      <c r="A4" s="145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143">
        <v>36815</v>
      </c>
      <c r="B36" s="121">
        <v>80</v>
      </c>
    </row>
    <row r="37" spans="1:2" x14ac:dyDescent="0.25">
      <c r="A37" s="143">
        <v>36816</v>
      </c>
      <c r="B37" s="121">
        <v>79.188000000000002</v>
      </c>
    </row>
    <row r="38" spans="1:2" x14ac:dyDescent="0.25">
      <c r="A38" s="143">
        <v>36817</v>
      </c>
      <c r="B38" s="121">
        <v>78.75</v>
      </c>
    </row>
    <row r="39" spans="1:2" x14ac:dyDescent="0.25">
      <c r="A39" s="143">
        <v>36818</v>
      </c>
      <c r="B39" s="121">
        <v>79</v>
      </c>
    </row>
    <row r="40" spans="1:2" x14ac:dyDescent="0.25">
      <c r="A40" s="143">
        <v>36819</v>
      </c>
      <c r="B40" s="121">
        <v>80.5</v>
      </c>
    </row>
    <row r="41" spans="1:2" x14ac:dyDescent="0.25">
      <c r="A41" s="143">
        <v>36822</v>
      </c>
      <c r="B41" s="121">
        <v>82</v>
      </c>
    </row>
    <row r="42" spans="1:2" x14ac:dyDescent="0.25">
      <c r="A42" s="143">
        <v>36823</v>
      </c>
      <c r="B42" s="121">
        <v>80.1875</v>
      </c>
    </row>
    <row r="43" spans="1:2" x14ac:dyDescent="0.25">
      <c r="A43" s="143">
        <v>36824</v>
      </c>
      <c r="B43" s="121">
        <v>76.125</v>
      </c>
    </row>
    <row r="44" spans="1:2" x14ac:dyDescent="0.25">
      <c r="A44" s="143">
        <v>36825</v>
      </c>
      <c r="B44" s="121">
        <v>77.5</v>
      </c>
    </row>
    <row r="45" spans="1:2" x14ac:dyDescent="0.25">
      <c r="A45" s="143">
        <v>36826</v>
      </c>
      <c r="B45" s="121">
        <v>78.875</v>
      </c>
    </row>
    <row r="46" spans="1:2" x14ac:dyDescent="0.25">
      <c r="A46" s="143">
        <v>36829</v>
      </c>
      <c r="B46" s="121">
        <v>80.688000000000002</v>
      </c>
    </row>
    <row r="47" spans="1:2" x14ac:dyDescent="0.25">
      <c r="A47" s="143">
        <v>36830</v>
      </c>
      <c r="B47" s="121">
        <v>82.063000000000002</v>
      </c>
    </row>
    <row r="48" spans="1:2" x14ac:dyDescent="0.25">
      <c r="A48" s="143">
        <v>36831</v>
      </c>
      <c r="B48" s="121">
        <v>83.25</v>
      </c>
    </row>
    <row r="49" spans="1:2" x14ac:dyDescent="0.25">
      <c r="A49" s="143">
        <v>36832</v>
      </c>
      <c r="B49" s="121">
        <v>81.75</v>
      </c>
    </row>
    <row r="50" spans="1:2" x14ac:dyDescent="0.25">
      <c r="A50" s="143">
        <v>36833</v>
      </c>
      <c r="B50" s="121">
        <v>77.375</v>
      </c>
    </row>
    <row r="51" spans="1:2" x14ac:dyDescent="0.25">
      <c r="A51" s="143">
        <v>36836</v>
      </c>
      <c r="B51" s="121">
        <v>81.563000000000002</v>
      </c>
    </row>
    <row r="52" spans="1:2" x14ac:dyDescent="0.25">
      <c r="A52" s="143">
        <v>36837</v>
      </c>
      <c r="B52" s="121">
        <v>81.813000000000002</v>
      </c>
    </row>
    <row r="53" spans="1:2" x14ac:dyDescent="0.25">
      <c r="A53" s="143">
        <v>36838</v>
      </c>
      <c r="B53" s="121">
        <v>82.125</v>
      </c>
    </row>
    <row r="54" spans="1:2" x14ac:dyDescent="0.25">
      <c r="A54" s="143">
        <v>36839</v>
      </c>
      <c r="B54" s="121">
        <v>82.938000000000002</v>
      </c>
    </row>
    <row r="55" spans="1:2" x14ac:dyDescent="0.25">
      <c r="A55" s="143">
        <v>36840</v>
      </c>
      <c r="B55" s="121">
        <f>82+0.9375</f>
        <v>82.9375</v>
      </c>
    </row>
    <row r="56" spans="1:2" x14ac:dyDescent="0.25">
      <c r="A56" s="143">
        <v>36843</v>
      </c>
      <c r="B56" s="121">
        <v>79.438000000000002</v>
      </c>
    </row>
    <row r="57" spans="1:2" x14ac:dyDescent="0.25">
      <c r="A57" s="143">
        <v>36844</v>
      </c>
      <c r="B57" s="121">
        <v>79.563000000000002</v>
      </c>
    </row>
    <row r="58" spans="1:2" x14ac:dyDescent="0.25">
      <c r="A58" s="143">
        <v>36845</v>
      </c>
      <c r="B58" s="121">
        <v>80.375</v>
      </c>
    </row>
    <row r="59" spans="1:2" x14ac:dyDescent="0.25">
      <c r="A59" s="143">
        <v>36846</v>
      </c>
      <c r="B59" s="121">
        <v>81.25</v>
      </c>
    </row>
    <row r="60" spans="1:2" x14ac:dyDescent="0.25">
      <c r="A60" s="143">
        <v>36847</v>
      </c>
      <c r="B60" s="121">
        <v>81.5</v>
      </c>
    </row>
    <row r="61" spans="1:2" x14ac:dyDescent="0.25">
      <c r="A61" s="143">
        <v>36850</v>
      </c>
      <c r="B61" s="121">
        <v>80.25</v>
      </c>
    </row>
    <row r="62" spans="1:2" x14ac:dyDescent="0.25">
      <c r="A62" s="143">
        <v>36851</v>
      </c>
      <c r="B62" s="121">
        <v>80.375</v>
      </c>
    </row>
    <row r="63" spans="1:2" x14ac:dyDescent="0.25">
      <c r="A63" s="143">
        <v>36852</v>
      </c>
      <c r="B63" s="121">
        <v>75.563000000000002</v>
      </c>
    </row>
    <row r="64" spans="1:2" x14ac:dyDescent="0.25">
      <c r="A64" s="143">
        <v>36854</v>
      </c>
      <c r="B64" s="121">
        <v>77.75</v>
      </c>
    </row>
    <row r="65" spans="1:2" x14ac:dyDescent="0.25">
      <c r="A65" s="143">
        <v>36857</v>
      </c>
      <c r="B65" s="121">
        <v>78.875</v>
      </c>
    </row>
    <row r="66" spans="1:2" x14ac:dyDescent="0.25">
      <c r="A66" s="143">
        <v>36858</v>
      </c>
      <c r="B66" s="121">
        <v>78.438000000000002</v>
      </c>
    </row>
    <row r="67" spans="1:2" x14ac:dyDescent="0.25">
      <c r="A67" s="143">
        <v>36859</v>
      </c>
      <c r="B67" s="121">
        <v>70.25</v>
      </c>
    </row>
    <row r="68" spans="1:2" x14ac:dyDescent="0.25">
      <c r="A68" s="143">
        <v>36860</v>
      </c>
      <c r="B68" s="121">
        <v>64.75</v>
      </c>
    </row>
    <row r="69" spans="1:2" x14ac:dyDescent="0.25">
      <c r="A69" s="143">
        <v>36861</v>
      </c>
      <c r="B69" s="121">
        <v>65.5</v>
      </c>
    </row>
    <row r="70" spans="1:2" x14ac:dyDescent="0.25">
      <c r="A70" s="143">
        <v>36864</v>
      </c>
      <c r="B70" s="121">
        <v>65.938000000000002</v>
      </c>
    </row>
    <row r="71" spans="1:2" x14ac:dyDescent="0.25">
      <c r="A71" s="143">
        <v>36865</v>
      </c>
      <c r="B71" s="121">
        <v>68.25</v>
      </c>
    </row>
    <row r="72" spans="1:2" x14ac:dyDescent="0.25">
      <c r="A72" s="143">
        <v>36866</v>
      </c>
      <c r="B72" s="121">
        <v>71.938000000000002</v>
      </c>
    </row>
    <row r="73" spans="1:2" x14ac:dyDescent="0.25">
      <c r="A73" s="143">
        <v>36867</v>
      </c>
      <c r="B73" s="121">
        <v>72.875</v>
      </c>
    </row>
    <row r="74" spans="1:2" x14ac:dyDescent="0.25">
      <c r="A74" s="143">
        <v>36868</v>
      </c>
      <c r="B74" s="121">
        <v>73.063000000000002</v>
      </c>
    </row>
    <row r="75" spans="1:2" x14ac:dyDescent="0.25">
      <c r="A75" s="143">
        <v>36871</v>
      </c>
      <c r="B75" s="121">
        <v>76.5</v>
      </c>
    </row>
    <row r="76" spans="1:2" x14ac:dyDescent="0.25">
      <c r="A76" s="143">
        <v>36872</v>
      </c>
      <c r="B76" s="121">
        <v>77.188000000000002</v>
      </c>
    </row>
    <row r="77" spans="1:2" x14ac:dyDescent="0.25">
      <c r="A77" s="143">
        <v>36873</v>
      </c>
      <c r="B77" s="121">
        <v>74.5</v>
      </c>
    </row>
    <row r="78" spans="1:2" x14ac:dyDescent="0.25">
      <c r="A78" s="143">
        <v>36874</v>
      </c>
      <c r="B78" s="121">
        <v>76.5</v>
      </c>
    </row>
    <row r="79" spans="1:2" x14ac:dyDescent="0.25">
      <c r="A79" s="143">
        <v>36875</v>
      </c>
      <c r="B79" s="121">
        <v>77.563000000000002</v>
      </c>
    </row>
    <row r="80" spans="1:2" x14ac:dyDescent="0.25">
      <c r="A80" s="143">
        <v>36878</v>
      </c>
      <c r="B80" s="121">
        <v>79.563000000000002</v>
      </c>
    </row>
    <row r="81" spans="1:2" x14ac:dyDescent="0.25">
      <c r="A81" s="143">
        <v>36879</v>
      </c>
      <c r="B81" s="121">
        <v>79.75</v>
      </c>
    </row>
    <row r="82" spans="1:2" x14ac:dyDescent="0.25">
      <c r="A82" s="143">
        <v>36880</v>
      </c>
      <c r="B82" s="121">
        <v>79.75</v>
      </c>
    </row>
    <row r="83" spans="1:2" x14ac:dyDescent="0.25">
      <c r="A83" s="143">
        <v>36881</v>
      </c>
      <c r="B83" s="121">
        <v>79.313000000000002</v>
      </c>
    </row>
    <row r="84" spans="1:2" x14ac:dyDescent="0.25">
      <c r="A84" s="143">
        <v>36882</v>
      </c>
      <c r="B84" s="121">
        <v>81.188000000000002</v>
      </c>
    </row>
    <row r="85" spans="1:2" x14ac:dyDescent="0.25">
      <c r="A85" s="143">
        <v>36886</v>
      </c>
      <c r="B85" s="121">
        <v>83.5</v>
      </c>
    </row>
    <row r="86" spans="1:2" x14ac:dyDescent="0.25">
      <c r="A86" s="143">
        <v>36887</v>
      </c>
      <c r="B86" s="121">
        <v>82.813000000000002</v>
      </c>
    </row>
    <row r="87" spans="1:2" x14ac:dyDescent="0.25">
      <c r="A87" s="143">
        <v>36888</v>
      </c>
      <c r="B87" s="121">
        <v>84.625</v>
      </c>
    </row>
    <row r="88" spans="1:2" x14ac:dyDescent="0.25">
      <c r="A88" s="143">
        <v>36889</v>
      </c>
      <c r="B88" s="121">
        <v>83.125</v>
      </c>
    </row>
    <row r="89" spans="1:2" x14ac:dyDescent="0.25">
      <c r="A89" s="143">
        <v>36893</v>
      </c>
      <c r="B89" s="121">
        <v>79.875</v>
      </c>
    </row>
    <row r="90" spans="1:2" x14ac:dyDescent="0.25">
      <c r="A90" s="143">
        <v>36894</v>
      </c>
      <c r="B90" s="121">
        <v>75.063000000000002</v>
      </c>
    </row>
    <row r="91" spans="1:2" x14ac:dyDescent="0.25">
      <c r="A91" s="143">
        <v>36895</v>
      </c>
      <c r="B91" s="121">
        <v>72</v>
      </c>
    </row>
    <row r="92" spans="1:2" x14ac:dyDescent="0.25">
      <c r="A92" s="143">
        <v>36896</v>
      </c>
      <c r="B92" s="121">
        <v>71.375</v>
      </c>
    </row>
    <row r="93" spans="1:2" x14ac:dyDescent="0.25">
      <c r="A93" s="143">
        <v>36899</v>
      </c>
      <c r="B93" s="121">
        <v>71.25</v>
      </c>
    </row>
    <row r="94" spans="1:2" x14ac:dyDescent="0.25">
      <c r="A94" s="143">
        <v>36900</v>
      </c>
      <c r="B94" s="121">
        <v>68.625</v>
      </c>
    </row>
    <row r="95" spans="1:2" x14ac:dyDescent="0.25">
      <c r="A95" s="143">
        <v>36901</v>
      </c>
      <c r="B95" s="121">
        <v>68.938000000000002</v>
      </c>
    </row>
    <row r="96" spans="1:2" x14ac:dyDescent="0.25">
      <c r="A96" s="143">
        <v>36902</v>
      </c>
      <c r="B96" s="121">
        <v>69.438000000000002</v>
      </c>
    </row>
    <row r="97" spans="1:2" x14ac:dyDescent="0.25">
      <c r="A97" s="143">
        <v>36903</v>
      </c>
      <c r="B97" s="121">
        <v>70.438000000000002</v>
      </c>
    </row>
    <row r="98" spans="1:2" x14ac:dyDescent="0.25">
      <c r="A98" s="143">
        <v>36907</v>
      </c>
      <c r="B98" s="121">
        <v>68.438000000000002</v>
      </c>
    </row>
    <row r="99" spans="1:2" x14ac:dyDescent="0.25">
      <c r="A99" s="143">
        <v>36908</v>
      </c>
      <c r="B99" s="121">
        <v>71.125</v>
      </c>
    </row>
    <row r="100" spans="1:2" x14ac:dyDescent="0.25">
      <c r="A100" s="143">
        <v>36909</v>
      </c>
      <c r="B100" s="121">
        <v>72.063000000000002</v>
      </c>
    </row>
    <row r="101" spans="1:2" x14ac:dyDescent="0.25">
      <c r="A101" s="143">
        <v>36910</v>
      </c>
      <c r="B101" s="121">
        <v>70.875</v>
      </c>
    </row>
    <row r="102" spans="1:2" x14ac:dyDescent="0.25">
      <c r="A102" s="143">
        <v>36913</v>
      </c>
      <c r="B102" s="121">
        <v>75.0625</v>
      </c>
    </row>
    <row r="103" spans="1:2" x14ac:dyDescent="0.25">
      <c r="A103" s="143">
        <v>36914</v>
      </c>
      <c r="B103" s="121">
        <v>78.563000000000002</v>
      </c>
    </row>
    <row r="104" spans="1:2" x14ac:dyDescent="0.25">
      <c r="A104" s="143">
        <v>36915</v>
      </c>
      <c r="B104" s="121">
        <v>79.75</v>
      </c>
    </row>
    <row r="105" spans="1:2" x14ac:dyDescent="0.25">
      <c r="A105" s="143">
        <v>36916</v>
      </c>
      <c r="B105" s="121">
        <v>82</v>
      </c>
    </row>
    <row r="106" spans="1:2" x14ac:dyDescent="0.25">
      <c r="A106" s="143">
        <v>36917</v>
      </c>
      <c r="B106" s="121">
        <v>82</v>
      </c>
    </row>
    <row r="107" spans="1:2" x14ac:dyDescent="0.25">
      <c r="A107" s="143">
        <v>36920</v>
      </c>
      <c r="B107" s="121">
        <v>80.77</v>
      </c>
    </row>
    <row r="258" ht="14.25" customHeight="1" x14ac:dyDescent="0.25"/>
    <row r="375" spans="1:2" x14ac:dyDescent="0.25">
      <c r="A375" s="1" t="s">
        <v>154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143" customWidth="1"/>
  </cols>
  <sheetData>
    <row r="1" spans="1:1" x14ac:dyDescent="0.25">
      <c r="A1" s="140" t="s">
        <v>148</v>
      </c>
    </row>
    <row r="2" spans="1:1" s="96" customFormat="1" x14ac:dyDescent="0.25">
      <c r="A2" s="141"/>
    </row>
    <row r="3" spans="1:1" s="132" customFormat="1" x14ac:dyDescent="0.25">
      <c r="A3" s="142" t="s">
        <v>1</v>
      </c>
    </row>
    <row r="257" ht="14.25" customHeight="1" x14ac:dyDescent="0.25"/>
    <row r="374" spans="1:1" x14ac:dyDescent="0.25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2" workbookViewId="0">
      <selection activeCell="P10" sqref="P10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188</v>
      </c>
      <c r="H2" s="166">
        <f>+Summary!C5</f>
        <v>36920</v>
      </c>
      <c r="I2" s="166"/>
      <c r="J2" s="90"/>
      <c r="L2" s="166">
        <f>H2</f>
        <v>36920</v>
      </c>
      <c r="M2" s="166"/>
      <c r="N2" s="166"/>
      <c r="O2" s="166"/>
      <c r="P2" s="166"/>
    </row>
    <row r="3" spans="1:18" ht="16.5" thickBot="1" x14ac:dyDescent="0.3">
      <c r="A3" s="1">
        <v>36769</v>
      </c>
      <c r="H3" s="167" t="s">
        <v>91</v>
      </c>
      <c r="I3" s="167"/>
      <c r="J3" s="91"/>
      <c r="L3" s="167" t="s">
        <v>91</v>
      </c>
      <c r="M3" s="167"/>
      <c r="N3" s="167"/>
      <c r="O3" s="167"/>
      <c r="P3" s="167"/>
    </row>
    <row r="4" spans="1:18" x14ac:dyDescent="0.25">
      <c r="A4" s="168" t="s">
        <v>190</v>
      </c>
      <c r="B4" s="168"/>
      <c r="C4" s="168"/>
      <c r="D4" s="168"/>
      <c r="E4" s="168"/>
      <c r="F4" s="168"/>
      <c r="H4" s="112" t="s">
        <v>92</v>
      </c>
      <c r="I4" s="113"/>
      <c r="J4" s="13"/>
    </row>
    <row r="5" spans="1:18" ht="16.5" thickBot="1" x14ac:dyDescent="0.3">
      <c r="A5" s="170" t="s">
        <v>28</v>
      </c>
      <c r="B5" s="170"/>
      <c r="D5" s="170" t="s">
        <v>29</v>
      </c>
      <c r="E5" s="170"/>
      <c r="H5" s="114" t="s">
        <v>93</v>
      </c>
      <c r="I5" s="122">
        <f>+VLOOKUP(+Summary!C5,ene,2)</f>
        <v>80.77</v>
      </c>
      <c r="J5" s="13"/>
      <c r="L5" s="168" t="s">
        <v>113</v>
      </c>
      <c r="M5" s="168"/>
      <c r="N5" s="168"/>
      <c r="O5" s="168"/>
      <c r="P5" s="168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36920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2" t="s">
        <v>149</v>
      </c>
      <c r="I7" s="173"/>
      <c r="J7" s="13"/>
      <c r="L7" s="170" t="s">
        <v>28</v>
      </c>
      <c r="M7" s="170"/>
      <c r="O7" s="170" t="s">
        <v>29</v>
      </c>
      <c r="P7" s="170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32746060.367837697</v>
      </c>
      <c r="O8" s="7" t="s">
        <v>101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25">
      <c r="D10" s="7" t="s">
        <v>4</v>
      </c>
      <c r="E10" s="7">
        <v>1000</v>
      </c>
      <c r="H10" s="171" t="s">
        <v>95</v>
      </c>
      <c r="I10" s="171"/>
      <c r="J10" s="13"/>
      <c r="L10" s="7" t="s">
        <v>36</v>
      </c>
      <c r="M10" s="7">
        <f>B8+I15+I20</f>
        <v>375776605.91381276</v>
      </c>
      <c r="N10" s="18"/>
      <c r="O10" s="7" t="s">
        <v>222</v>
      </c>
      <c r="P10" s="7">
        <f>IF(I19&lt;0,-I19,0)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36920</v>
      </c>
      <c r="J11" s="13"/>
      <c r="L11" s="7" t="s">
        <v>40</v>
      </c>
      <c r="M11" s="7">
        <f>+Amort!B28</f>
        <v>1468055.5555555555</v>
      </c>
      <c r="O11" s="7" t="s">
        <v>34</v>
      </c>
      <c r="P11" s="7">
        <f>E7-I16+'Cash-Int-Trans'!B9</f>
        <v>418229256.04586112</v>
      </c>
      <c r="R11" s="3"/>
    </row>
    <row r="12" spans="1:18" ht="16.5" thickTop="1" x14ac:dyDescent="0.25">
      <c r="H12" s="13" t="s">
        <v>107</v>
      </c>
      <c r="I12" s="16">
        <f>+'Cash-Int-Trans'!B6</f>
        <v>34518969</v>
      </c>
      <c r="J12" s="29" t="s">
        <v>81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2214744.3678376786</v>
      </c>
      <c r="J13" s="29"/>
      <c r="L13" s="7" t="s">
        <v>225</v>
      </c>
      <c r="M13" s="7">
        <f>IF(I19&gt;0,I19,0)</f>
        <v>14107080.350000026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30000000</v>
      </c>
      <c r="Q13" s="102" t="s">
        <v>143</v>
      </c>
    </row>
    <row r="14" spans="1:18" x14ac:dyDescent="0.25">
      <c r="C14" s="24"/>
      <c r="D14" s="25"/>
      <c r="E14" s="26"/>
      <c r="H14" s="13" t="s">
        <v>181</v>
      </c>
      <c r="I14" s="16">
        <f>+Amort!B29</f>
        <v>1468055.5555555555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25868546.141344905</v>
      </c>
    </row>
    <row r="15" spans="1:18" ht="16.5" thickBot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25776605.913812786</v>
      </c>
      <c r="J15" s="32" t="s">
        <v>53</v>
      </c>
      <c r="L15" s="85" t="s">
        <v>7</v>
      </c>
      <c r="M15" s="12">
        <f>SUM(M8:M14)</f>
        <v>474097802.18720603</v>
      </c>
      <c r="N15" s="20"/>
      <c r="O15" s="85" t="s">
        <v>7</v>
      </c>
      <c r="P15" s="12">
        <f>SUM(P8:P14)</f>
        <v>474097802.18720603</v>
      </c>
      <c r="Q15" s="101" t="s">
        <v>142</v>
      </c>
    </row>
    <row r="16" spans="1:18" ht="16.5" thickTop="1" x14ac:dyDescent="0.25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-11748225.04586111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52230149.791344911</v>
      </c>
      <c r="L17" s="135" t="s">
        <v>44</v>
      </c>
      <c r="M17" s="134"/>
      <c r="N17" s="134"/>
      <c r="O17" s="134"/>
      <c r="P17" s="134"/>
      <c r="Q17" s="16"/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474097802.18720603</v>
      </c>
      <c r="Q18" s="101" t="s">
        <v>142</v>
      </c>
    </row>
    <row r="19" spans="1:20" ht="16.5" thickTop="1" x14ac:dyDescent="0.25">
      <c r="H19" s="7" t="s">
        <v>221</v>
      </c>
      <c r="I19" s="7">
        <f>IF(I5&lt;83,(83-I5)*(D14+D15),IF(I5&gt;112.418,(112.418-I5)*(+D14+D15),0))</f>
        <v>14107080.350000026</v>
      </c>
      <c r="L19" s="7" t="s">
        <v>192</v>
      </c>
      <c r="P19" s="7">
        <v>1000000</v>
      </c>
      <c r="T19" s="137"/>
    </row>
    <row r="20" spans="1:20" ht="16.5" thickBot="1" x14ac:dyDescent="0.3">
      <c r="A20" s="174" t="s">
        <v>56</v>
      </c>
      <c r="B20" s="174"/>
      <c r="C20" s="174"/>
      <c r="D20" s="174"/>
      <c r="E20" s="174"/>
      <c r="H20" s="7" t="s">
        <v>211</v>
      </c>
      <c r="I20" s="14">
        <f>-Shares!D30</f>
        <v>0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25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25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475097802.18720603</v>
      </c>
    </row>
    <row r="23" spans="1:20" x14ac:dyDescent="0.25">
      <c r="A23" s="7" t="s">
        <v>58</v>
      </c>
      <c r="B23" s="7" t="s">
        <v>14</v>
      </c>
      <c r="D23" s="7">
        <v>7120901</v>
      </c>
      <c r="H23"/>
      <c r="I23" s="35">
        <f>SUM(I19:I22)</f>
        <v>14107080.350000026</v>
      </c>
      <c r="J23" s="13"/>
      <c r="L23" s="7" t="s">
        <v>48</v>
      </c>
      <c r="P23" s="30">
        <f>E28</f>
        <v>3.0200000000000001E-2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14347953.626053622</v>
      </c>
    </row>
    <row r="25" spans="1:20" ht="16.5" thickBot="1" x14ac:dyDescent="0.3">
      <c r="A25" s="7" t="s">
        <v>64</v>
      </c>
      <c r="E25" s="3">
        <f>SUM(E21:E24)</f>
        <v>1032382529.4765625</v>
      </c>
      <c r="H25" s="36" t="s">
        <v>59</v>
      </c>
      <c r="I25" s="95">
        <f>I23+I17</f>
        <v>66337230.141344935</v>
      </c>
      <c r="J25" s="13"/>
      <c r="L25" s="7" t="s">
        <v>54</v>
      </c>
      <c r="P25" s="7">
        <f>P13</f>
        <v>30000000</v>
      </c>
      <c r="Q25" s="102" t="s">
        <v>143</v>
      </c>
    </row>
    <row r="26" spans="1:20" ht="16.5" thickTop="1" x14ac:dyDescent="0.25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Passed</v>
      </c>
      <c r="Q26" s="102"/>
    </row>
    <row r="27" spans="1:20" x14ac:dyDescent="0.25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15652046.373946378</v>
      </c>
    </row>
    <row r="28" spans="1:20" x14ac:dyDescent="0.25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518279681.25650257</v>
      </c>
    </row>
    <row r="29" spans="1:20" x14ac:dyDescent="0.25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25">
      <c r="H32" s="13" t="s">
        <v>223</v>
      </c>
      <c r="I32" s="16">
        <f>I25</f>
        <v>66337230.141344935</v>
      </c>
      <c r="J32" s="38"/>
      <c r="L32" s="7" t="s">
        <v>67</v>
      </c>
      <c r="M32" s="7">
        <f>E9+'Cash-Int-Trans'!B13</f>
        <v>30000000</v>
      </c>
    </row>
    <row r="33" spans="1:16" x14ac:dyDescent="0.25">
      <c r="A33"/>
      <c r="B33"/>
      <c r="C33"/>
      <c r="E33"/>
      <c r="H33" s="13" t="s">
        <v>191</v>
      </c>
      <c r="I33" s="16">
        <f>(+D15-Shares!B30)*(I5-E15)</f>
        <v>-25968414.725000024</v>
      </c>
      <c r="L33" s="7" t="s">
        <v>69</v>
      </c>
      <c r="M33" s="27">
        <f>E10</f>
        <v>1000</v>
      </c>
    </row>
    <row r="34" spans="1:16" x14ac:dyDescent="0.25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25">
      <c r="A35"/>
      <c r="B35"/>
      <c r="C35"/>
      <c r="D35"/>
      <c r="E35"/>
      <c r="H35" s="13" t="s">
        <v>138</v>
      </c>
      <c r="I35" s="16">
        <f>-I29-Shares!D24-Shares!D26</f>
        <v>-25776605.913812786</v>
      </c>
      <c r="J35" s="41"/>
      <c r="L35" s="7" t="s">
        <v>72</v>
      </c>
      <c r="M35" s="7">
        <f>I25</f>
        <v>66337230.141344935</v>
      </c>
    </row>
    <row r="36" spans="1:16" x14ac:dyDescent="0.25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">
      <c r="A37"/>
      <c r="B37"/>
      <c r="C37"/>
      <c r="D37"/>
      <c r="E37"/>
      <c r="H37" s="36" t="s">
        <v>97</v>
      </c>
      <c r="I37" s="37">
        <f>SUM(I30:I36)</f>
        <v>191045594.87753209</v>
      </c>
      <c r="K37" s="7"/>
      <c r="L37" s="7" t="s">
        <v>74</v>
      </c>
      <c r="M37" s="7">
        <f>SUM(M34:M36)</f>
        <v>55868546.141344935</v>
      </c>
    </row>
    <row r="38" spans="1:16" ht="15.75" customHeight="1" thickTop="1" x14ac:dyDescent="0.25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30000000</v>
      </c>
    </row>
    <row r="39" spans="1:16" ht="15.75" customHeight="1" x14ac:dyDescent="0.25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25868546.141344905</v>
      </c>
    </row>
    <row r="40" spans="1:16" ht="16.5" customHeight="1" x14ac:dyDescent="0.25">
      <c r="A40"/>
      <c r="B40"/>
      <c r="C40"/>
      <c r="D40"/>
      <c r="E40"/>
      <c r="H40"/>
      <c r="I40" s="125"/>
      <c r="M40" s="7">
        <f>M37-M38-M39</f>
        <v>2.9802322387695313E-8</v>
      </c>
      <c r="N40" s="42" t="str">
        <f>IF(ROUND(M40,0)=0,"OK","Not OK")</f>
        <v>OK</v>
      </c>
    </row>
    <row r="41" spans="1:16" x14ac:dyDescent="0.25">
      <c r="A41"/>
      <c r="B41"/>
      <c r="C41"/>
      <c r="D41"/>
      <c r="E41"/>
      <c r="I41" s="7"/>
    </row>
    <row r="42" spans="1:16" x14ac:dyDescent="0.25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25">
      <c r="A43"/>
      <c r="B43"/>
      <c r="C43"/>
      <c r="D43"/>
      <c r="E43"/>
      <c r="I43" s="7"/>
      <c r="L43" s="136" t="s">
        <v>212</v>
      </c>
      <c r="M43" s="7">
        <f>+P13</f>
        <v>30000000</v>
      </c>
      <c r="N43" s="7" t="s">
        <v>213</v>
      </c>
      <c r="P43" s="7">
        <f>+M43/0.0302</f>
        <v>993377483.44370854</v>
      </c>
    </row>
    <row r="44" spans="1:16" x14ac:dyDescent="0.25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25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25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25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25">
      <c r="A48"/>
      <c r="B48"/>
      <c r="C48"/>
      <c r="D48"/>
      <c r="E48"/>
      <c r="F48" s="7"/>
      <c r="I48" s="7"/>
      <c r="P48" s="13"/>
    </row>
    <row r="49" spans="1:16" x14ac:dyDescent="0.25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25">
      <c r="A50"/>
      <c r="B50"/>
      <c r="C50"/>
      <c r="D50"/>
      <c r="E50"/>
      <c r="F50" s="7"/>
      <c r="I50" s="7"/>
    </row>
    <row r="51" spans="1:16" x14ac:dyDescent="0.25">
      <c r="A51"/>
      <c r="B51"/>
      <c r="C51"/>
      <c r="D51"/>
      <c r="E51"/>
      <c r="F51" s="7"/>
      <c r="I51" s="7"/>
    </row>
    <row r="52" spans="1:16" x14ac:dyDescent="0.25">
      <c r="A52"/>
      <c r="B52"/>
      <c r="C52"/>
      <c r="D52"/>
      <c r="E52"/>
      <c r="F52" s="7"/>
      <c r="I52" s="7"/>
    </row>
    <row r="53" spans="1:16" x14ac:dyDescent="0.25">
      <c r="A53"/>
      <c r="B53"/>
      <c r="C53"/>
      <c r="D53"/>
      <c r="E53"/>
      <c r="F53" s="7"/>
      <c r="I53" s="7"/>
    </row>
    <row r="54" spans="1:16" x14ac:dyDescent="0.25">
      <c r="A54"/>
      <c r="B54"/>
      <c r="C54"/>
      <c r="D54"/>
      <c r="E54"/>
      <c r="F54" s="7"/>
      <c r="I54" s="7"/>
    </row>
    <row r="55" spans="1:16" x14ac:dyDescent="0.25">
      <c r="A55"/>
      <c r="B55"/>
      <c r="C55"/>
      <c r="D55"/>
      <c r="E55"/>
      <c r="I55" s="7"/>
    </row>
    <row r="56" spans="1:16" x14ac:dyDescent="0.25">
      <c r="A56"/>
      <c r="B56"/>
      <c r="C56"/>
      <c r="D56"/>
      <c r="E56"/>
    </row>
    <row r="57" spans="1:16" x14ac:dyDescent="0.25">
      <c r="A57"/>
      <c r="B57"/>
      <c r="C57"/>
      <c r="D57"/>
      <c r="E57"/>
    </row>
    <row r="58" spans="1:16" x14ac:dyDescent="0.25">
      <c r="A58"/>
      <c r="B58"/>
      <c r="C58"/>
      <c r="D58"/>
      <c r="E58"/>
    </row>
    <row r="59" spans="1:16" x14ac:dyDescent="0.25">
      <c r="A59"/>
      <c r="B59"/>
      <c r="C59"/>
      <c r="D59"/>
      <c r="E59"/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</row>
  </sheetData>
  <mergeCells count="14"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A21:B21"/>
    <mergeCell ref="L7:M7"/>
    <mergeCell ref="O7:P7"/>
    <mergeCell ref="H10:I10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24" workbookViewId="0">
      <selection activeCell="D35" sqref="D35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75" t="s">
        <v>103</v>
      </c>
      <c r="B1" s="175"/>
    </row>
    <row r="3" spans="1:8" x14ac:dyDescent="0.25">
      <c r="A3" s="13" t="s">
        <v>115</v>
      </c>
      <c r="B3" s="14"/>
      <c r="C3" s="7"/>
      <c r="E3" s="151"/>
      <c r="F3" s="151"/>
      <c r="G3" s="151"/>
    </row>
    <row r="4" spans="1:8" x14ac:dyDescent="0.25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150">
        <f>SUM(B3:B5)</f>
        <v>34518969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25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75" t="s">
        <v>98</v>
      </c>
      <c r="B18" s="175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+Financials!I25</f>
        <v>66337230.141344935</v>
      </c>
    </row>
    <row r="23" spans="1:5" x14ac:dyDescent="0.25">
      <c r="A23" t="s">
        <v>100</v>
      </c>
      <c r="B23" s="7">
        <f>-Financials!I15</f>
        <v>-25776605.913812786</v>
      </c>
    </row>
    <row r="24" spans="1:5" x14ac:dyDescent="0.25">
      <c r="A24" s="7" t="str">
        <f>+Financials!H21</f>
        <v>Unrealized Gains / (Losses)</v>
      </c>
      <c r="B24" s="7">
        <f>-Financials!I21-Financials!I20-Financials!I19</f>
        <v>-14107080.350000026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-1468055.5555555555</v>
      </c>
    </row>
    <row r="29" spans="1:5" x14ac:dyDescent="0.25">
      <c r="A29" t="s">
        <v>105</v>
      </c>
      <c r="B29" s="7">
        <f>-Financials!E7+Financials!P11</f>
        <v>18229256.045861125</v>
      </c>
    </row>
    <row r="30" spans="1:5" x14ac:dyDescent="0.25">
      <c r="A30" t="s">
        <v>185</v>
      </c>
      <c r="B30" s="7">
        <f>-Financials!E6+Financials!P8</f>
        <v>-41000000</v>
      </c>
      <c r="E30" s="7"/>
    </row>
    <row r="32" spans="1:5" x14ac:dyDescent="0.25">
      <c r="A32" t="s">
        <v>90</v>
      </c>
      <c r="B32" s="7">
        <f>+B12</f>
        <v>-40469684</v>
      </c>
    </row>
    <row r="33" spans="1:8" x14ac:dyDescent="0.25">
      <c r="A33" t="s">
        <v>114</v>
      </c>
      <c r="B33" s="7">
        <f>+B13</f>
        <v>0</v>
      </c>
    </row>
    <row r="35" spans="1:8" ht="16.5" thickBot="1" x14ac:dyDescent="0.3">
      <c r="A35" t="s">
        <v>25</v>
      </c>
      <c r="B35" s="12">
        <f>SUM(B20:B34)</f>
        <v>32746060.367837697</v>
      </c>
      <c r="D35" s="7">
        <f>+B20+B12+B13+B38+B16</f>
        <v>32746060.367837679</v>
      </c>
    </row>
    <row r="36" spans="1:8" ht="16.5" thickTop="1" x14ac:dyDescent="0.25"/>
    <row r="37" spans="1:8" ht="16.5" thickBot="1" x14ac:dyDescent="0.3">
      <c r="A37" s="175" t="s">
        <v>146</v>
      </c>
      <c r="B37" s="175"/>
      <c r="C37" s="175"/>
      <c r="D37" s="175"/>
      <c r="E37" s="175"/>
      <c r="F37" s="175"/>
    </row>
    <row r="38" spans="1:8" x14ac:dyDescent="0.25">
      <c r="A38" s="104" t="s">
        <v>108</v>
      </c>
      <c r="B38" s="105">
        <f>+B44+B50</f>
        <v>2214744.3678376786</v>
      </c>
    </row>
    <row r="39" spans="1:8" x14ac:dyDescent="0.25">
      <c r="A39" s="47"/>
      <c r="E39" s="127" t="s">
        <v>76</v>
      </c>
      <c r="F39" s="128"/>
    </row>
    <row r="40" spans="1:8" x14ac:dyDescent="0.25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25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25">
      <c r="A42" t="s">
        <v>1</v>
      </c>
      <c r="B42" s="1">
        <f>IF(Summary!$C$5&lt;'Cash-Int-Trans'!B40,+'Cash-Int-Trans'!B40,Summary!$C$5)</f>
        <v>36920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25">
      <c r="A43" t="s">
        <v>75</v>
      </c>
      <c r="B43" s="3">
        <f>+B42-B40</f>
        <v>151</v>
      </c>
      <c r="E43" s="45" t="s">
        <v>77</v>
      </c>
      <c r="F43" s="46">
        <f>AVERAGE(F40:F42,H40:H42)</f>
        <v>6.9283333333333322E-2</v>
      </c>
    </row>
    <row r="44" spans="1:8" x14ac:dyDescent="0.25">
      <c r="A44" t="s">
        <v>24</v>
      </c>
      <c r="B44" s="48">
        <f>+B41*(F43+0.0045)/360*B43</f>
        <v>2197339.6054166663</v>
      </c>
    </row>
    <row r="45" spans="1:8" x14ac:dyDescent="0.25">
      <c r="B45" s="48"/>
    </row>
    <row r="46" spans="1:8" x14ac:dyDescent="0.25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25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25">
      <c r="A48" t="s">
        <v>1</v>
      </c>
      <c r="B48" s="1">
        <f>IF(Summary!$C$5&lt;'Cash-Int-Trans'!B46,+'Cash-Int-Trans'!B46,Summary!$C$5)</f>
        <v>36920</v>
      </c>
      <c r="E48" s="1">
        <v>36965</v>
      </c>
      <c r="F48" s="44"/>
      <c r="G48" s="1">
        <v>37057</v>
      </c>
      <c r="H48" s="44"/>
    </row>
    <row r="49" spans="1:6" x14ac:dyDescent="0.25">
      <c r="A49" t="s">
        <v>75</v>
      </c>
      <c r="B49" s="3">
        <f>+B48-B46</f>
        <v>3</v>
      </c>
      <c r="E49" s="45" t="s">
        <v>77</v>
      </c>
      <c r="F49" s="46">
        <f>AVERAGE(F46:F48,H46:H48)</f>
        <v>5.9400000000000001E-2</v>
      </c>
    </row>
    <row r="50" spans="1:6" x14ac:dyDescent="0.25">
      <c r="A50" t="s">
        <v>24</v>
      </c>
      <c r="B50" s="48">
        <f>+B47*(F49+0.0045)/360*B49</f>
        <v>17404.762421012496</v>
      </c>
    </row>
    <row r="52" spans="1:6" ht="16.5" thickBot="1" x14ac:dyDescent="0.3">
      <c r="A52" s="175" t="s">
        <v>162</v>
      </c>
      <c r="B52" s="175"/>
      <c r="C52" s="175"/>
      <c r="D52" s="175"/>
      <c r="E52" s="175"/>
      <c r="F52" s="175"/>
    </row>
    <row r="53" spans="1:6" x14ac:dyDescent="0.25">
      <c r="A53" s="104" t="s">
        <v>159</v>
      </c>
      <c r="B53" s="105">
        <f>+B55+B62</f>
        <v>11748225.04586111</v>
      </c>
    </row>
    <row r="54" spans="1:6" x14ac:dyDescent="0.25">
      <c r="A54" s="47"/>
    </row>
    <row r="55" spans="1:6" x14ac:dyDescent="0.25">
      <c r="A55" t="s">
        <v>163</v>
      </c>
      <c r="B55" s="3">
        <f>+Amort!B61</f>
        <v>11744444.444444444</v>
      </c>
      <c r="E55" s="176"/>
      <c r="F55" s="177"/>
    </row>
    <row r="56" spans="1:6" x14ac:dyDescent="0.25">
      <c r="B56" s="3"/>
      <c r="E56" s="127"/>
      <c r="F56" s="128"/>
    </row>
    <row r="57" spans="1:6" x14ac:dyDescent="0.25">
      <c r="A57" t="s">
        <v>169</v>
      </c>
      <c r="B57" s="7"/>
      <c r="E57" s="43"/>
      <c r="F57" s="44"/>
    </row>
    <row r="58" spans="1:6" x14ac:dyDescent="0.25">
      <c r="A58" t="s">
        <v>164</v>
      </c>
      <c r="B58" s="1">
        <f>+D9</f>
        <v>36917</v>
      </c>
      <c r="E58" s="43"/>
      <c r="F58" s="44"/>
    </row>
    <row r="59" spans="1:6" x14ac:dyDescent="0.25">
      <c r="A59" t="s">
        <v>165</v>
      </c>
      <c r="B59" s="3">
        <f>+B9</f>
        <v>6481031</v>
      </c>
      <c r="E59" s="43"/>
      <c r="F59" s="44"/>
    </row>
    <row r="60" spans="1:6" x14ac:dyDescent="0.25">
      <c r="A60" t="s">
        <v>1</v>
      </c>
      <c r="B60" s="1">
        <f>IF(Summary!C5&gt;Amort!A43,Amort!A43,Summary!C5)</f>
        <v>36920</v>
      </c>
    </row>
    <row r="61" spans="1:6" x14ac:dyDescent="0.25">
      <c r="A61" t="s">
        <v>75</v>
      </c>
      <c r="B61" s="3">
        <f>+B60-B58</f>
        <v>3</v>
      </c>
    </row>
    <row r="62" spans="1:6" x14ac:dyDescent="0.25">
      <c r="A62" t="s">
        <v>168</v>
      </c>
      <c r="B62" s="48">
        <f>+B59*0.07/360*B61</f>
        <v>3780.6014166666669</v>
      </c>
    </row>
    <row r="64" spans="1:6" ht="16.5" thickBot="1" x14ac:dyDescent="0.3">
      <c r="A64" s="175" t="s">
        <v>172</v>
      </c>
      <c r="B64" s="175"/>
      <c r="C64" s="175"/>
      <c r="D64" s="175"/>
      <c r="E64" s="175"/>
      <c r="F64" s="175"/>
    </row>
    <row r="66" spans="1:4" x14ac:dyDescent="0.25">
      <c r="A66" t="s">
        <v>118</v>
      </c>
      <c r="B66" s="1">
        <f>+Summary!C5</f>
        <v>36920</v>
      </c>
    </row>
    <row r="67" spans="1:4" x14ac:dyDescent="0.25">
      <c r="A67" t="s">
        <v>173</v>
      </c>
      <c r="B67" s="1">
        <v>36769</v>
      </c>
      <c r="D67" s="4">
        <f>IF(B66&gt;(B67-1),30000000,0)</f>
        <v>30000000</v>
      </c>
    </row>
    <row r="68" spans="1:4" x14ac:dyDescent="0.25">
      <c r="A68" t="s">
        <v>174</v>
      </c>
      <c r="B68" s="1"/>
      <c r="D68" s="4">
        <f>IF(B66&gt;(B68-1),0,0)</f>
        <v>0</v>
      </c>
    </row>
    <row r="69" spans="1:4" ht="18" x14ac:dyDescent="0.4">
      <c r="A69" t="s">
        <v>175</v>
      </c>
      <c r="B69" s="1">
        <f>+Summary!C5</f>
        <v>36920</v>
      </c>
      <c r="D69" s="129">
        <f>IF(B69&gt;B68,+(+B69-B68)/365*0.12*D68,0)</f>
        <v>0</v>
      </c>
    </row>
    <row r="70" spans="1:4" x14ac:dyDescent="0.25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topLeftCell="A45" workbookViewId="0">
      <selection activeCell="E70" sqref="E70:E7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156</v>
      </c>
      <c r="B1" s="6"/>
      <c r="G1" s="8"/>
      <c r="H1" s="8"/>
    </row>
    <row r="2" spans="1:9" x14ac:dyDescent="0.25">
      <c r="B2" s="106" t="s">
        <v>147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178">
        <f>+Summary!C5</f>
        <v>36920</v>
      </c>
      <c r="B23" s="178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151</v>
      </c>
      <c r="E27" s="111"/>
    </row>
    <row r="28" spans="1:9" s="97" customFormat="1" x14ac:dyDescent="0.25">
      <c r="A28" s="111" t="s">
        <v>26</v>
      </c>
      <c r="B28" s="97">
        <f>F25*B27/(F26-F24)</f>
        <v>1468055.5555555555</v>
      </c>
    </row>
    <row r="29" spans="1:9" s="97" customFormat="1" x14ac:dyDescent="0.25">
      <c r="A29" s="111" t="s">
        <v>27</v>
      </c>
      <c r="B29" s="97">
        <f>+B25+B28</f>
        <v>1468055.5555555555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6484811.601416667</v>
      </c>
      <c r="E43" s="7">
        <v>0</v>
      </c>
      <c r="F43" s="7">
        <f>C43*$B$38/360*(A43-A42)</f>
        <v>14077777.777777778</v>
      </c>
      <c r="G43" s="7">
        <f>+C43+D43+E43+F43</f>
        <v>420562589.37919444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420562589.37919444</v>
      </c>
      <c r="D44" s="7">
        <v>0</v>
      </c>
      <c r="E44" s="7">
        <v>0</v>
      </c>
      <c r="F44" s="7">
        <f t="shared" ref="F44:F52" si="13">C44*$B$38/360*(A44-A43)</f>
        <v>15046794.864455624</v>
      </c>
      <c r="G44" s="7">
        <f t="shared" ref="G44:G52" si="14">+C44+D44+E44+F44</f>
        <v>435609384.24365008</v>
      </c>
      <c r="H44" s="7">
        <f t="shared" si="12"/>
        <v>29124572.642233402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435609384.24365008</v>
      </c>
      <c r="D45" s="7">
        <v>0</v>
      </c>
      <c r="E45" s="7">
        <v>0</v>
      </c>
      <c r="F45" s="7">
        <f t="shared" si="13"/>
        <v>15331030.273241797</v>
      </c>
      <c r="G45" s="7">
        <f t="shared" si="14"/>
        <v>450940414.5168919</v>
      </c>
      <c r="H45" s="7">
        <f t="shared" si="12"/>
        <v>44455602.915475197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450940414.5168919</v>
      </c>
      <c r="D46" s="7">
        <v>0</v>
      </c>
      <c r="E46" s="7">
        <v>0</v>
      </c>
      <c r="F46" s="7">
        <f t="shared" si="13"/>
        <v>16133645.941604357</v>
      </c>
      <c r="G46" s="7">
        <f t="shared" si="14"/>
        <v>467074060.45849627</v>
      </c>
      <c r="H46" s="7">
        <f t="shared" si="12"/>
        <v>60589248.857079551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467074060.45849627</v>
      </c>
      <c r="D47" s="7">
        <v>0</v>
      </c>
      <c r="E47" s="7">
        <v>0</v>
      </c>
      <c r="F47" s="7">
        <f t="shared" si="13"/>
        <v>16438412.072247634</v>
      </c>
      <c r="G47" s="7">
        <f t="shared" si="14"/>
        <v>483512472.5307439</v>
      </c>
      <c r="H47" s="7">
        <f t="shared" si="12"/>
        <v>77027660.92932719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483512472.5307439</v>
      </c>
      <c r="D48" s="7">
        <v>0</v>
      </c>
      <c r="E48" s="7">
        <v>0</v>
      </c>
      <c r="F48" s="7">
        <f t="shared" si="13"/>
        <v>17299001.794988837</v>
      </c>
      <c r="G48" s="7">
        <f t="shared" si="14"/>
        <v>500811474.32573271</v>
      </c>
      <c r="H48" s="7">
        <f t="shared" si="12"/>
        <v>94326662.724316031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500811474.32573271</v>
      </c>
      <c r="D49" s="7">
        <v>0</v>
      </c>
      <c r="E49" s="7">
        <v>0</v>
      </c>
      <c r="F49" s="7">
        <f t="shared" si="13"/>
        <v>17723161.619193986</v>
      </c>
      <c r="G49" s="7">
        <f t="shared" si="14"/>
        <v>518534635.94492668</v>
      </c>
      <c r="H49" s="7">
        <f t="shared" si="12"/>
        <v>112049824.34351002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518534635.94492668</v>
      </c>
      <c r="D50" s="7">
        <v>0</v>
      </c>
      <c r="E50" s="7">
        <v>0</v>
      </c>
      <c r="F50" s="7">
        <f t="shared" si="13"/>
        <v>18552016.974918488</v>
      </c>
      <c r="G50" s="7">
        <f t="shared" si="14"/>
        <v>537086652.91984522</v>
      </c>
      <c r="H50" s="7">
        <f t="shared" si="12"/>
        <v>130601841.3184285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537086652.91984522</v>
      </c>
      <c r="D51" s="7">
        <v>0</v>
      </c>
      <c r="E51" s="7">
        <v>0</v>
      </c>
      <c r="F51" s="7">
        <f t="shared" si="13"/>
        <v>18902466.368040111</v>
      </c>
      <c r="G51" s="7">
        <f t="shared" si="14"/>
        <v>555989119.28788531</v>
      </c>
      <c r="H51" s="7">
        <f t="shared" si="12"/>
        <v>149504307.6864686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555989119.28788531</v>
      </c>
      <c r="D52" s="7">
        <v>0</v>
      </c>
      <c r="E52" s="7">
        <v>0</v>
      </c>
      <c r="F52" s="7">
        <f t="shared" si="13"/>
        <v>19892055.156744342</v>
      </c>
      <c r="G52" s="7">
        <f t="shared" si="14"/>
        <v>575881174.44462967</v>
      </c>
      <c r="H52" s="7">
        <f t="shared" si="12"/>
        <v>169396362.84321293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6484811.601416667</v>
      </c>
      <c r="E53" s="12">
        <f>SUM(E43:E52)</f>
        <v>0</v>
      </c>
      <c r="F53" s="12">
        <f>SUM(F43:F52)</f>
        <v>169396362.84321293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178">
        <f>+Summary!C5</f>
        <v>36920</v>
      </c>
      <c r="B55" s="178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161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151</v>
      </c>
      <c r="C59" s="97"/>
      <c r="D59" s="97"/>
      <c r="E59" s="111"/>
      <c r="F59" s="97"/>
      <c r="G59" s="97"/>
    </row>
    <row r="60" spans="1:9" x14ac:dyDescent="0.25">
      <c r="A60" s="111" t="s">
        <v>158</v>
      </c>
      <c r="B60" s="97">
        <f>F57*B59/(F58-F56)</f>
        <v>11744444.444444444</v>
      </c>
      <c r="C60" s="97"/>
      <c r="D60" s="97"/>
      <c r="E60" s="97"/>
      <c r="F60" s="97"/>
      <c r="G60" s="97"/>
    </row>
    <row r="61" spans="1:9" x14ac:dyDescent="0.25">
      <c r="A61" s="111" t="s">
        <v>159</v>
      </c>
      <c r="B61" s="97">
        <f>+B57+B60</f>
        <v>11744444.444444444</v>
      </c>
      <c r="C61" s="97"/>
      <c r="D61" s="97"/>
      <c r="E61" s="97"/>
      <c r="F61" s="97"/>
      <c r="G61" s="97"/>
    </row>
    <row r="63" spans="1:9" x14ac:dyDescent="0.25">
      <c r="A63" s="7" t="s">
        <v>170</v>
      </c>
    </row>
    <row r="64" spans="1:9" x14ac:dyDescent="0.25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25">
      <c r="A65" s="1">
        <f>+A64</f>
        <v>36917</v>
      </c>
      <c r="B65" s="7" t="s">
        <v>220</v>
      </c>
      <c r="C65" s="1"/>
      <c r="D65" s="1">
        <f>+'Cash-Int-Trans'!B60</f>
        <v>36920</v>
      </c>
      <c r="E65" s="158">
        <f>+'Cash-Int-Trans'!B62</f>
        <v>3780.6014166666669</v>
      </c>
    </row>
    <row r="66" spans="1:5" x14ac:dyDescent="0.25">
      <c r="E66" s="7">
        <f>SUM(E64:E65)</f>
        <v>6484811.601416667</v>
      </c>
    </row>
    <row r="68" spans="1:5" x14ac:dyDescent="0.25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9" sqref="B9"/>
    </sheetView>
  </sheetViews>
  <sheetFormatPr defaultRowHeight="15.75" x14ac:dyDescent="0.25"/>
  <cols>
    <col min="1" max="1" width="25" customWidth="1"/>
    <col min="2" max="2" width="11.125" style="3" bestFit="1" customWidth="1"/>
    <col min="4" max="4" width="14.75" bestFit="1" customWidth="1"/>
    <col min="5" max="5" width="14.375" bestFit="1" customWidth="1"/>
  </cols>
  <sheetData>
    <row r="1" spans="1:5" x14ac:dyDescent="0.25">
      <c r="D1" s="155" t="s">
        <v>194</v>
      </c>
      <c r="E1" s="52" t="s">
        <v>195</v>
      </c>
    </row>
    <row r="2" spans="1:5" x14ac:dyDescent="0.25">
      <c r="A2" s="58" t="s">
        <v>203</v>
      </c>
      <c r="D2" s="2">
        <f>+Financials!I5</f>
        <v>80.77</v>
      </c>
    </row>
    <row r="3" spans="1:5" x14ac:dyDescent="0.25">
      <c r="A3" t="s">
        <v>196</v>
      </c>
      <c r="B3" s="3">
        <v>50000000</v>
      </c>
      <c r="D3" s="5">
        <f>B3*D2</f>
        <v>4038500000</v>
      </c>
      <c r="E3" s="3">
        <f>ROUND(D3/D2+0.49,0)</f>
        <v>50000000</v>
      </c>
    </row>
    <row r="4" spans="1:5" x14ac:dyDescent="0.25">
      <c r="A4" t="s">
        <v>197</v>
      </c>
      <c r="D4" s="50">
        <f>1400000000+1027000000</f>
        <v>2427000000</v>
      </c>
      <c r="E4" s="153">
        <f>ROUND(D4/D2+0.49,0)</f>
        <v>30048286</v>
      </c>
    </row>
    <row r="5" spans="1:5" x14ac:dyDescent="0.25">
      <c r="A5" t="s">
        <v>198</v>
      </c>
      <c r="D5" s="4">
        <f>D3-D4</f>
        <v>1611500000</v>
      </c>
      <c r="E5" s="48">
        <f>E3-E4</f>
        <v>19951714</v>
      </c>
    </row>
    <row r="6" spans="1:5" x14ac:dyDescent="0.25">
      <c r="A6" t="s">
        <v>199</v>
      </c>
      <c r="D6" s="2"/>
    </row>
    <row r="7" spans="1:5" x14ac:dyDescent="0.25">
      <c r="A7" t="s">
        <v>200</v>
      </c>
      <c r="B7" s="3">
        <v>3876755</v>
      </c>
      <c r="D7" s="4">
        <f>+B7*D2</f>
        <v>313125501.34999996</v>
      </c>
      <c r="E7" s="3">
        <f>D7/D2</f>
        <v>3876754.9999999995</v>
      </c>
    </row>
    <row r="8" spans="1:5" x14ac:dyDescent="0.25">
      <c r="A8" t="s">
        <v>201</v>
      </c>
      <c r="B8" s="3">
        <v>7809790</v>
      </c>
      <c r="D8" s="4">
        <f>+B8*D2</f>
        <v>630796738.29999995</v>
      </c>
      <c r="E8" s="3">
        <v>7809790</v>
      </c>
    </row>
    <row r="9" spans="1:5" x14ac:dyDescent="0.25">
      <c r="A9" t="s">
        <v>202</v>
      </c>
      <c r="B9" s="3">
        <v>6326045</v>
      </c>
      <c r="D9" s="50">
        <f>+B9*D2</f>
        <v>510954654.64999998</v>
      </c>
      <c r="E9" s="153">
        <v>6326045</v>
      </c>
    </row>
    <row r="10" spans="1:5" x14ac:dyDescent="0.25">
      <c r="D10" s="2"/>
    </row>
    <row r="11" spans="1:5" ht="16.5" thickBot="1" x14ac:dyDescent="0.3">
      <c r="A11" t="s">
        <v>25</v>
      </c>
      <c r="D11" s="51">
        <f>D5-SUM(D7:D9)</f>
        <v>156623105.70000029</v>
      </c>
      <c r="E11" s="154">
        <f>E5-SUM(E7:E9)</f>
        <v>1939124</v>
      </c>
    </row>
    <row r="12" spans="1:5" ht="16.5" thickTop="1" x14ac:dyDescent="0.25"/>
    <row r="14" spans="1:5" x14ac:dyDescent="0.25">
      <c r="A14" t="s">
        <v>204</v>
      </c>
      <c r="B14" s="3">
        <f>IF(E11&gt;0,B9,IF(B9+E11&gt;0,+B9+E11,0))</f>
        <v>6326045</v>
      </c>
    </row>
    <row r="17" spans="1:6" x14ac:dyDescent="0.25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207</v>
      </c>
      <c r="D20" s="4">
        <f>+Financials!I15</f>
        <v>25776605.913812786</v>
      </c>
      <c r="E20" s="156">
        <f>(+Financials!H2-Financials!A3)/(3*365)</f>
        <v>0.13789954337899543</v>
      </c>
      <c r="F20">
        <f>+D18*E20+D20</f>
        <v>0</v>
      </c>
    </row>
    <row r="21" spans="1:6" x14ac:dyDescent="0.25">
      <c r="A21" t="s">
        <v>209</v>
      </c>
      <c r="D21" s="4">
        <f>+D19+D20</f>
        <v>375776605.91381276</v>
      </c>
      <c r="E21" s="156">
        <f>+D21/D17</f>
        <v>0.69987047930578172</v>
      </c>
    </row>
    <row r="22" spans="1:6" x14ac:dyDescent="0.25">
      <c r="D22" s="4"/>
    </row>
    <row r="23" spans="1:6" x14ac:dyDescent="0.25">
      <c r="A23" t="s">
        <v>210</v>
      </c>
      <c r="B23" s="3">
        <f>+B14</f>
        <v>6326045</v>
      </c>
      <c r="C23" s="2">
        <f>+C17</f>
        <v>84.875</v>
      </c>
      <c r="D23" s="4">
        <f>+B23*C23</f>
        <v>536923069.375</v>
      </c>
    </row>
    <row r="24" spans="1:6" x14ac:dyDescent="0.25">
      <c r="A24" t="s">
        <v>206</v>
      </c>
      <c r="D24" s="4">
        <f>D18/D17*D23</f>
        <v>-186923069.375</v>
      </c>
      <c r="E24" s="156">
        <f>-D24/D23</f>
        <v>0.3481375266527213</v>
      </c>
    </row>
    <row r="25" spans="1:6" x14ac:dyDescent="0.25">
      <c r="D25" s="4">
        <f>+D23+D24</f>
        <v>350000000</v>
      </c>
    </row>
    <row r="26" spans="1:6" x14ac:dyDescent="0.25">
      <c r="A26" t="s">
        <v>207</v>
      </c>
      <c r="D26" s="4">
        <f>-D24*E20</f>
        <v>25776605.913812786</v>
      </c>
      <c r="E26" s="156">
        <f>+E20</f>
        <v>0.13789954337899543</v>
      </c>
      <c r="F26">
        <f>+D24*E26+D26</f>
        <v>0</v>
      </c>
    </row>
    <row r="27" spans="1:6" x14ac:dyDescent="0.25">
      <c r="A27" t="s">
        <v>208</v>
      </c>
      <c r="D27" s="4">
        <f>+D25+D26</f>
        <v>375776605.91381276</v>
      </c>
      <c r="E27" s="156">
        <f>+D27/D23</f>
        <v>0.69987047930578172</v>
      </c>
    </row>
    <row r="28" spans="1:6" x14ac:dyDescent="0.25">
      <c r="A28" t="s">
        <v>155</v>
      </c>
      <c r="D28" s="4">
        <f>+Financials!M10-D27</f>
        <v>0</v>
      </c>
      <c r="E28" s="156"/>
    </row>
    <row r="29" spans="1:6" x14ac:dyDescent="0.25">
      <c r="D29" s="4"/>
    </row>
    <row r="30" spans="1:6" x14ac:dyDescent="0.25">
      <c r="A30" t="s">
        <v>211</v>
      </c>
      <c r="B30" s="3">
        <f>+B17-B23</f>
        <v>0</v>
      </c>
      <c r="D30" s="4">
        <f>+D21-D27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 activeCell="C1" sqref="C1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2023-09-17T17:11:19Z</dcterms:modified>
</cp:coreProperties>
</file>