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F64B7F-EEF9-4A03-BD30-306567191019}" xr6:coauthVersionLast="47" xr6:coauthVersionMax="47" xr10:uidLastSave="{00000000-0000-0000-0000-000000000000}"/>
  <bookViews>
    <workbookView xWindow="-120" yWindow="-120" windowWidth="38640" windowHeight="15720" activeTab="1"/>
  </bookViews>
  <sheets>
    <sheet name="OLD" sheetId="7" r:id="rId1"/>
    <sheet name="Simulation" sheetId="6" r:id="rId2"/>
    <sheet name="Case 1" sheetId="2" r:id="rId3"/>
    <sheet name="Case2" sheetId="3" r:id="rId4"/>
    <sheet name="Case 3" sheetId="4" r:id="rId5"/>
    <sheet name="Total" sheetId="1" r:id="rId6"/>
  </sheets>
  <externalReferences>
    <externalReference r:id="rId7"/>
  </externalReferences>
  <definedNames>
    <definedName name="ZA0" localSheetId="2">"Crystal Ball Data : Ver. 5.1"</definedName>
    <definedName name="ZA0" localSheetId="4">"Crystal Ball Data : Ver. 5.1"</definedName>
    <definedName name="ZA0" localSheetId="3">"Crystal Ball Data : Ver. 5.1"</definedName>
    <definedName name="ZA0" localSheetId="1">"Crystal Ball Data : Ver. 5.1"</definedName>
    <definedName name="ZA0" localSheetId="5">"Crystal Ball Data : Ver. 5.1"</definedName>
    <definedName name="ZA0A" localSheetId="2">0+0</definedName>
    <definedName name="ZA0A" localSheetId="3">0+0</definedName>
    <definedName name="ZA0A" localSheetId="1">1+100</definedName>
    <definedName name="ZA0C" localSheetId="2">0+0</definedName>
    <definedName name="ZA0C" localSheetId="3">0+0</definedName>
    <definedName name="ZA0D" localSheetId="2">0+0</definedName>
    <definedName name="ZA0D" localSheetId="3">0+0</definedName>
    <definedName name="ZA0F" localSheetId="2">4+104</definedName>
    <definedName name="ZA0F" localSheetId="4">3+102</definedName>
    <definedName name="ZA0F" localSheetId="3">3+105</definedName>
    <definedName name="ZA0F" localSheetId="5">4+103</definedName>
    <definedName name="ZA0T" localSheetId="2">648514995+0</definedName>
    <definedName name="ZA0T" localSheetId="4">648570865+0</definedName>
    <definedName name="ZA0T" localSheetId="3">648548032+0</definedName>
    <definedName name="ZA0T" localSheetId="1">648396845+0</definedName>
    <definedName name="ZA0T" localSheetId="5">648633445+0</definedName>
    <definedName name="_ZA100" localSheetId="1">Simulation!$B$22+"ARandom Shock"+545+0+1+"-"+"+"</definedName>
    <definedName name="_ZF100" localSheetId="2">'Case 1'!$K$25+"T1"+""+33+33+409+57+18+342+477+4+3+"-"+"+"+2.6+50+2+4+95+0+5</definedName>
    <definedName name="_ZF100" localSheetId="4">'Case 3'!$K$25+"T3"+""+33+33+409+162+172+447+631+4+3+"-"+"+"+2.6+50+2+4+95+0+5</definedName>
    <definedName name="_ZF100" localSheetId="5">Total!$K$25+"TT"+""+33+33+409+207+238+492+697+4+3+"-"+"+"+2.6+50+2+4+95+29067294.4023361+5</definedName>
    <definedName name="_ZF101" localSheetId="2">'Case 1'!$K$26+"B1"+""+33+33+409+72+40+357+499+4+3+"-"+"+"+2.6+50+2+4+95+0+5</definedName>
    <definedName name="_ZF101" localSheetId="4">'Case 3'!$K$26+"B3"+""+33+33+409+177+194+462+653+4+3+"-"+"+"+2.6+50+2+4+95+18255460.4744415+5</definedName>
    <definedName name="_ZF101" localSheetId="5">Total!$K$26+"BT"+""+33+33+409+222+260+507+719+4+3+"-"+"+"+2.6+50+2+4+95+0+5</definedName>
    <definedName name="_ZF102" localSheetId="2">'Case 1'!$K$27+"M1"+""+33+33+409+87+62+372+521+4+3+"-"+"+"+2.6+50+2+4+95+0+5</definedName>
    <definedName name="_ZF102" localSheetId="4">'Case 3'!$K$27+"Tot3"+""+33+33+409+192+216+477+675+4+3+"-"+"+"+2.6+50+2+4+95+18255460.4744415+5</definedName>
    <definedName name="_ZF102" localSheetId="5">Total!$K$27+"MT"+""+33+33+409+237+282+522+741+4+3+"-"+"+"+2.6+50+2+4+95+0+5</definedName>
    <definedName name="_ZF103" localSheetId="3">Case2!$K$25+"T2"+""+33+33+409+117+106+402+565+4+3+"-"+"+"+2.6+50+2+4+95+10820630.7482876+5</definedName>
    <definedName name="_ZF103" localSheetId="5">Total!$K$28+"TotT"+""+33+33+409+252+304+537+763+4+3+"-"+"+"+2.6+50+2+4+95+29067294.4023361+5</definedName>
    <definedName name="_ZF104" localSheetId="2">'Case 1'!$K$28+"Tot1"+""+33+33+409+102+84+387+543+4+3+"-"+"+"+2.6+50+2+4+95+0+5</definedName>
    <definedName name="_ZF104" localSheetId="3">Case2!$K$26+"B2"+""+33+33+409+132+128+417+587+4+3+"-"+"+"+2.6+50+2+4+95+0+5</definedName>
    <definedName name="_ZF105" localSheetId="3">Case2!$K$27+"Tot2"+""+33+33+409+147+150+432+609+4+3+"-"+"+"+2.6+50+2+4+95+10820630.7482876+5</definedName>
  </definedNames>
  <calcPr calcId="0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C5" i="2"/>
  <c r="D5" i="2"/>
  <c r="E5" i="2"/>
  <c r="F5" i="2"/>
  <c r="G5" i="2"/>
  <c r="H5" i="2"/>
  <c r="I5" i="2"/>
  <c r="J5" i="2"/>
  <c r="K5" i="2"/>
  <c r="L5" i="2"/>
  <c r="D6" i="2"/>
  <c r="E6" i="2"/>
  <c r="F6" i="2"/>
  <c r="G6" i="2"/>
  <c r="B11" i="2"/>
  <c r="C11" i="2"/>
  <c r="D11" i="2"/>
  <c r="E11" i="2"/>
  <c r="F11" i="2"/>
  <c r="G11" i="2"/>
  <c r="H11" i="2"/>
  <c r="I11" i="2"/>
  <c r="J11" i="2"/>
  <c r="K11" i="2"/>
  <c r="L11" i="2"/>
  <c r="B17" i="2"/>
  <c r="C17" i="2"/>
  <c r="D17" i="2"/>
  <c r="E17" i="2"/>
  <c r="F17" i="2"/>
  <c r="G17" i="2"/>
  <c r="H17" i="2"/>
  <c r="I17" i="2"/>
  <c r="J17" i="2"/>
  <c r="K17" i="2"/>
  <c r="L17" i="2"/>
  <c r="C22" i="2"/>
  <c r="D22" i="2"/>
  <c r="B23" i="2"/>
  <c r="C23" i="2"/>
  <c r="D23" i="2"/>
  <c r="B24" i="2"/>
  <c r="C24" i="2"/>
  <c r="D24" i="2"/>
  <c r="B25" i="2"/>
  <c r="C25" i="2"/>
  <c r="D25" i="2"/>
  <c r="G25" i="2"/>
  <c r="H25" i="2"/>
  <c r="I25" i="2"/>
  <c r="J25" i="2"/>
  <c r="K25" i="2"/>
  <c r="M25" i="2"/>
  <c r="B26" i="2"/>
  <c r="C26" i="2"/>
  <c r="D26" i="2"/>
  <c r="K26" i="2"/>
  <c r="M26" i="2"/>
  <c r="B27" i="2"/>
  <c r="C27" i="2"/>
  <c r="D27" i="2"/>
  <c r="G27" i="2"/>
  <c r="H27" i="2"/>
  <c r="I27" i="2"/>
  <c r="J27" i="2"/>
  <c r="K27" i="2"/>
  <c r="B28" i="2"/>
  <c r="C28" i="2"/>
  <c r="D28" i="2"/>
  <c r="K28" i="2"/>
  <c r="M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M35" i="2"/>
  <c r="N35" i="2"/>
  <c r="B36" i="2"/>
  <c r="C36" i="2"/>
  <c r="D36" i="2"/>
  <c r="K36" i="2"/>
  <c r="M36" i="2"/>
  <c r="N36" i="2"/>
  <c r="B37" i="2"/>
  <c r="C37" i="2"/>
  <c r="D37" i="2"/>
  <c r="I37" i="2"/>
  <c r="M37" i="2"/>
  <c r="N37" i="2"/>
  <c r="B38" i="2"/>
  <c r="C38" i="2"/>
  <c r="D38" i="2"/>
  <c r="K38" i="2"/>
  <c r="M38" i="2"/>
  <c r="N38" i="2"/>
  <c r="B39" i="2"/>
  <c r="C39" i="2"/>
  <c r="D39" i="2"/>
  <c r="I39" i="2"/>
  <c r="K39" i="2"/>
  <c r="M39" i="2"/>
  <c r="N39" i="2"/>
  <c r="B40" i="2"/>
  <c r="C40" i="2"/>
  <c r="D40" i="2"/>
  <c r="N40" i="2"/>
  <c r="B41" i="2"/>
  <c r="C41" i="2"/>
  <c r="D41" i="2"/>
  <c r="B42" i="2"/>
  <c r="C42" i="2"/>
  <c r="D42" i="2"/>
  <c r="B43" i="2"/>
  <c r="C43" i="2"/>
  <c r="D43" i="2"/>
  <c r="H43" i="2"/>
  <c r="B44" i="2"/>
  <c r="C44" i="2"/>
  <c r="D44" i="2"/>
  <c r="H44" i="2"/>
  <c r="B45" i="2"/>
  <c r="C45" i="2"/>
  <c r="D45" i="2"/>
  <c r="H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E18" i="4"/>
  <c r="F18" i="4"/>
  <c r="G18" i="4"/>
  <c r="H18" i="4"/>
  <c r="C22" i="4"/>
  <c r="D22" i="4"/>
  <c r="B23" i="4"/>
  <c r="C23" i="4"/>
  <c r="D23" i="4"/>
  <c r="B24" i="4"/>
  <c r="C24" i="4"/>
  <c r="D24" i="4"/>
  <c r="B25" i="4"/>
  <c r="C25" i="4"/>
  <c r="D25" i="4"/>
  <c r="G25" i="4"/>
  <c r="H25" i="4"/>
  <c r="I25" i="4"/>
  <c r="J25" i="4"/>
  <c r="K25" i="4"/>
  <c r="M25" i="4"/>
  <c r="B26" i="4"/>
  <c r="C26" i="4"/>
  <c r="D26" i="4"/>
  <c r="G26" i="4"/>
  <c r="K26" i="4"/>
  <c r="M26" i="4"/>
  <c r="B27" i="4"/>
  <c r="C27" i="4"/>
  <c r="D27" i="4"/>
  <c r="K27" i="4"/>
  <c r="M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B10" i="3"/>
  <c r="C10" i="3"/>
  <c r="D10" i="3"/>
  <c r="E10" i="3"/>
  <c r="F10" i="3"/>
  <c r="B11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B17" i="3"/>
  <c r="C17" i="3"/>
  <c r="D17" i="3"/>
  <c r="E17" i="3"/>
  <c r="F17" i="3"/>
  <c r="G17" i="3"/>
  <c r="H17" i="3"/>
  <c r="I17" i="3"/>
  <c r="J17" i="3"/>
  <c r="K17" i="3"/>
  <c r="L17" i="3"/>
  <c r="C22" i="3"/>
  <c r="D22" i="3"/>
  <c r="B23" i="3"/>
  <c r="C23" i="3"/>
  <c r="D23" i="3"/>
  <c r="B24" i="3"/>
  <c r="C24" i="3"/>
  <c r="D24" i="3"/>
  <c r="B25" i="3"/>
  <c r="C25" i="3"/>
  <c r="D25" i="3"/>
  <c r="G25" i="3"/>
  <c r="H25" i="3"/>
  <c r="I25" i="3"/>
  <c r="J25" i="3"/>
  <c r="K25" i="3"/>
  <c r="M25" i="3"/>
  <c r="B26" i="3"/>
  <c r="C26" i="3"/>
  <c r="D26" i="3"/>
  <c r="G26" i="3"/>
  <c r="K26" i="3"/>
  <c r="M26" i="3"/>
  <c r="B27" i="3"/>
  <c r="C27" i="3"/>
  <c r="D27" i="3"/>
  <c r="K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C2" i="7"/>
  <c r="D2" i="7"/>
  <c r="C3" i="7"/>
  <c r="D3" i="7"/>
  <c r="C4" i="7"/>
  <c r="D4" i="7"/>
  <c r="I4" i="7"/>
  <c r="K4" i="7"/>
  <c r="M4" i="7"/>
  <c r="N4" i="7"/>
  <c r="C5" i="7"/>
  <c r="D5" i="7"/>
  <c r="I5" i="7"/>
  <c r="K5" i="7"/>
  <c r="M5" i="7"/>
  <c r="N5" i="7"/>
  <c r="C6" i="7"/>
  <c r="D6" i="7"/>
  <c r="I6" i="7"/>
  <c r="K6" i="7"/>
  <c r="M6" i="7"/>
  <c r="N6" i="7"/>
  <c r="C7" i="7"/>
  <c r="D7" i="7"/>
  <c r="I7" i="7"/>
  <c r="K7" i="7"/>
  <c r="M7" i="7"/>
  <c r="N7" i="7"/>
  <c r="C8" i="7"/>
  <c r="D8" i="7"/>
  <c r="I8" i="7"/>
  <c r="K8" i="7"/>
  <c r="M8" i="7"/>
  <c r="N8" i="7"/>
  <c r="C9" i="7"/>
  <c r="D9" i="7"/>
  <c r="N9" i="7"/>
  <c r="C10" i="7"/>
  <c r="D10" i="7"/>
  <c r="C11" i="7"/>
  <c r="D11" i="7"/>
  <c r="C12" i="7"/>
  <c r="D12" i="7"/>
  <c r="I12" i="7"/>
  <c r="C13" i="7"/>
  <c r="D13" i="7"/>
  <c r="H13" i="7"/>
  <c r="C14" i="7"/>
  <c r="D14" i="7"/>
  <c r="H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30" i="7"/>
  <c r="B31" i="7"/>
  <c r="B5" i="6"/>
  <c r="E6" i="6"/>
  <c r="C17" i="6"/>
  <c r="C20" i="6"/>
  <c r="B23" i="6"/>
  <c r="C23" i="6"/>
  <c r="C4" i="1"/>
  <c r="D4" i="1"/>
  <c r="C5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B11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B17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C22" i="1"/>
  <c r="D22" i="1"/>
  <c r="Q22" i="1"/>
  <c r="B23" i="1"/>
  <c r="C23" i="1"/>
  <c r="D23" i="1"/>
  <c r="Q23" i="1"/>
  <c r="B24" i="1"/>
  <c r="C24" i="1"/>
  <c r="D24" i="1"/>
  <c r="Q24" i="1"/>
  <c r="B25" i="1"/>
  <c r="C25" i="1"/>
  <c r="D25" i="1"/>
  <c r="F25" i="1"/>
  <c r="G25" i="1"/>
  <c r="H25" i="1"/>
  <c r="I25" i="1"/>
  <c r="J25" i="1"/>
  <c r="K25" i="1"/>
  <c r="M25" i="1"/>
  <c r="Q25" i="1"/>
  <c r="B26" i="1"/>
  <c r="C26" i="1"/>
  <c r="D26" i="1"/>
  <c r="K26" i="1"/>
  <c r="M26" i="1"/>
  <c r="Q26" i="1"/>
  <c r="B27" i="1"/>
  <c r="C27" i="1"/>
  <c r="D27" i="1"/>
  <c r="G27" i="1"/>
  <c r="H27" i="1"/>
  <c r="I27" i="1"/>
  <c r="J27" i="1"/>
  <c r="K27" i="1"/>
  <c r="M27" i="1"/>
  <c r="B28" i="1"/>
  <c r="C28" i="1"/>
  <c r="D28" i="1"/>
  <c r="K28" i="1"/>
  <c r="Q28" i="1"/>
  <c r="B29" i="1"/>
  <c r="C29" i="1"/>
  <c r="D29" i="1"/>
  <c r="B30" i="1"/>
  <c r="C30" i="1"/>
  <c r="D30" i="1"/>
  <c r="K30" i="1"/>
  <c r="Q30" i="1"/>
  <c r="B31" i="1"/>
  <c r="C31" i="1"/>
  <c r="D31" i="1"/>
  <c r="Q31" i="1"/>
  <c r="B32" i="1"/>
  <c r="C32" i="1"/>
  <c r="D32" i="1"/>
  <c r="B33" i="1"/>
  <c r="C33" i="1"/>
  <c r="D33" i="1"/>
  <c r="B34" i="1"/>
  <c r="C34" i="1"/>
  <c r="D34" i="1"/>
  <c r="B35" i="1"/>
  <c r="C35" i="1"/>
  <c r="D35" i="1"/>
  <c r="K35" i="1"/>
  <c r="M35" i="1"/>
  <c r="N35" i="1"/>
  <c r="B36" i="1"/>
  <c r="C36" i="1"/>
  <c r="D36" i="1"/>
  <c r="K36" i="1"/>
  <c r="M36" i="1"/>
  <c r="N36" i="1"/>
  <c r="B37" i="1"/>
  <c r="C37" i="1"/>
  <c r="D37" i="1"/>
  <c r="K37" i="1"/>
  <c r="M37" i="1"/>
  <c r="N37" i="1"/>
  <c r="B38" i="1"/>
  <c r="C38" i="1"/>
  <c r="D38" i="1"/>
  <c r="K38" i="1"/>
  <c r="M38" i="1"/>
  <c r="N38" i="1"/>
  <c r="B39" i="1"/>
  <c r="C39" i="1"/>
  <c r="D39" i="1"/>
  <c r="K39" i="1"/>
  <c r="M39" i="1"/>
  <c r="N39" i="1"/>
  <c r="B40" i="1"/>
  <c r="C40" i="1"/>
  <c r="D40" i="1"/>
  <c r="N40" i="1"/>
  <c r="B41" i="1"/>
  <c r="C41" i="1"/>
  <c r="D41" i="1"/>
  <c r="B42" i="1"/>
  <c r="C42" i="1"/>
  <c r="D42" i="1"/>
  <c r="B43" i="1"/>
  <c r="C43" i="1"/>
  <c r="D43" i="1"/>
  <c r="H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</calcChain>
</file>

<file path=xl/sharedStrings.xml><?xml version="1.0" encoding="utf-8"?>
<sst xmlns="http://schemas.openxmlformats.org/spreadsheetml/2006/main" count="213" uniqueCount="69">
  <si>
    <t>ENE Price</t>
  </si>
  <si>
    <t>Shares delivered</t>
  </si>
  <si>
    <t>Value</t>
  </si>
  <si>
    <t>Shares</t>
  </si>
  <si>
    <t>Drift</t>
  </si>
  <si>
    <t>Vol</t>
  </si>
  <si>
    <t>Div. Yield</t>
  </si>
  <si>
    <t>Maturity</t>
  </si>
  <si>
    <t>&lt;= in years</t>
  </si>
  <si>
    <t>Today</t>
  </si>
  <si>
    <t>Type</t>
  </si>
  <si>
    <t>European Settlement</t>
  </si>
  <si>
    <t>ENE delivers ENE shares based on its stock price at maturity.  The table below summarizes the number of shares to be delivered.</t>
  </si>
  <si>
    <t>Number of shares delivered is constant beyond the terminal points.  The number varies linearly in stock price in each interval.</t>
  </si>
  <si>
    <t>Terminal ENE</t>
  </si>
  <si>
    <t>Price</t>
  </si>
  <si>
    <t>Delivered</t>
  </si>
  <si>
    <t>(MM)</t>
  </si>
  <si>
    <t>MM$</t>
  </si>
  <si>
    <t>Loss / $ decline</t>
  </si>
  <si>
    <t>Below $48.55 stock price, ENRON simply delivers 18 MM shares (constant).</t>
  </si>
  <si>
    <t>Random Shock</t>
  </si>
  <si>
    <t>Terminal Price</t>
  </si>
  <si>
    <t>Bottom</t>
  </si>
  <si>
    <t>Top</t>
  </si>
  <si>
    <t>Slope</t>
  </si>
  <si>
    <t>Shares Delivered</t>
  </si>
  <si>
    <t>0=put</t>
  </si>
  <si>
    <t>Premium</t>
  </si>
  <si>
    <t>Position</t>
  </si>
  <si>
    <t>OptType</t>
  </si>
  <si>
    <t>per unit</t>
  </si>
  <si>
    <t>Total</t>
  </si>
  <si>
    <t xml:space="preserve">Long Digital put @ </t>
  </si>
  <si>
    <t>Cash</t>
  </si>
  <si>
    <t>Long Euro Put @</t>
  </si>
  <si>
    <t>Short Digital Put @</t>
  </si>
  <si>
    <t>Short Euro Put @</t>
  </si>
  <si>
    <t>IR</t>
  </si>
  <si>
    <t>Volatility</t>
  </si>
  <si>
    <t>Yield</t>
  </si>
  <si>
    <t xml:space="preserve">ExercisePrice = </t>
  </si>
  <si>
    <t>Top1</t>
  </si>
  <si>
    <t>Bottom1</t>
  </si>
  <si>
    <t>Top2</t>
  </si>
  <si>
    <t>Bottom2</t>
  </si>
  <si>
    <t>Top3</t>
  </si>
  <si>
    <t>Bottom3</t>
  </si>
  <si>
    <t>M1</t>
  </si>
  <si>
    <t>T1</t>
  </si>
  <si>
    <t>T2</t>
  </si>
  <si>
    <t>T3</t>
  </si>
  <si>
    <t>TopT</t>
  </si>
  <si>
    <t>BottomT</t>
  </si>
  <si>
    <t>MT</t>
  </si>
  <si>
    <t>TT</t>
  </si>
  <si>
    <t xml:space="preserve">Long Euro put @ </t>
  </si>
  <si>
    <t>Restricted until</t>
  </si>
  <si>
    <t>Restriction Valuation</t>
  </si>
  <si>
    <t>Forward Price</t>
  </si>
  <si>
    <t>Strike Price on Fwd</t>
  </si>
  <si>
    <t>Div. US$</t>
  </si>
  <si>
    <t>Days to Expiry</t>
  </si>
  <si>
    <t>Call Flag (Put = 0)</t>
  </si>
  <si>
    <t>Ret Type (Premium = 0)</t>
  </si>
  <si>
    <t>Years of restrict</t>
  </si>
  <si>
    <t>Total Shares Delivered</t>
  </si>
  <si>
    <t>Put Premium</t>
  </si>
  <si>
    <t>% Put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</si>
</sst>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  <numFmt numFmtId="168" formatCode="_(&quot;$&quot;* #,##0_);_(&quot;$&quot;* \(#,##0\);_(&quot;$&quot;* &quot;-&quot;??_);_(@_)"/>
    <numFmt numFmtId="169" formatCode="_(&quot;$&quot;* #,##0.000_);_(&quot;$&quot;* \(#,##0.000\);_(&quot;$&quot;* &quot;-&quot;??_);_(@_)"/>
    <numFmt numFmtId="172" formatCode="0.0%"/>
  </numFmts>
  <fonts count="7" x14ac:knownFonts="1">
    <font>
      <sz val="10"/>
      <name val="Arial"/>
    </font>
    <font>
      <sz val="10"/>
      <name val="Arial"/>
    </font>
    <font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44" fontId="0" fillId="0" borderId="0" xfId="2" applyFont="1"/>
    <xf numFmtId="166" fontId="0" fillId="0" borderId="0" xfId="1" applyNumberFormat="1" applyFont="1"/>
    <xf numFmtId="44" fontId="0" fillId="0" borderId="0" xfId="0" applyNumberFormat="1"/>
    <xf numFmtId="10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3" borderId="0" xfId="1" applyNumberFormat="1" applyFont="1" applyFill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3" fontId="0" fillId="0" borderId="0" xfId="0" applyNumberFormat="1"/>
    <xf numFmtId="3" fontId="0" fillId="0" borderId="1" xfId="0" applyNumberFormat="1" applyBorder="1"/>
    <xf numFmtId="2" fontId="0" fillId="0" borderId="0" xfId="0" applyNumberFormat="1"/>
    <xf numFmtId="165" fontId="0" fillId="0" borderId="0" xfId="1" applyNumberFormat="1" applyFont="1" applyFill="1"/>
    <xf numFmtId="165" fontId="0" fillId="0" borderId="0" xfId="0" applyNumberFormat="1" applyFill="1"/>
    <xf numFmtId="2" fontId="0" fillId="0" borderId="0" xfId="1" applyNumberFormat="1" applyFont="1"/>
    <xf numFmtId="0" fontId="0" fillId="0" borderId="0" xfId="0" applyFill="1"/>
    <xf numFmtId="2" fontId="0" fillId="0" borderId="0" xfId="0" applyNumberFormat="1" applyFill="1"/>
    <xf numFmtId="43" fontId="0" fillId="0" borderId="0" xfId="1" applyNumberFormat="1" applyFont="1"/>
    <xf numFmtId="2" fontId="2" fillId="0" borderId="0" xfId="0" applyNumberFormat="1" applyFont="1"/>
    <xf numFmtId="2" fontId="3" fillId="0" borderId="0" xfId="0" applyNumberFormat="1" applyFont="1"/>
    <xf numFmtId="172" fontId="2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65" fontId="4" fillId="0" borderId="0" xfId="1" applyNumberFormat="1" applyFont="1"/>
    <xf numFmtId="167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9" fontId="6" fillId="0" borderId="0" xfId="0" applyNumberFormat="1" applyFont="1"/>
    <xf numFmtId="15" fontId="6" fillId="0" borderId="0" xfId="0" applyNumberFormat="1" applyFont="1"/>
    <xf numFmtId="14" fontId="6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Raptors/Put/V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">
          <cell r="C4">
            <v>0.41</v>
          </cell>
        </row>
        <row r="6">
          <cell r="F6" t="str">
            <v>&lt;= in 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E1" workbookViewId="0">
      <selection activeCell="H10" sqref="H10"/>
    </sheetView>
  </sheetViews>
  <sheetFormatPr defaultRowHeight="12.75" x14ac:dyDescent="0.2"/>
  <cols>
    <col min="1" max="2" width="14.85546875" customWidth="1"/>
    <col min="3" max="3" width="12.28515625" customWidth="1"/>
    <col min="4" max="4" width="11.28515625" customWidth="1"/>
    <col min="11" max="11" width="12.28515625" customWidth="1"/>
    <col min="13" max="13" width="12.42578125" customWidth="1"/>
    <col min="14" max="14" width="13.28515625" customWidth="1"/>
  </cols>
  <sheetData>
    <row r="1" spans="1:14" x14ac:dyDescent="0.2">
      <c r="A1" t="s">
        <v>0</v>
      </c>
      <c r="B1" t="s">
        <v>26</v>
      </c>
      <c r="C1" t="s">
        <v>2</v>
      </c>
    </row>
    <row r="2" spans="1:14" x14ac:dyDescent="0.2">
      <c r="A2" s="2">
        <v>48.55</v>
      </c>
      <c r="B2" s="1">
        <v>18012590</v>
      </c>
      <c r="C2" s="1">
        <f t="shared" ref="C2:C29" si="0">+A2*B2</f>
        <v>874511244.5</v>
      </c>
      <c r="D2" s="9">
        <f>C2-C3</f>
        <v>31987373.550000072</v>
      </c>
      <c r="L2" s="8" t="s">
        <v>27</v>
      </c>
      <c r="M2" s="8" t="s">
        <v>28</v>
      </c>
    </row>
    <row r="3" spans="1:14" x14ac:dyDescent="0.2">
      <c r="A3" s="2">
        <v>49.55</v>
      </c>
      <c r="B3" s="1">
        <v>17003509</v>
      </c>
      <c r="C3" s="1">
        <f t="shared" si="0"/>
        <v>842523870.94999993</v>
      </c>
      <c r="D3" s="9">
        <f t="shared" ref="D3:D28" si="1">C3-C4</f>
        <v>31987427.899999976</v>
      </c>
      <c r="F3" t="s">
        <v>29</v>
      </c>
      <c r="L3" s="8" t="s">
        <v>30</v>
      </c>
      <c r="M3" s="8" t="s">
        <v>31</v>
      </c>
      <c r="N3" t="s">
        <v>32</v>
      </c>
    </row>
    <row r="4" spans="1:14" x14ac:dyDescent="0.2">
      <c r="A4" s="2">
        <v>50.55</v>
      </c>
      <c r="B4" s="1">
        <v>16034351</v>
      </c>
      <c r="C4" s="1">
        <f t="shared" si="0"/>
        <v>810536443.04999995</v>
      </c>
      <c r="D4" s="9">
        <f t="shared" si="1"/>
        <v>31987412.350000024</v>
      </c>
      <c r="G4" t="s">
        <v>33</v>
      </c>
      <c r="I4" s="4">
        <f>A29</f>
        <v>75.55</v>
      </c>
      <c r="J4" t="s">
        <v>34</v>
      </c>
      <c r="K4" s="13">
        <f>C29</f>
        <v>10851246.5</v>
      </c>
      <c r="L4">
        <v>0</v>
      </c>
      <c r="M4" s="14">
        <f>_xll.DIGITAL(1,$H$10,I4,$H$11,$H$14,$H$13,$H$12*365,+L4,0)</f>
        <v>0.63410403165609619</v>
      </c>
      <c r="N4" s="15">
        <f>M4*K4</f>
        <v>6880819.1541441027</v>
      </c>
    </row>
    <row r="5" spans="1:14" x14ac:dyDescent="0.2">
      <c r="A5" s="2">
        <v>51.55</v>
      </c>
      <c r="B5" s="1">
        <v>15102794</v>
      </c>
      <c r="C5" s="1">
        <f t="shared" si="0"/>
        <v>778549030.69999993</v>
      </c>
      <c r="D5" s="9">
        <f t="shared" si="1"/>
        <v>31987418.649999976</v>
      </c>
      <c r="G5" t="s">
        <v>35</v>
      </c>
      <c r="I5" s="4">
        <f>I4</f>
        <v>75.55</v>
      </c>
      <c r="J5" t="s">
        <v>3</v>
      </c>
      <c r="K5" s="9">
        <f>D2</f>
        <v>31987373.550000072</v>
      </c>
      <c r="L5">
        <v>0</v>
      </c>
      <c r="M5" s="14">
        <f>_xll.EURO($H$10,I5,$H$11,$H$14,$H$13,$H$12*365,L5,0)</f>
        <v>19.656291738180535</v>
      </c>
      <c r="N5" s="15">
        <f>M5*K5</f>
        <v>628753146.43696094</v>
      </c>
    </row>
    <row r="6" spans="1:14" x14ac:dyDescent="0.2">
      <c r="A6" s="2">
        <v>52.55</v>
      </c>
      <c r="B6" s="1">
        <v>14206691</v>
      </c>
      <c r="C6" s="1">
        <f t="shared" si="0"/>
        <v>746561612.04999995</v>
      </c>
      <c r="D6" s="9">
        <f t="shared" si="1"/>
        <v>31987413.25</v>
      </c>
      <c r="G6" t="s">
        <v>36</v>
      </c>
      <c r="I6" s="4">
        <f>A2</f>
        <v>48.55</v>
      </c>
      <c r="J6" t="s">
        <v>34</v>
      </c>
      <c r="K6" s="13">
        <f>K4</f>
        <v>10851246.5</v>
      </c>
      <c r="L6">
        <v>0</v>
      </c>
      <c r="M6" s="14">
        <f>-_xll.DIGITAL(1,$H$10,I6,$H$11,$H$14,$H$13,$H$12*365,+L6,0)</f>
        <v>-0.374869767087052</v>
      </c>
      <c r="N6" s="15">
        <f>M6*K6</f>
        <v>-4067804.248059188</v>
      </c>
    </row>
    <row r="7" spans="1:14" x14ac:dyDescent="0.2">
      <c r="A7" s="2">
        <v>53.55</v>
      </c>
      <c r="B7" s="1">
        <v>13344056</v>
      </c>
      <c r="C7" s="1">
        <f t="shared" si="0"/>
        <v>714574198.79999995</v>
      </c>
      <c r="D7" s="9">
        <f t="shared" si="1"/>
        <v>31987375.850000024</v>
      </c>
      <c r="G7" t="s">
        <v>37</v>
      </c>
      <c r="I7" s="4">
        <f>I6</f>
        <v>48.55</v>
      </c>
      <c r="J7" t="s">
        <v>3</v>
      </c>
      <c r="K7" s="9">
        <f>K5</f>
        <v>31987373.550000072</v>
      </c>
      <c r="L7">
        <v>0</v>
      </c>
      <c r="M7" s="14">
        <f>-_xll.EURO($H$10,I7,$H$11,$H$14,$H$13,$H$12*365,L7,0)</f>
        <v>-5.6946684706497219</v>
      </c>
      <c r="N7" s="15">
        <f>M7*K7</f>
        <v>-182157487.61408028</v>
      </c>
    </row>
    <row r="8" spans="1:14" ht="13.5" thickBot="1" x14ac:dyDescent="0.25">
      <c r="A8" s="2">
        <v>54.55</v>
      </c>
      <c r="B8" s="1">
        <v>12513049</v>
      </c>
      <c r="C8" s="1">
        <f t="shared" si="0"/>
        <v>682586822.94999993</v>
      </c>
      <c r="D8" s="9">
        <f t="shared" si="1"/>
        <v>31987444.949999928</v>
      </c>
      <c r="G8" t="s">
        <v>37</v>
      </c>
      <c r="I8" s="4">
        <f>I7</f>
        <v>48.55</v>
      </c>
      <c r="J8" t="s">
        <v>3</v>
      </c>
      <c r="K8" s="9">
        <f>B2</f>
        <v>18012590</v>
      </c>
      <c r="L8">
        <v>0</v>
      </c>
      <c r="M8" s="14">
        <f>-_xll.EURO($H$10,I8,$H$11,$H$14,$H$13,$H$12*365,L8,0)</f>
        <v>-5.6946684706497219</v>
      </c>
      <c r="N8" s="16">
        <f>M8*K8</f>
        <v>-102575728.34774047</v>
      </c>
    </row>
    <row r="9" spans="1:14" ht="13.5" thickTop="1" x14ac:dyDescent="0.2">
      <c r="A9" s="2">
        <v>55.55</v>
      </c>
      <c r="B9" s="1">
        <v>11711960</v>
      </c>
      <c r="C9" s="1">
        <f t="shared" si="0"/>
        <v>650599378</v>
      </c>
      <c r="D9" s="9">
        <f t="shared" si="1"/>
        <v>31987391.800000072</v>
      </c>
      <c r="N9" s="15">
        <f>SUM(N4:N8)</f>
        <v>346832945.38122505</v>
      </c>
    </row>
    <row r="10" spans="1:14" x14ac:dyDescent="0.2">
      <c r="A10" s="2">
        <v>56.55</v>
      </c>
      <c r="B10" s="1">
        <v>10939204</v>
      </c>
      <c r="C10" s="1">
        <f t="shared" si="0"/>
        <v>618611986.19999993</v>
      </c>
      <c r="D10" s="9">
        <f t="shared" si="1"/>
        <v>31987398.549999952</v>
      </c>
      <c r="G10" t="s">
        <v>15</v>
      </c>
      <c r="H10" s="17">
        <v>58</v>
      </c>
    </row>
    <row r="11" spans="1:14" x14ac:dyDescent="0.2">
      <c r="A11" s="2">
        <v>57.55</v>
      </c>
      <c r="B11" s="1">
        <v>10193303</v>
      </c>
      <c r="C11" s="1">
        <f t="shared" si="0"/>
        <v>586624587.64999998</v>
      </c>
      <c r="D11" s="9">
        <f t="shared" si="1"/>
        <v>31987405.100000024</v>
      </c>
      <c r="G11" t="s">
        <v>38</v>
      </c>
      <c r="H11" s="6">
        <v>0.06</v>
      </c>
    </row>
    <row r="12" spans="1:14" x14ac:dyDescent="0.2">
      <c r="A12" s="2">
        <v>58.55</v>
      </c>
      <c r="B12" s="1">
        <v>9472881</v>
      </c>
      <c r="C12" s="1">
        <f t="shared" si="0"/>
        <v>554637182.54999995</v>
      </c>
      <c r="D12" s="9">
        <f t="shared" si="1"/>
        <v>31987436.849999964</v>
      </c>
      <c r="G12" t="s">
        <v>7</v>
      </c>
      <c r="H12">
        <v>2</v>
      </c>
      <c r="I12" t="str">
        <f>[1]Sheet1!F6</f>
        <v>&lt;= in years</v>
      </c>
    </row>
    <row r="13" spans="1:14" x14ac:dyDescent="0.2">
      <c r="A13" s="2">
        <v>59.55</v>
      </c>
      <c r="B13" s="1">
        <v>8776654</v>
      </c>
      <c r="C13" s="1">
        <f t="shared" si="0"/>
        <v>522649745.69999999</v>
      </c>
      <c r="D13" s="9">
        <f t="shared" si="1"/>
        <v>31987361.949999988</v>
      </c>
      <c r="G13" t="s">
        <v>39</v>
      </c>
      <c r="H13" s="6">
        <f>[1]Sheet1!C4</f>
        <v>0.41</v>
      </c>
    </row>
    <row r="14" spans="1:14" x14ac:dyDescent="0.2">
      <c r="A14" s="2">
        <v>60.55</v>
      </c>
      <c r="B14" s="1">
        <v>8103425</v>
      </c>
      <c r="C14" s="1">
        <f t="shared" si="0"/>
        <v>490662383.75</v>
      </c>
      <c r="D14" s="9">
        <f t="shared" si="1"/>
        <v>31987413.700000048</v>
      </c>
      <c r="G14" t="s">
        <v>40</v>
      </c>
      <c r="H14" s="5">
        <f>0.5/60</f>
        <v>8.3333333333333332E-3</v>
      </c>
    </row>
    <row r="15" spans="1:14" x14ac:dyDescent="0.2">
      <c r="A15" s="2">
        <v>61.55</v>
      </c>
      <c r="B15" s="1">
        <v>7452071</v>
      </c>
      <c r="C15" s="1">
        <f t="shared" si="0"/>
        <v>458674970.04999995</v>
      </c>
      <c r="D15" s="9">
        <f t="shared" si="1"/>
        <v>31987455.399999976</v>
      </c>
    </row>
    <row r="16" spans="1:14" x14ac:dyDescent="0.2">
      <c r="A16" s="2">
        <v>62.55</v>
      </c>
      <c r="B16" s="1">
        <v>6821543</v>
      </c>
      <c r="C16" s="1">
        <f t="shared" si="0"/>
        <v>426687514.64999998</v>
      </c>
      <c r="D16" s="9">
        <f t="shared" si="1"/>
        <v>31987361.649999976</v>
      </c>
    </row>
    <row r="17" spans="1:4" x14ac:dyDescent="0.2">
      <c r="A17" s="2">
        <v>63.55</v>
      </c>
      <c r="B17" s="1">
        <v>6210860</v>
      </c>
      <c r="C17" s="1">
        <f t="shared" si="0"/>
        <v>394700153</v>
      </c>
      <c r="D17" s="9">
        <f t="shared" si="1"/>
        <v>31987441.650000036</v>
      </c>
    </row>
    <row r="18" spans="1:4" x14ac:dyDescent="0.2">
      <c r="A18" s="2">
        <v>64.55</v>
      </c>
      <c r="B18" s="1">
        <v>5619097</v>
      </c>
      <c r="C18" s="1">
        <f t="shared" si="0"/>
        <v>362712711.34999996</v>
      </c>
      <c r="D18" s="9">
        <f t="shared" si="1"/>
        <v>31987396.849999964</v>
      </c>
    </row>
    <row r="19" spans="1:4" x14ac:dyDescent="0.2">
      <c r="A19" s="2">
        <v>65.55</v>
      </c>
      <c r="B19" s="1">
        <v>5045390</v>
      </c>
      <c r="C19" s="1">
        <f t="shared" si="0"/>
        <v>330725314.5</v>
      </c>
      <c r="D19" s="9">
        <f t="shared" si="1"/>
        <v>31987422.300000012</v>
      </c>
    </row>
    <row r="20" spans="1:4" x14ac:dyDescent="0.2">
      <c r="A20" s="2">
        <v>66.55</v>
      </c>
      <c r="B20" s="1">
        <v>4488924</v>
      </c>
      <c r="C20" s="1">
        <f t="shared" si="0"/>
        <v>298737892.19999999</v>
      </c>
      <c r="D20" s="9">
        <f t="shared" si="1"/>
        <v>31987400.5</v>
      </c>
    </row>
    <row r="21" spans="1:4" x14ac:dyDescent="0.2">
      <c r="A21" s="2">
        <v>67.55</v>
      </c>
      <c r="B21" s="1">
        <v>3948934</v>
      </c>
      <c r="C21" s="1">
        <f t="shared" si="0"/>
        <v>266750491.69999999</v>
      </c>
      <c r="D21" s="9">
        <f t="shared" si="1"/>
        <v>31987443.800000012</v>
      </c>
    </row>
    <row r="22" spans="1:4" x14ac:dyDescent="0.2">
      <c r="A22" s="2">
        <v>68.55</v>
      </c>
      <c r="B22" s="1">
        <v>3424698</v>
      </c>
      <c r="C22" s="1">
        <f t="shared" si="0"/>
        <v>234763047.89999998</v>
      </c>
      <c r="D22" s="9">
        <f t="shared" si="1"/>
        <v>31987379.99999997</v>
      </c>
    </row>
    <row r="23" spans="1:4" x14ac:dyDescent="0.2">
      <c r="A23" s="2">
        <v>69.55</v>
      </c>
      <c r="B23" s="1">
        <v>2915538</v>
      </c>
      <c r="C23" s="1">
        <f t="shared" si="0"/>
        <v>202775667.90000001</v>
      </c>
      <c r="D23" s="9">
        <f t="shared" si="1"/>
        <v>31987381.300000012</v>
      </c>
    </row>
    <row r="24" spans="1:4" x14ac:dyDescent="0.2">
      <c r="A24" s="2">
        <v>70.55</v>
      </c>
      <c r="B24" s="1">
        <v>2420812</v>
      </c>
      <c r="C24" s="1">
        <f t="shared" si="0"/>
        <v>170788286.59999999</v>
      </c>
      <c r="D24" s="9">
        <f t="shared" si="1"/>
        <v>31987439.900000006</v>
      </c>
    </row>
    <row r="25" spans="1:4" x14ac:dyDescent="0.2">
      <c r="A25" s="2">
        <v>71.55</v>
      </c>
      <c r="B25" s="1">
        <v>1939914</v>
      </c>
      <c r="C25" s="1">
        <f t="shared" si="0"/>
        <v>138800846.69999999</v>
      </c>
      <c r="D25" s="9">
        <f t="shared" si="1"/>
        <v>31987440.549999997</v>
      </c>
    </row>
    <row r="26" spans="1:4" x14ac:dyDescent="0.2">
      <c r="A26" s="2">
        <v>72.55</v>
      </c>
      <c r="B26" s="1">
        <v>1472273</v>
      </c>
      <c r="C26" s="1">
        <f t="shared" si="0"/>
        <v>106813406.14999999</v>
      </c>
      <c r="D26" s="9">
        <f t="shared" si="1"/>
        <v>31987387.199999988</v>
      </c>
    </row>
    <row r="27" spans="1:4" x14ac:dyDescent="0.2">
      <c r="A27" s="2">
        <v>73.55</v>
      </c>
      <c r="B27" s="1">
        <v>1017349</v>
      </c>
      <c r="C27" s="1">
        <f t="shared" si="0"/>
        <v>74826018.950000003</v>
      </c>
      <c r="D27" s="9">
        <f t="shared" si="1"/>
        <v>31987427.000000007</v>
      </c>
    </row>
    <row r="28" spans="1:4" x14ac:dyDescent="0.2">
      <c r="A28" s="2">
        <v>74.55</v>
      </c>
      <c r="B28" s="1">
        <v>574629</v>
      </c>
      <c r="C28" s="1">
        <f t="shared" si="0"/>
        <v>42838591.949999996</v>
      </c>
      <c r="D28" s="9">
        <f t="shared" si="1"/>
        <v>31987345.449999996</v>
      </c>
    </row>
    <row r="29" spans="1:4" x14ac:dyDescent="0.2">
      <c r="A29" s="2">
        <v>75.55</v>
      </c>
      <c r="B29" s="1">
        <v>143630</v>
      </c>
      <c r="C29" s="1">
        <f t="shared" si="0"/>
        <v>10851246.5</v>
      </c>
    </row>
    <row r="30" spans="1:4" x14ac:dyDescent="0.2">
      <c r="C30">
        <v>0</v>
      </c>
      <c r="D30">
        <f>C29/D28</f>
        <v>0.33923560543533637</v>
      </c>
    </row>
    <row r="31" spans="1:4" x14ac:dyDescent="0.2">
      <c r="A31" t="s">
        <v>41</v>
      </c>
      <c r="B31" s="4">
        <f>A29+D30</f>
        <v>75.889235605435331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B22" sqref="B22"/>
    </sheetView>
  </sheetViews>
  <sheetFormatPr defaultRowHeight="12.75" x14ac:dyDescent="0.2"/>
  <cols>
    <col min="1" max="1" width="13.85546875" customWidth="1"/>
    <col min="2" max="2" width="12" customWidth="1"/>
    <col min="3" max="3" width="12.85546875" customWidth="1"/>
    <col min="4" max="4" width="13.140625" customWidth="1"/>
    <col min="5" max="5" width="12" customWidth="1"/>
    <col min="6" max="6" width="13.140625" customWidth="1"/>
    <col min="8" max="8" width="11.28515625" customWidth="1"/>
  </cols>
  <sheetData>
    <row r="2" spans="1:6" x14ac:dyDescent="0.2">
      <c r="A2" t="s">
        <v>0</v>
      </c>
      <c r="B2" s="31">
        <v>61.48</v>
      </c>
    </row>
    <row r="3" spans="1:6" x14ac:dyDescent="0.2">
      <c r="A3" t="s">
        <v>4</v>
      </c>
      <c r="B3" s="32">
        <v>0.06</v>
      </c>
      <c r="C3" s="5"/>
      <c r="D3" s="5"/>
    </row>
    <row r="4" spans="1:6" x14ac:dyDescent="0.2">
      <c r="A4" t="s">
        <v>5</v>
      </c>
      <c r="B4" s="33">
        <v>0.4</v>
      </c>
      <c r="C4" s="6"/>
      <c r="D4" s="6"/>
    </row>
    <row r="5" spans="1:6" x14ac:dyDescent="0.2">
      <c r="A5" t="s">
        <v>6</v>
      </c>
      <c r="B5" s="32">
        <f>0.5/B2</f>
        <v>8.1327260897852971E-3</v>
      </c>
      <c r="C5" s="5"/>
      <c r="D5" s="6"/>
    </row>
    <row r="6" spans="1:6" x14ac:dyDescent="0.2">
      <c r="A6" t="s">
        <v>7</v>
      </c>
      <c r="B6" s="34">
        <v>37681</v>
      </c>
      <c r="C6" s="7"/>
      <c r="D6" s="7"/>
      <c r="E6">
        <f>(B6-B7)/365</f>
        <v>1.9315068493150684</v>
      </c>
      <c r="F6" t="s">
        <v>8</v>
      </c>
    </row>
    <row r="7" spans="1:6" x14ac:dyDescent="0.2">
      <c r="A7" t="s">
        <v>9</v>
      </c>
      <c r="B7" s="34">
        <v>36976</v>
      </c>
      <c r="C7" s="7"/>
      <c r="D7" s="7"/>
    </row>
    <row r="8" spans="1:6" x14ac:dyDescent="0.2">
      <c r="A8" t="s">
        <v>10</v>
      </c>
      <c r="B8" t="s">
        <v>11</v>
      </c>
    </row>
    <row r="9" spans="1:6" x14ac:dyDescent="0.2">
      <c r="A9" t="s">
        <v>57</v>
      </c>
      <c r="B9" s="35">
        <v>38412</v>
      </c>
    </row>
    <row r="10" spans="1:6" x14ac:dyDescent="0.2">
      <c r="A10" t="s">
        <v>12</v>
      </c>
    </row>
    <row r="11" spans="1:6" x14ac:dyDescent="0.2">
      <c r="A11" t="s">
        <v>13</v>
      </c>
    </row>
    <row r="14" spans="1:6" x14ac:dyDescent="0.2">
      <c r="A14" s="8" t="s">
        <v>14</v>
      </c>
      <c r="B14" s="8" t="s">
        <v>3</v>
      </c>
      <c r="C14" s="8" t="s">
        <v>2</v>
      </c>
      <c r="D14" s="8"/>
    </row>
    <row r="15" spans="1:6" x14ac:dyDescent="0.2">
      <c r="A15" s="8" t="s">
        <v>15</v>
      </c>
      <c r="B15" s="8" t="s">
        <v>16</v>
      </c>
      <c r="C15" s="8" t="s">
        <v>16</v>
      </c>
      <c r="D15" s="8"/>
    </row>
    <row r="16" spans="1:6" x14ac:dyDescent="0.2">
      <c r="B16" t="s">
        <v>17</v>
      </c>
      <c r="C16" t="s">
        <v>18</v>
      </c>
    </row>
    <row r="17" spans="1:8" x14ac:dyDescent="0.2">
      <c r="A17">
        <v>75.55</v>
      </c>
      <c r="B17" s="1">
        <v>143630</v>
      </c>
      <c r="C17" s="1">
        <f>A17*B17</f>
        <v>10851246.5</v>
      </c>
    </row>
    <row r="18" spans="1:8" x14ac:dyDescent="0.2">
      <c r="A18" t="s">
        <v>19</v>
      </c>
      <c r="B18" s="1"/>
      <c r="C18" s="1"/>
      <c r="D18" s="9">
        <v>31987373.550000072</v>
      </c>
    </row>
    <row r="20" spans="1:8" x14ac:dyDescent="0.2">
      <c r="A20">
        <v>48.55</v>
      </c>
      <c r="B20" s="1">
        <v>18012590</v>
      </c>
      <c r="C20" s="1">
        <f>A20*B20</f>
        <v>874511244.5</v>
      </c>
    </row>
    <row r="21" spans="1:8" x14ac:dyDescent="0.2">
      <c r="A21" t="s">
        <v>20</v>
      </c>
    </row>
    <row r="22" spans="1:8" x14ac:dyDescent="0.2">
      <c r="A22" t="s">
        <v>21</v>
      </c>
      <c r="B22" s="10">
        <v>0</v>
      </c>
      <c r="C22" s="21"/>
    </row>
    <row r="23" spans="1:8" x14ac:dyDescent="0.2">
      <c r="A23" t="s">
        <v>0</v>
      </c>
      <c r="B23" s="22">
        <f>B2*EXP((B3-B5-0.5*B4^2)*E6+B4*B22*SQRT(E6))</f>
        <v>58.228409160024107</v>
      </c>
      <c r="C23" s="22" t="e">
        <f>C2*EXP((C3-C5-0.5*C4^2)*F6+C4*C22*SQRT(F6))</f>
        <v>#VALUE!</v>
      </c>
    </row>
    <row r="28" spans="1:8" x14ac:dyDescent="0.2">
      <c r="C28" s="1"/>
      <c r="D28" s="9"/>
      <c r="E28" s="9"/>
      <c r="F28" s="18"/>
      <c r="H28" s="9"/>
    </row>
    <row r="29" spans="1:8" x14ac:dyDescent="0.2">
      <c r="C29" s="1"/>
      <c r="D29" s="1"/>
      <c r="E29" s="9"/>
      <c r="F29" s="18"/>
      <c r="H29" s="9"/>
    </row>
    <row r="30" spans="1:8" x14ac:dyDescent="0.2">
      <c r="C30" s="1"/>
      <c r="D30" s="1"/>
      <c r="E30" s="9"/>
      <c r="F30" s="18"/>
      <c r="H30" s="9"/>
    </row>
    <row r="31" spans="1:8" x14ac:dyDescent="0.2">
      <c r="D31" s="1"/>
      <c r="E31" s="12"/>
      <c r="F31" s="18"/>
      <c r="H31" s="9"/>
    </row>
    <row r="32" spans="1:8" x14ac:dyDescent="0.2">
      <c r="F32" s="21"/>
    </row>
    <row r="33" spans="6:6" x14ac:dyDescent="0.2">
      <c r="F33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3"/>
  <sheetViews>
    <sheetView topLeftCell="E1" workbookViewId="0">
      <selection activeCell="G25" sqref="G25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1" width="14" style="1" bestFit="1" customWidth="1"/>
    <col min="12" max="12" width="8" style="1" customWidth="1"/>
    <col min="13" max="13" width="10.85546875" style="1" bestFit="1" customWidth="1"/>
    <col min="14" max="14" width="11.140625" style="1" bestFit="1" customWidth="1"/>
    <col min="15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52.63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+Total!C4-6326045-7809790</f>
        <v>3876755</v>
      </c>
      <c r="D4" s="1">
        <f>+Total!D4-6326045-7809790</f>
        <v>3876755</v>
      </c>
      <c r="E4" s="1">
        <f>+Total!E4-6326045-7809790</f>
        <v>1898516</v>
      </c>
      <c r="F4" s="1">
        <f>+Total!F4-6326045-7809790</f>
        <v>966959</v>
      </c>
      <c r="G4" s="1">
        <f>+Total!G4-6326045-7809790</f>
        <v>70856</v>
      </c>
      <c r="H4" s="1">
        <v>0</v>
      </c>
    </row>
    <row r="5" spans="1:12" x14ac:dyDescent="0.2">
      <c r="A5" s="1" t="s">
        <v>2</v>
      </c>
      <c r="C5" s="1">
        <f t="shared" ref="C5:L5" si="0">+C3*C4</f>
        <v>188216455.25</v>
      </c>
      <c r="D5" s="1">
        <f t="shared" si="0"/>
        <v>192093210.25</v>
      </c>
      <c r="E5" s="1">
        <f t="shared" si="0"/>
        <v>95969983.799999997</v>
      </c>
      <c r="F5" s="1">
        <f t="shared" si="0"/>
        <v>49846736.449999996</v>
      </c>
      <c r="G5" s="1">
        <f t="shared" si="0"/>
        <v>3723482.8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</row>
    <row r="6" spans="1:12" x14ac:dyDescent="0.2">
      <c r="D6" s="1">
        <f>D5-C5</f>
        <v>3876755</v>
      </c>
      <c r="E6" s="1">
        <f>E5-D5</f>
        <v>-96123226.450000003</v>
      </c>
      <c r="F6" s="1">
        <f>F5-E5</f>
        <v>-46123247.350000001</v>
      </c>
      <c r="G6" s="1">
        <f>G5-F5</f>
        <v>-46123253.649999999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</row>
    <row r="11" spans="1:12" x14ac:dyDescent="0.2">
      <c r="A11" s="1" t="s">
        <v>2</v>
      </c>
      <c r="B11" s="1">
        <f t="shared" ref="B11:L11" si="1">+B9*B10</f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</row>
    <row r="17" spans="1:13" x14ac:dyDescent="0.2">
      <c r="A17" s="1" t="s">
        <v>2</v>
      </c>
      <c r="B17" s="1">
        <f t="shared" ref="B17:L17" si="2">+B15*B16</f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3876755</v>
      </c>
      <c r="D22" s="1">
        <f>+B22*C22</f>
        <v>188216455.25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3876755</v>
      </c>
      <c r="D23" s="1">
        <f>+B23*C23</f>
        <v>184339700.25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3">+B23-1</f>
        <v>46.55</v>
      </c>
      <c r="C24" s="1">
        <f t="shared" ref="C24:C53" si="4">+C23</f>
        <v>3876755</v>
      </c>
      <c r="D24" s="1">
        <f t="shared" ref="D24:D53" si="5">+B24*C24</f>
        <v>180462945.25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3"/>
        <v>45.55</v>
      </c>
      <c r="C25" s="1">
        <f t="shared" si="4"/>
        <v>3876755</v>
      </c>
      <c r="D25" s="1">
        <f t="shared" si="5"/>
        <v>176586190.25</v>
      </c>
      <c r="F25">
        <v>50.55</v>
      </c>
      <c r="G25" s="4">
        <f>H3</f>
        <v>52.63</v>
      </c>
      <c r="H25" s="1">
        <f>E5</f>
        <v>95969983.799999997</v>
      </c>
      <c r="I25" s="9">
        <f>H5</f>
        <v>0</v>
      </c>
      <c r="J25" s="9">
        <f>-F6</f>
        <v>46123247.350000001</v>
      </c>
      <c r="K25" s="11">
        <f>IF(AND(Simulation!$B$23&gt;F25,Simulation!$B$23&lt;=G25),I25+J25*(-Simulation!$B$23+G25),0)</f>
        <v>0</v>
      </c>
      <c r="L25" t="s">
        <v>42</v>
      </c>
      <c r="M25" s="9">
        <f>K25/Simulation!B23</f>
        <v>0</v>
      </c>
    </row>
    <row r="26" spans="1:13" x14ac:dyDescent="0.2">
      <c r="B26" s="2">
        <f t="shared" si="3"/>
        <v>44.55</v>
      </c>
      <c r="C26" s="1">
        <f t="shared" si="4"/>
        <v>3876755</v>
      </c>
      <c r="D26" s="1">
        <f t="shared" si="5"/>
        <v>172709435.25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43</v>
      </c>
      <c r="M26" s="9">
        <f>C22</f>
        <v>3876755</v>
      </c>
    </row>
    <row r="27" spans="1:13" x14ac:dyDescent="0.2">
      <c r="B27" s="2">
        <f t="shared" si="3"/>
        <v>43.55</v>
      </c>
      <c r="C27" s="1">
        <f t="shared" si="4"/>
        <v>3876755</v>
      </c>
      <c r="D27" s="1">
        <f t="shared" si="5"/>
        <v>168832680.25</v>
      </c>
      <c r="F27" s="20">
        <v>50</v>
      </c>
      <c r="G27" s="20">
        <f>F25</f>
        <v>50.55</v>
      </c>
      <c r="H27" s="1">
        <f>C22*F27</f>
        <v>193837750</v>
      </c>
      <c r="I27" s="1">
        <f>E5</f>
        <v>95969983.799999997</v>
      </c>
      <c r="J27" s="9">
        <f>-(I27-H27)/(G27-F27)</f>
        <v>177941393.09091002</v>
      </c>
      <c r="K27" s="11">
        <f>IF(AND(Simulation!$B$23&gt;F27,Simulation!$B$23&lt;=G27),I27+J27*(-Simulation!$B$23+G27),0)</f>
        <v>0</v>
      </c>
      <c r="L27" s="1" t="s">
        <v>48</v>
      </c>
    </row>
    <row r="28" spans="1:13" x14ac:dyDescent="0.2">
      <c r="B28" s="2">
        <f t="shared" si="3"/>
        <v>42.55</v>
      </c>
      <c r="C28" s="1">
        <f t="shared" si="4"/>
        <v>3876755</v>
      </c>
      <c r="D28" s="1">
        <f t="shared" si="5"/>
        <v>164955925.25</v>
      </c>
      <c r="K28" s="11">
        <f>SUM(K25:K27)</f>
        <v>0</v>
      </c>
      <c r="L28" s="1" t="s">
        <v>49</v>
      </c>
      <c r="M28" s="9">
        <f>K28/Simulation!B23</f>
        <v>0</v>
      </c>
    </row>
    <row r="29" spans="1:13" x14ac:dyDescent="0.2">
      <c r="B29" s="2">
        <f t="shared" si="3"/>
        <v>41.55</v>
      </c>
      <c r="C29" s="1">
        <f t="shared" si="4"/>
        <v>3876755</v>
      </c>
      <c r="D29" s="1">
        <f t="shared" si="5"/>
        <v>161079170.25</v>
      </c>
    </row>
    <row r="30" spans="1:13" x14ac:dyDescent="0.2">
      <c r="B30" s="2">
        <f t="shared" si="3"/>
        <v>40.549999999999997</v>
      </c>
      <c r="C30" s="1">
        <f t="shared" si="4"/>
        <v>3876755</v>
      </c>
      <c r="D30" s="1">
        <f t="shared" si="5"/>
        <v>157202415.25</v>
      </c>
    </row>
    <row r="31" spans="1:13" x14ac:dyDescent="0.2">
      <c r="B31" s="2">
        <f t="shared" si="3"/>
        <v>39.549999999999997</v>
      </c>
      <c r="C31" s="1">
        <f t="shared" si="4"/>
        <v>3876755</v>
      </c>
      <c r="D31" s="1">
        <f t="shared" si="5"/>
        <v>153325660.25</v>
      </c>
    </row>
    <row r="32" spans="1:13" x14ac:dyDescent="0.2">
      <c r="B32" s="2">
        <f t="shared" si="3"/>
        <v>38.549999999999997</v>
      </c>
      <c r="C32" s="1">
        <f t="shared" si="4"/>
        <v>3876755</v>
      </c>
      <c r="D32" s="1">
        <f t="shared" si="5"/>
        <v>149448905.25</v>
      </c>
    </row>
    <row r="33" spans="2:14" x14ac:dyDescent="0.2">
      <c r="B33" s="2">
        <f t="shared" si="3"/>
        <v>37.549999999999997</v>
      </c>
      <c r="C33" s="1">
        <f t="shared" si="4"/>
        <v>3876755</v>
      </c>
      <c r="D33" s="1">
        <f t="shared" si="5"/>
        <v>145572150.25</v>
      </c>
      <c r="F33"/>
      <c r="G33"/>
      <c r="H33"/>
      <c r="I33"/>
      <c r="J33"/>
      <c r="K33"/>
      <c r="L33" s="8" t="s">
        <v>27</v>
      </c>
      <c r="M33" s="8" t="s">
        <v>28</v>
      </c>
      <c r="N33"/>
    </row>
    <row r="34" spans="2:14" x14ac:dyDescent="0.2">
      <c r="B34" s="2">
        <f t="shared" si="3"/>
        <v>36.549999999999997</v>
      </c>
      <c r="C34" s="1">
        <f t="shared" si="4"/>
        <v>3876755</v>
      </c>
      <c r="D34" s="1">
        <f t="shared" si="5"/>
        <v>141695395.25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4" x14ac:dyDescent="0.2">
      <c r="B35" s="2">
        <f t="shared" si="3"/>
        <v>35.549999999999997</v>
      </c>
      <c r="C35" s="1">
        <f t="shared" si="4"/>
        <v>3876755</v>
      </c>
      <c r="D35" s="1">
        <f t="shared" si="5"/>
        <v>137818640.25</v>
      </c>
      <c r="F35"/>
      <c r="G35" t="s">
        <v>33</v>
      </c>
      <c r="H35"/>
      <c r="I35" s="4">
        <v>0</v>
      </c>
      <c r="J35" t="s">
        <v>34</v>
      </c>
      <c r="K35" s="13">
        <v>0</v>
      </c>
      <c r="L35">
        <v>0</v>
      </c>
      <c r="M35" s="14" t="e">
        <f>_xll.DIGITAL(1,$H$10,I35,$H$11,$H$14,$H$13,$H$12*365,+L35,0)</f>
        <v>#VALUE!</v>
      </c>
      <c r="N35" s="15" t="e">
        <f>M35*K35</f>
        <v>#VALUE!</v>
      </c>
    </row>
    <row r="36" spans="2:14" x14ac:dyDescent="0.2">
      <c r="B36" s="2">
        <f t="shared" si="3"/>
        <v>34.549999999999997</v>
      </c>
      <c r="C36" s="1">
        <f t="shared" si="4"/>
        <v>3876755</v>
      </c>
      <c r="D36" s="1">
        <f t="shared" si="5"/>
        <v>133941885.24999999</v>
      </c>
      <c r="F36"/>
      <c r="G36" t="s">
        <v>35</v>
      </c>
      <c r="H36"/>
      <c r="I36" s="4">
        <v>52.63</v>
      </c>
      <c r="J36" t="s">
        <v>3</v>
      </c>
      <c r="K36" s="9">
        <f>-G6</f>
        <v>46123253.649999999</v>
      </c>
      <c r="L36">
        <v>0</v>
      </c>
      <c r="M36" s="14">
        <f>_xll.EURO($H$41,I36,$H$42,$H$45,$H$44,$H$43*365,L36,0)</f>
        <v>6.2270582506023899</v>
      </c>
      <c r="N36" s="15">
        <f>M36*K36</f>
        <v>287212187.18585926</v>
      </c>
    </row>
    <row r="37" spans="2:14" x14ac:dyDescent="0.2">
      <c r="B37" s="2">
        <f t="shared" si="3"/>
        <v>33.549999999999997</v>
      </c>
      <c r="C37" s="1">
        <f t="shared" si="4"/>
        <v>3876755</v>
      </c>
      <c r="D37" s="1">
        <f t="shared" si="5"/>
        <v>130065130.24999999</v>
      </c>
      <c r="F37"/>
      <c r="G37" t="s">
        <v>36</v>
      </c>
      <c r="H37"/>
      <c r="I37" s="4">
        <f>A33</f>
        <v>0</v>
      </c>
      <c r="J37" t="s">
        <v>34</v>
      </c>
      <c r="K37" s="13">
        <v>0</v>
      </c>
      <c r="L37">
        <v>0</v>
      </c>
      <c r="M37" s="14" t="e">
        <f>-_xll.DIGITAL(1,$H$10,I37,$H$11,$H$14,$H$13,$H$12*365,+L37,0)</f>
        <v>#VALUE!</v>
      </c>
      <c r="N37" s="15" t="e">
        <f>M37*K37</f>
        <v>#VALUE!</v>
      </c>
    </row>
    <row r="38" spans="2:14" x14ac:dyDescent="0.2">
      <c r="B38" s="2">
        <f t="shared" si="3"/>
        <v>32.549999999999997</v>
      </c>
      <c r="C38" s="1">
        <f t="shared" si="4"/>
        <v>3876755</v>
      </c>
      <c r="D38" s="1">
        <f t="shared" si="5"/>
        <v>126188375.24999999</v>
      </c>
      <c r="F38"/>
      <c r="G38" t="s">
        <v>37</v>
      </c>
      <c r="H38"/>
      <c r="I38" s="4">
        <v>50.55</v>
      </c>
      <c r="J38" t="s">
        <v>3</v>
      </c>
      <c r="K38" s="9">
        <f>K36</f>
        <v>46123253.649999999</v>
      </c>
      <c r="L38">
        <v>0</v>
      </c>
      <c r="M38" s="14" t="e">
        <f>-_xll.EURO($H$10,I38,$H$11,$H$14,$H$13,$H$12*365,L38,0)</f>
        <v>#VALUE!</v>
      </c>
      <c r="N38" s="15" t="e">
        <f>M38*K38</f>
        <v>#VALUE!</v>
      </c>
    </row>
    <row r="39" spans="2:14" ht="13.5" thickBot="1" x14ac:dyDescent="0.25">
      <c r="B39" s="2">
        <f t="shared" si="3"/>
        <v>31.549999999999997</v>
      </c>
      <c r="C39" s="1">
        <f t="shared" si="4"/>
        <v>3876755</v>
      </c>
      <c r="D39" s="1">
        <f t="shared" si="5"/>
        <v>122311620.24999999</v>
      </c>
      <c r="F39"/>
      <c r="G39" t="s">
        <v>35</v>
      </c>
      <c r="H39"/>
      <c r="I39" s="4">
        <f>I38</f>
        <v>50.55</v>
      </c>
      <c r="J39" t="s">
        <v>3</v>
      </c>
      <c r="K39" s="9">
        <f>B33</f>
        <v>37.549999999999997</v>
      </c>
      <c r="L39">
        <v>0</v>
      </c>
      <c r="M39" s="14" t="e">
        <f>-_xll.EURO($H$10,I39,$H$11,$H$14,$H$13,$H$12*365,L39,0)</f>
        <v>#VALUE!</v>
      </c>
      <c r="N39" s="16" t="e">
        <f>M39*K39</f>
        <v>#VALUE!</v>
      </c>
    </row>
    <row r="40" spans="2:14" ht="13.5" thickTop="1" x14ac:dyDescent="0.2">
      <c r="B40" s="2">
        <f t="shared" si="3"/>
        <v>30.549999999999997</v>
      </c>
      <c r="C40" s="1">
        <f t="shared" si="4"/>
        <v>3876755</v>
      </c>
      <c r="D40" s="1">
        <f t="shared" si="5"/>
        <v>118434865.24999999</v>
      </c>
      <c r="F40"/>
      <c r="G40"/>
      <c r="H40"/>
      <c r="I40"/>
      <c r="J40"/>
      <c r="K40"/>
      <c r="L40"/>
      <c r="M40"/>
      <c r="N40" s="15" t="e">
        <f>SUM(N35:N39)</f>
        <v>#VALUE!</v>
      </c>
    </row>
    <row r="41" spans="2:14" x14ac:dyDescent="0.2">
      <c r="B41" s="2">
        <f t="shared" si="3"/>
        <v>29.549999999999997</v>
      </c>
      <c r="C41" s="1">
        <f t="shared" si="4"/>
        <v>3876755</v>
      </c>
      <c r="D41" s="1">
        <f t="shared" si="5"/>
        <v>114558110.24999999</v>
      </c>
      <c r="F41"/>
      <c r="G41" t="s">
        <v>15</v>
      </c>
      <c r="H41" s="17">
        <v>61</v>
      </c>
      <c r="I41"/>
      <c r="J41"/>
      <c r="K41"/>
      <c r="L41"/>
      <c r="M41"/>
      <c r="N41"/>
    </row>
    <row r="42" spans="2:14" x14ac:dyDescent="0.2">
      <c r="B42" s="2">
        <f t="shared" si="3"/>
        <v>28.549999999999997</v>
      </c>
      <c r="C42" s="1">
        <f t="shared" si="4"/>
        <v>3876755</v>
      </c>
      <c r="D42" s="1">
        <f t="shared" si="5"/>
        <v>110681355.24999999</v>
      </c>
      <c r="F42"/>
      <c r="G42" t="s">
        <v>38</v>
      </c>
      <c r="H42" s="6">
        <v>0.06</v>
      </c>
      <c r="I42"/>
      <c r="J42"/>
      <c r="K42"/>
      <c r="L42"/>
      <c r="M42"/>
      <c r="N42"/>
    </row>
    <row r="43" spans="2:14" x14ac:dyDescent="0.2">
      <c r="B43" s="2">
        <f t="shared" si="3"/>
        <v>27.549999999999997</v>
      </c>
      <c r="C43" s="1">
        <f t="shared" si="4"/>
        <v>3876755</v>
      </c>
      <c r="D43" s="1">
        <f t="shared" si="5"/>
        <v>106804600.24999999</v>
      </c>
      <c r="F43"/>
      <c r="G43" t="s">
        <v>7</v>
      </c>
      <c r="H43">
        <f>Simulation!E6</f>
        <v>1.9315068493150684</v>
      </c>
      <c r="I43"/>
      <c r="J43"/>
      <c r="K43"/>
      <c r="L43"/>
      <c r="M43"/>
      <c r="N43"/>
    </row>
    <row r="44" spans="2:14" x14ac:dyDescent="0.2">
      <c r="B44" s="2">
        <f t="shared" si="3"/>
        <v>26.549999999999997</v>
      </c>
      <c r="C44" s="1">
        <f t="shared" si="4"/>
        <v>3876755</v>
      </c>
      <c r="D44" s="1">
        <f t="shared" si="5"/>
        <v>102927845.24999999</v>
      </c>
      <c r="F44"/>
      <c r="G44" t="s">
        <v>39</v>
      </c>
      <c r="H44" s="6">
        <f>Simulation!B4</f>
        <v>0.4</v>
      </c>
      <c r="I44"/>
      <c r="J44"/>
      <c r="K44"/>
      <c r="L44"/>
      <c r="M44"/>
      <c r="N44"/>
    </row>
    <row r="45" spans="2:14" x14ac:dyDescent="0.2">
      <c r="B45" s="2">
        <f t="shared" si="3"/>
        <v>25.549999999999997</v>
      </c>
      <c r="C45" s="1">
        <f t="shared" si="4"/>
        <v>3876755</v>
      </c>
      <c r="D45" s="1">
        <f t="shared" si="5"/>
        <v>99051090.249999985</v>
      </c>
      <c r="F45"/>
      <c r="G45" t="s">
        <v>40</v>
      </c>
      <c r="H45" s="5">
        <f>0.5/60</f>
        <v>8.3333333333333332E-3</v>
      </c>
      <c r="I45"/>
      <c r="J45"/>
      <c r="K45"/>
      <c r="L45"/>
      <c r="M45"/>
      <c r="N45"/>
    </row>
    <row r="46" spans="2:14" x14ac:dyDescent="0.2">
      <c r="B46" s="2">
        <f t="shared" si="3"/>
        <v>24.549999999999997</v>
      </c>
      <c r="C46" s="1">
        <f t="shared" si="4"/>
        <v>3876755</v>
      </c>
      <c r="D46" s="1">
        <f t="shared" si="5"/>
        <v>95174335.249999985</v>
      </c>
    </row>
    <row r="47" spans="2:14" x14ac:dyDescent="0.2">
      <c r="B47" s="2">
        <f t="shared" si="3"/>
        <v>23.549999999999997</v>
      </c>
      <c r="C47" s="1">
        <f t="shared" si="4"/>
        <v>3876755</v>
      </c>
      <c r="D47" s="1">
        <f t="shared" si="5"/>
        <v>91297580.249999985</v>
      </c>
    </row>
    <row r="48" spans="2:14" x14ac:dyDescent="0.2">
      <c r="B48" s="2">
        <f t="shared" si="3"/>
        <v>22.549999999999997</v>
      </c>
      <c r="C48" s="1">
        <f t="shared" si="4"/>
        <v>3876755</v>
      </c>
      <c r="D48" s="1">
        <f t="shared" si="5"/>
        <v>87420825.249999985</v>
      </c>
    </row>
    <row r="49" spans="2:4" x14ac:dyDescent="0.2">
      <c r="B49" s="2">
        <f t="shared" si="3"/>
        <v>21.549999999999997</v>
      </c>
      <c r="C49" s="1">
        <f t="shared" si="4"/>
        <v>3876755</v>
      </c>
      <c r="D49" s="1">
        <f t="shared" si="5"/>
        <v>83544070.249999985</v>
      </c>
    </row>
    <row r="50" spans="2:4" x14ac:dyDescent="0.2">
      <c r="B50" s="2">
        <f t="shared" si="3"/>
        <v>20.549999999999997</v>
      </c>
      <c r="C50" s="1">
        <f t="shared" si="4"/>
        <v>3876755</v>
      </c>
      <c r="D50" s="1">
        <f t="shared" si="5"/>
        <v>79667315.249999985</v>
      </c>
    </row>
    <row r="51" spans="2:4" x14ac:dyDescent="0.2">
      <c r="B51" s="2">
        <f t="shared" si="3"/>
        <v>19.549999999999997</v>
      </c>
      <c r="C51" s="1">
        <f t="shared" si="4"/>
        <v>3876755</v>
      </c>
      <c r="D51" s="1">
        <f t="shared" si="5"/>
        <v>75790560.249999985</v>
      </c>
    </row>
    <row r="52" spans="2:4" x14ac:dyDescent="0.2">
      <c r="B52" s="2">
        <f t="shared" si="3"/>
        <v>18.549999999999997</v>
      </c>
      <c r="C52" s="1">
        <f t="shared" si="4"/>
        <v>3876755</v>
      </c>
      <c r="D52" s="1">
        <f t="shared" si="5"/>
        <v>71913805.249999985</v>
      </c>
    </row>
    <row r="53" spans="2:4" x14ac:dyDescent="0.2">
      <c r="B53" s="2">
        <f t="shared" si="3"/>
        <v>17.549999999999997</v>
      </c>
      <c r="C53" s="1">
        <f t="shared" si="4"/>
        <v>3876755</v>
      </c>
      <c r="D53" s="1">
        <f t="shared" si="5"/>
        <v>68037050.249999985</v>
      </c>
    </row>
  </sheetData>
  <pageMargins left="0.75" right="0.75" top="1" bottom="1" header="0.5" footer="0.5"/>
  <pageSetup scale="64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E1" workbookViewId="0">
      <selection activeCell="J25" sqref="J25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2" width="14" style="1" bestFit="1" customWidth="1"/>
    <col min="13" max="13" width="11.42578125" style="1" customWidth="1"/>
    <col min="14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+Total!C4-6326045-'Case 1'!C4</f>
        <v>7809790</v>
      </c>
      <c r="D4" s="1">
        <f>+Total!D4-6326045-'Case 1'!D4</f>
        <v>7809790</v>
      </c>
      <c r="E4" s="1">
        <f>+Total!E4-6326045-'Case 1'!E4</f>
        <v>7809790</v>
      </c>
      <c r="F4" s="1">
        <f>+Total!F4-6326045-'Case 1'!F4</f>
        <v>7809790</v>
      </c>
      <c r="G4" s="1">
        <f>+Total!G4-6326045-'Case 1'!G4</f>
        <v>7809790</v>
      </c>
      <c r="H4" s="1">
        <f>+Total!H4-6326045-'Case 1'!H4</f>
        <v>7018011</v>
      </c>
      <c r="I4" s="1">
        <f>+Total!I4-6326045-'Case 1'!I4</f>
        <v>6187004</v>
      </c>
      <c r="J4" s="1">
        <f>+Total!J4-6326045-'Case 1'!J4</f>
        <v>5385915</v>
      </c>
      <c r="K4" s="1">
        <f>+Total!K4-6326045-'Case 1'!K4</f>
        <v>4613159</v>
      </c>
      <c r="L4" s="1">
        <f>+Total!L4-6326045-'Case 1'!L4</f>
        <v>3867258</v>
      </c>
    </row>
    <row r="5" spans="1:12" x14ac:dyDescent="0.2">
      <c r="A5" s="1" t="s">
        <v>2</v>
      </c>
      <c r="C5" s="1">
        <f t="shared" ref="C5:L5" si="0">+C3*C4</f>
        <v>379165304.5</v>
      </c>
      <c r="D5" s="1">
        <f t="shared" si="0"/>
        <v>386975094.5</v>
      </c>
      <c r="E5" s="1">
        <f t="shared" si="0"/>
        <v>394784884.5</v>
      </c>
      <c r="F5" s="1">
        <f t="shared" si="0"/>
        <v>402594674.5</v>
      </c>
      <c r="G5" s="1">
        <f t="shared" si="0"/>
        <v>410404464.5</v>
      </c>
      <c r="H5" s="1">
        <f t="shared" si="0"/>
        <v>375814489.04999995</v>
      </c>
      <c r="I5" s="1">
        <f t="shared" si="0"/>
        <v>337501068.19999999</v>
      </c>
      <c r="J5" s="1">
        <f t="shared" si="0"/>
        <v>299187578.25</v>
      </c>
      <c r="K5" s="1">
        <f t="shared" si="0"/>
        <v>260874141.44999999</v>
      </c>
      <c r="L5" s="1">
        <f t="shared" si="0"/>
        <v>222560697.89999998</v>
      </c>
    </row>
    <row r="6" spans="1:12" x14ac:dyDescent="0.2">
      <c r="D6" s="1">
        <f t="shared" ref="D6:K6" si="1">C5-D5</f>
        <v>-7809790</v>
      </c>
      <c r="E6" s="1">
        <f t="shared" si="1"/>
        <v>-7809790</v>
      </c>
      <c r="F6" s="1">
        <f t="shared" si="1"/>
        <v>-7809790</v>
      </c>
      <c r="G6" s="1">
        <f t="shared" si="1"/>
        <v>-7809790</v>
      </c>
      <c r="H6" s="1">
        <f t="shared" si="1"/>
        <v>34589975.450000048</v>
      </c>
      <c r="I6" s="1">
        <f t="shared" si="1"/>
        <v>38313420.849999964</v>
      </c>
      <c r="J6" s="1">
        <f t="shared" si="1"/>
        <v>38313489.949999988</v>
      </c>
      <c r="K6" s="1">
        <f t="shared" si="1"/>
        <v>38313436.800000012</v>
      </c>
      <c r="L6" s="1">
        <f>K5-L5</f>
        <v>38313443.550000012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63.37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f>+Total!B10-6326045-'Case 1'!B10</f>
        <v>3146836</v>
      </c>
      <c r="C10" s="1">
        <f>+Total!C10-6326045-'Case 1'!C10</f>
        <v>2450609</v>
      </c>
      <c r="D10" s="1">
        <f>+Total!D10-6326045-'Case 1'!D10</f>
        <v>1777380</v>
      </c>
      <c r="E10" s="1">
        <f>+Total!E10-6326045-'Case 1'!E10</f>
        <v>1126026</v>
      </c>
      <c r="F10" s="1">
        <f>+Total!F10-6326045-'Case 1'!F10</f>
        <v>495498</v>
      </c>
      <c r="G10" s="1">
        <v>0</v>
      </c>
    </row>
    <row r="11" spans="1:12" x14ac:dyDescent="0.2">
      <c r="A11" s="1" t="s">
        <v>2</v>
      </c>
      <c r="B11" s="1">
        <f t="shared" ref="B11:L11" si="2">+B9*B10</f>
        <v>184247247.79999998</v>
      </c>
      <c r="C11" s="1">
        <f t="shared" si="2"/>
        <v>145933765.94999999</v>
      </c>
      <c r="D11" s="1">
        <f t="shared" si="2"/>
        <v>107620359</v>
      </c>
      <c r="E11" s="1">
        <f t="shared" si="2"/>
        <v>69306900.299999997</v>
      </c>
      <c r="F11" s="1">
        <f t="shared" si="2"/>
        <v>30993399.899999999</v>
      </c>
      <c r="G11" s="1">
        <f t="shared" si="2"/>
        <v>0</v>
      </c>
      <c r="H11" s="1">
        <f t="shared" si="2"/>
        <v>0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</row>
    <row r="12" spans="1:12" x14ac:dyDescent="0.2">
      <c r="C12" s="1">
        <f>B11-C11</f>
        <v>38313481.849999994</v>
      </c>
      <c r="D12" s="1">
        <f>C11-D11</f>
        <v>38313406.949999988</v>
      </c>
      <c r="E12" s="1">
        <f>D11-E11</f>
        <v>38313458.700000003</v>
      </c>
      <c r="F12" s="1">
        <f>E11-F11</f>
        <v>38313500.399999999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</row>
    <row r="17" spans="1:13" x14ac:dyDescent="0.2">
      <c r="A17" s="1" t="s">
        <v>2</v>
      </c>
      <c r="B17" s="1">
        <f t="shared" ref="B17:L17" si="3">+B15*B16</f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7809790</v>
      </c>
      <c r="D22" s="1">
        <f>+B22*C22</f>
        <v>379165304.5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7809790</v>
      </c>
      <c r="D23" s="1">
        <f>+B23*C23</f>
        <v>371355514.5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4">+B23-1</f>
        <v>46.55</v>
      </c>
      <c r="C24" s="1">
        <f t="shared" ref="C24:C53" si="5">+C23</f>
        <v>7809790</v>
      </c>
      <c r="D24" s="1">
        <f t="shared" ref="D24:D53" si="6">+B24*C24</f>
        <v>363545724.5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4"/>
        <v>45.55</v>
      </c>
      <c r="C25" s="1">
        <f t="shared" si="5"/>
        <v>7809790</v>
      </c>
      <c r="D25" s="1">
        <f t="shared" si="6"/>
        <v>355735934.5</v>
      </c>
      <c r="F25">
        <v>52.63</v>
      </c>
      <c r="G25" s="4">
        <f>G9</f>
        <v>63.37</v>
      </c>
      <c r="H25" s="1">
        <f>F25*C22</f>
        <v>411029247.70000005</v>
      </c>
      <c r="I25" s="9">
        <f>G11</f>
        <v>0</v>
      </c>
      <c r="J25" s="9">
        <f>L6</f>
        <v>38313443.550000012</v>
      </c>
      <c r="K25" s="11">
        <f>IF(AND(Simulation!$B$23&gt;F25,Simulation!$B$23&lt;=G25),I25+J25*(-Simulation!$B$23+G25),0)</f>
        <v>196992050.40461344</v>
      </c>
      <c r="L25" t="s">
        <v>44</v>
      </c>
      <c r="M25" s="9">
        <f>K25/Simulation!B23</f>
        <v>3383091.7458733451</v>
      </c>
    </row>
    <row r="26" spans="1:13" x14ac:dyDescent="0.2">
      <c r="B26" s="2">
        <f t="shared" si="4"/>
        <v>44.55</v>
      </c>
      <c r="C26" s="1">
        <f t="shared" si="5"/>
        <v>7809790</v>
      </c>
      <c r="D26" s="1">
        <f t="shared" si="6"/>
        <v>347926144.5</v>
      </c>
      <c r="F26">
        <v>0</v>
      </c>
      <c r="G26">
        <f>F25</f>
        <v>52.63</v>
      </c>
      <c r="H26">
        <v>0</v>
      </c>
      <c r="J26" s="12"/>
      <c r="K26" s="11">
        <f>IF(AND(Simulation!$B$23&gt;F26,Simulation!$B$23&lt;=G26),M26*Simulation!$B$23,0)</f>
        <v>0</v>
      </c>
      <c r="L26" t="s">
        <v>45</v>
      </c>
      <c r="M26" s="9">
        <f>C22</f>
        <v>7809790</v>
      </c>
    </row>
    <row r="27" spans="1:13" x14ac:dyDescent="0.2">
      <c r="B27" s="2">
        <f t="shared" si="4"/>
        <v>43.55</v>
      </c>
      <c r="C27" s="1">
        <f t="shared" si="5"/>
        <v>7809790</v>
      </c>
      <c r="D27" s="1">
        <f t="shared" si="6"/>
        <v>340116354.5</v>
      </c>
      <c r="K27" s="11">
        <f>SUM(K25:K26)</f>
        <v>196992050.40461344</v>
      </c>
      <c r="L27" s="1" t="s">
        <v>50</v>
      </c>
    </row>
    <row r="28" spans="1:13" x14ac:dyDescent="0.2">
      <c r="B28" s="2">
        <f t="shared" si="4"/>
        <v>42.55</v>
      </c>
      <c r="C28" s="1">
        <f t="shared" si="5"/>
        <v>7809790</v>
      </c>
      <c r="D28" s="1">
        <f t="shared" si="6"/>
        <v>332306564.5</v>
      </c>
    </row>
    <row r="29" spans="1:13" x14ac:dyDescent="0.2">
      <c r="B29" s="2">
        <f t="shared" si="4"/>
        <v>41.55</v>
      </c>
      <c r="C29" s="1">
        <f t="shared" si="5"/>
        <v>7809790</v>
      </c>
      <c r="D29" s="1">
        <f t="shared" si="6"/>
        <v>324496774.5</v>
      </c>
    </row>
    <row r="30" spans="1:13" x14ac:dyDescent="0.2">
      <c r="B30" s="2">
        <f t="shared" si="4"/>
        <v>40.549999999999997</v>
      </c>
      <c r="C30" s="1">
        <f t="shared" si="5"/>
        <v>7809790</v>
      </c>
      <c r="D30" s="1">
        <f t="shared" si="6"/>
        <v>316686984.5</v>
      </c>
    </row>
    <row r="31" spans="1:13" x14ac:dyDescent="0.2">
      <c r="B31" s="2">
        <f t="shared" si="4"/>
        <v>39.549999999999997</v>
      </c>
      <c r="C31" s="1">
        <f t="shared" si="5"/>
        <v>7809790</v>
      </c>
      <c r="D31" s="1">
        <f t="shared" si="6"/>
        <v>308877194.5</v>
      </c>
    </row>
    <row r="32" spans="1:13" x14ac:dyDescent="0.2">
      <c r="B32" s="2">
        <f t="shared" si="4"/>
        <v>38.549999999999997</v>
      </c>
      <c r="C32" s="1">
        <f t="shared" si="5"/>
        <v>7809790</v>
      </c>
      <c r="D32" s="1">
        <f t="shared" si="6"/>
        <v>301067404.5</v>
      </c>
    </row>
    <row r="33" spans="2:4" x14ac:dyDescent="0.2">
      <c r="B33" s="2">
        <f t="shared" si="4"/>
        <v>37.549999999999997</v>
      </c>
      <c r="C33" s="1">
        <f t="shared" si="5"/>
        <v>7809790</v>
      </c>
      <c r="D33" s="1">
        <f t="shared" si="6"/>
        <v>293257614.5</v>
      </c>
    </row>
    <row r="34" spans="2:4" x14ac:dyDescent="0.2">
      <c r="B34" s="2">
        <f t="shared" si="4"/>
        <v>36.549999999999997</v>
      </c>
      <c r="C34" s="1">
        <f t="shared" si="5"/>
        <v>7809790</v>
      </c>
      <c r="D34" s="1">
        <f t="shared" si="6"/>
        <v>285447824.5</v>
      </c>
    </row>
    <row r="35" spans="2:4" x14ac:dyDescent="0.2">
      <c r="B35" s="2">
        <f t="shared" si="4"/>
        <v>35.549999999999997</v>
      </c>
      <c r="C35" s="1">
        <f t="shared" si="5"/>
        <v>7809790</v>
      </c>
      <c r="D35" s="1">
        <f t="shared" si="6"/>
        <v>277638034.5</v>
      </c>
    </row>
    <row r="36" spans="2:4" x14ac:dyDescent="0.2">
      <c r="B36" s="2">
        <f t="shared" si="4"/>
        <v>34.549999999999997</v>
      </c>
      <c r="C36" s="1">
        <f t="shared" si="5"/>
        <v>7809790</v>
      </c>
      <c r="D36" s="1">
        <f t="shared" si="6"/>
        <v>269828244.5</v>
      </c>
    </row>
    <row r="37" spans="2:4" x14ac:dyDescent="0.2">
      <c r="B37" s="2">
        <f t="shared" si="4"/>
        <v>33.549999999999997</v>
      </c>
      <c r="C37" s="1">
        <f t="shared" si="5"/>
        <v>7809790</v>
      </c>
      <c r="D37" s="1">
        <f t="shared" si="6"/>
        <v>262018454.49999997</v>
      </c>
    </row>
    <row r="38" spans="2:4" x14ac:dyDescent="0.2">
      <c r="B38" s="2">
        <f t="shared" si="4"/>
        <v>32.549999999999997</v>
      </c>
      <c r="C38" s="1">
        <f t="shared" si="5"/>
        <v>7809790</v>
      </c>
      <c r="D38" s="1">
        <f t="shared" si="6"/>
        <v>254208664.49999997</v>
      </c>
    </row>
    <row r="39" spans="2:4" x14ac:dyDescent="0.2">
      <c r="B39" s="2">
        <f t="shared" si="4"/>
        <v>31.549999999999997</v>
      </c>
      <c r="C39" s="1">
        <f t="shared" si="5"/>
        <v>7809790</v>
      </c>
      <c r="D39" s="1">
        <f t="shared" si="6"/>
        <v>246398874.49999997</v>
      </c>
    </row>
    <row r="40" spans="2:4" x14ac:dyDescent="0.2">
      <c r="B40" s="2">
        <f t="shared" si="4"/>
        <v>30.549999999999997</v>
      </c>
      <c r="C40" s="1">
        <f t="shared" si="5"/>
        <v>7809790</v>
      </c>
      <c r="D40" s="1">
        <f t="shared" si="6"/>
        <v>238589084.49999997</v>
      </c>
    </row>
    <row r="41" spans="2:4" x14ac:dyDescent="0.2">
      <c r="B41" s="2">
        <f t="shared" si="4"/>
        <v>29.549999999999997</v>
      </c>
      <c r="C41" s="1">
        <f t="shared" si="5"/>
        <v>7809790</v>
      </c>
      <c r="D41" s="1">
        <f t="shared" si="6"/>
        <v>230779294.49999997</v>
      </c>
    </row>
    <row r="42" spans="2:4" x14ac:dyDescent="0.2">
      <c r="B42" s="2">
        <f t="shared" si="4"/>
        <v>28.549999999999997</v>
      </c>
      <c r="C42" s="1">
        <f t="shared" si="5"/>
        <v>7809790</v>
      </c>
      <c r="D42" s="1">
        <f t="shared" si="6"/>
        <v>222969504.49999997</v>
      </c>
    </row>
    <row r="43" spans="2:4" x14ac:dyDescent="0.2">
      <c r="B43" s="2">
        <f t="shared" si="4"/>
        <v>27.549999999999997</v>
      </c>
      <c r="C43" s="1">
        <f t="shared" si="5"/>
        <v>7809790</v>
      </c>
      <c r="D43" s="1">
        <f t="shared" si="6"/>
        <v>215159714.49999997</v>
      </c>
    </row>
    <row r="44" spans="2:4" x14ac:dyDescent="0.2">
      <c r="B44" s="2">
        <f t="shared" si="4"/>
        <v>26.549999999999997</v>
      </c>
      <c r="C44" s="1">
        <f t="shared" si="5"/>
        <v>7809790</v>
      </c>
      <c r="D44" s="1">
        <f t="shared" si="6"/>
        <v>207349924.49999997</v>
      </c>
    </row>
    <row r="45" spans="2:4" x14ac:dyDescent="0.2">
      <c r="B45" s="2">
        <f t="shared" si="4"/>
        <v>25.549999999999997</v>
      </c>
      <c r="C45" s="1">
        <f t="shared" si="5"/>
        <v>7809790</v>
      </c>
      <c r="D45" s="1">
        <f t="shared" si="6"/>
        <v>199540134.49999997</v>
      </c>
    </row>
    <row r="46" spans="2:4" x14ac:dyDescent="0.2">
      <c r="B46" s="2">
        <f t="shared" si="4"/>
        <v>24.549999999999997</v>
      </c>
      <c r="C46" s="1">
        <f t="shared" si="5"/>
        <v>7809790</v>
      </c>
      <c r="D46" s="1">
        <f t="shared" si="6"/>
        <v>191730344.49999997</v>
      </c>
    </row>
    <row r="47" spans="2:4" x14ac:dyDescent="0.2">
      <c r="B47" s="2">
        <f t="shared" si="4"/>
        <v>23.549999999999997</v>
      </c>
      <c r="C47" s="1">
        <f t="shared" si="5"/>
        <v>7809790</v>
      </c>
      <c r="D47" s="1">
        <f t="shared" si="6"/>
        <v>183920554.49999997</v>
      </c>
    </row>
    <row r="48" spans="2:4" x14ac:dyDescent="0.2">
      <c r="B48" s="2">
        <f t="shared" si="4"/>
        <v>22.549999999999997</v>
      </c>
      <c r="C48" s="1">
        <f t="shared" si="5"/>
        <v>7809790</v>
      </c>
      <c r="D48" s="1">
        <f t="shared" si="6"/>
        <v>176110764.49999997</v>
      </c>
    </row>
    <row r="49" spans="2:4" x14ac:dyDescent="0.2">
      <c r="B49" s="2">
        <f t="shared" si="4"/>
        <v>21.549999999999997</v>
      </c>
      <c r="C49" s="1">
        <f t="shared" si="5"/>
        <v>7809790</v>
      </c>
      <c r="D49" s="1">
        <f t="shared" si="6"/>
        <v>168300974.49999997</v>
      </c>
    </row>
    <row r="50" spans="2:4" x14ac:dyDescent="0.2">
      <c r="B50" s="2">
        <f t="shared" si="4"/>
        <v>20.549999999999997</v>
      </c>
      <c r="C50" s="1">
        <f t="shared" si="5"/>
        <v>7809790</v>
      </c>
      <c r="D50" s="1">
        <f t="shared" si="6"/>
        <v>160491184.49999997</v>
      </c>
    </row>
    <row r="51" spans="2:4" x14ac:dyDescent="0.2">
      <c r="B51" s="2">
        <f t="shared" si="4"/>
        <v>19.549999999999997</v>
      </c>
      <c r="C51" s="1">
        <f t="shared" si="5"/>
        <v>7809790</v>
      </c>
      <c r="D51" s="1">
        <f t="shared" si="6"/>
        <v>152681394.49999997</v>
      </c>
    </row>
    <row r="52" spans="2:4" x14ac:dyDescent="0.2">
      <c r="B52" s="2">
        <f t="shared" si="4"/>
        <v>18.549999999999997</v>
      </c>
      <c r="C52" s="1">
        <f t="shared" si="5"/>
        <v>7809790</v>
      </c>
      <c r="D52" s="1">
        <f t="shared" si="6"/>
        <v>144871604.49999997</v>
      </c>
    </row>
    <row r="53" spans="2:4" x14ac:dyDescent="0.2">
      <c r="B53" s="2">
        <f t="shared" si="4"/>
        <v>17.549999999999997</v>
      </c>
      <c r="C53" s="1">
        <f t="shared" si="5"/>
        <v>7809790</v>
      </c>
      <c r="D53" s="1">
        <f t="shared" si="6"/>
        <v>137061814.49999997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F9" workbookViewId="0">
      <selection activeCell="M27" sqref="M27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12" width="14" style="1" bestFit="1" customWidth="1"/>
    <col min="13" max="13" width="10.28515625" style="1" customWidth="1"/>
    <col min="14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+Total!C4-'Case 1'!C4-Case2!C4</f>
        <v>6326045</v>
      </c>
      <c r="D4" s="1">
        <f>+Total!D4-'Case 1'!D4-Case2!D4</f>
        <v>6326045</v>
      </c>
      <c r="E4" s="1">
        <f>+Total!E4-'Case 1'!E4-Case2!E4</f>
        <v>6326045</v>
      </c>
      <c r="F4" s="1">
        <f>+Total!F4-'Case 1'!F4-Case2!F4</f>
        <v>6326045</v>
      </c>
      <c r="G4" s="1">
        <f>+Total!G4-'Case 1'!G4-Case2!G4</f>
        <v>6326045</v>
      </c>
      <c r="H4" s="1">
        <f>+Total!H4-'Case 1'!H4-Case2!H4</f>
        <v>6326045</v>
      </c>
      <c r="I4" s="1">
        <f>+Total!I4-'Case 1'!I4-Case2!I4</f>
        <v>6326045</v>
      </c>
      <c r="J4" s="1">
        <f>+Total!J4-'Case 1'!J4-Case2!J4</f>
        <v>6326045</v>
      </c>
      <c r="K4" s="1">
        <f>+Total!K4-'Case 1'!K4-Case2!K4</f>
        <v>6326045</v>
      </c>
      <c r="L4" s="1">
        <f>+Total!L4-'Case 1'!L4-Case2!L4</f>
        <v>6326045</v>
      </c>
    </row>
    <row r="5" spans="1:12" x14ac:dyDescent="0.2">
      <c r="A5" s="1" t="s">
        <v>2</v>
      </c>
      <c r="C5" s="1">
        <f t="shared" ref="C5:L5" si="0">+C3*C4</f>
        <v>307129484.75</v>
      </c>
      <c r="D5" s="1">
        <f t="shared" si="0"/>
        <v>313455529.75</v>
      </c>
      <c r="E5" s="1">
        <f t="shared" si="0"/>
        <v>319781574.75</v>
      </c>
      <c r="F5" s="1">
        <f t="shared" si="0"/>
        <v>326107619.75</v>
      </c>
      <c r="G5" s="1">
        <f t="shared" si="0"/>
        <v>332433664.75</v>
      </c>
      <c r="H5" s="1">
        <f t="shared" si="0"/>
        <v>338759709.75</v>
      </c>
      <c r="I5" s="1">
        <f t="shared" si="0"/>
        <v>345085754.75</v>
      </c>
      <c r="J5" s="1">
        <f t="shared" si="0"/>
        <v>351411799.75</v>
      </c>
      <c r="K5" s="1">
        <f t="shared" si="0"/>
        <v>357737844.75</v>
      </c>
      <c r="L5" s="1">
        <f t="shared" si="0"/>
        <v>364063889.75</v>
      </c>
    </row>
    <row r="6" spans="1:12" x14ac:dyDescent="0.2">
      <c r="D6" s="1">
        <f t="shared" ref="D6:L6" si="1">C5-D5</f>
        <v>-6326045</v>
      </c>
      <c r="E6" s="1">
        <f t="shared" si="1"/>
        <v>-6326045</v>
      </c>
      <c r="F6" s="1">
        <f t="shared" si="1"/>
        <v>-6326045</v>
      </c>
      <c r="G6" s="1">
        <f t="shared" si="1"/>
        <v>-6326045</v>
      </c>
      <c r="H6" s="1">
        <f t="shared" si="1"/>
        <v>-6326045</v>
      </c>
      <c r="I6" s="1">
        <f t="shared" si="1"/>
        <v>-6326045</v>
      </c>
      <c r="J6" s="1">
        <f t="shared" si="1"/>
        <v>-6326045</v>
      </c>
      <c r="K6" s="1">
        <f t="shared" si="1"/>
        <v>-6326045</v>
      </c>
      <c r="L6" s="1">
        <f t="shared" si="1"/>
        <v>-6326045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f>+Total!B10-'Case 1'!B10-Case2!B10</f>
        <v>6326045</v>
      </c>
      <c r="C10" s="1">
        <f>+Total!C10-'Case 1'!C10-Case2!C10</f>
        <v>6326045</v>
      </c>
      <c r="D10" s="1">
        <f>+Total!D10-'Case 1'!D10-Case2!D10</f>
        <v>6326045</v>
      </c>
      <c r="E10" s="1">
        <f>+Total!E10-'Case 1'!E10-Case2!E10</f>
        <v>6326045</v>
      </c>
      <c r="F10" s="1">
        <f>+Total!F10-'Case 1'!F10-Case2!F10</f>
        <v>6326045</v>
      </c>
      <c r="G10" s="1">
        <f>+Total!G10-'Case 1'!G10-Case2!G10</f>
        <v>6210860</v>
      </c>
      <c r="H10" s="1">
        <f>+Total!H10-'Case 1'!H10-Case2!H10</f>
        <v>5619097</v>
      </c>
      <c r="I10" s="1">
        <f>+Total!I10-'Case 1'!I10-Case2!I10</f>
        <v>5045390</v>
      </c>
      <c r="J10" s="1">
        <f>+Total!J10-'Case 1'!J10-Case2!J10</f>
        <v>4488924</v>
      </c>
      <c r="K10" s="1">
        <f>+Total!K10-'Case 1'!K10-Case2!K10</f>
        <v>3948934</v>
      </c>
      <c r="L10" s="1">
        <f>+Total!L10-'Case 1'!L10-Case2!L10</f>
        <v>3424698</v>
      </c>
    </row>
    <row r="11" spans="1:12" x14ac:dyDescent="0.2">
      <c r="A11" s="1" t="s">
        <v>2</v>
      </c>
      <c r="B11" s="1">
        <f t="shared" ref="B11:L11" si="2">+B9*B10</f>
        <v>370389934.75</v>
      </c>
      <c r="C11" s="1">
        <f t="shared" si="2"/>
        <v>376715979.75</v>
      </c>
      <c r="D11" s="1">
        <f t="shared" si="2"/>
        <v>383042024.75</v>
      </c>
      <c r="E11" s="1">
        <f t="shared" si="2"/>
        <v>389368069.75</v>
      </c>
      <c r="F11" s="1">
        <f t="shared" si="2"/>
        <v>395694114.75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">
      <c r="C12" s="1">
        <f t="shared" ref="C12:L12" si="3">B11-C11</f>
        <v>-6326045</v>
      </c>
      <c r="D12" s="1">
        <f t="shared" si="3"/>
        <v>-6326045</v>
      </c>
      <c r="E12" s="1">
        <f t="shared" si="3"/>
        <v>-6326045</v>
      </c>
      <c r="F12" s="1">
        <f t="shared" si="3"/>
        <v>-6326045</v>
      </c>
      <c r="G12" s="1">
        <f t="shared" si="3"/>
        <v>993961.75</v>
      </c>
      <c r="H12" s="1">
        <f t="shared" si="3"/>
        <v>31987441.650000036</v>
      </c>
      <c r="I12" s="1">
        <f t="shared" si="3"/>
        <v>31987396.849999964</v>
      </c>
      <c r="J12" s="1">
        <f t="shared" si="3"/>
        <v>31987422.300000012</v>
      </c>
      <c r="K12" s="1">
        <f t="shared" si="3"/>
        <v>31987400.5</v>
      </c>
      <c r="L12" s="1">
        <f t="shared" si="3"/>
        <v>31987443.800000012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  <c r="B16" s="1">
        <f>+Total!B16-'Case 1'!B16-Case2!B16</f>
        <v>2915538</v>
      </c>
      <c r="C16" s="1">
        <f>+Total!C16-'Case 1'!C16-Case2!C16</f>
        <v>2420812</v>
      </c>
      <c r="D16" s="1">
        <f>+Total!D16-'Case 1'!D16-Case2!D16</f>
        <v>1939914</v>
      </c>
      <c r="E16" s="1">
        <f>+Total!E16-'Case 1'!E16-Case2!E16</f>
        <v>1472273</v>
      </c>
      <c r="F16" s="1">
        <f>+Total!F16-'Case 1'!F16-Case2!F16</f>
        <v>1017349</v>
      </c>
      <c r="G16" s="1">
        <f>+Total!G16-'Case 1'!G16-Case2!G16</f>
        <v>574629</v>
      </c>
      <c r="H16" s="1">
        <f>+Total!H16-'Case 1'!H16-Case2!H16</f>
        <v>143630</v>
      </c>
      <c r="I16" s="1">
        <f>+Total!I16-'Case 1'!I16-Case2!I16</f>
        <v>0</v>
      </c>
      <c r="J16" s="1">
        <f>+Total!J16-'Case 1'!J16-Case2!J16</f>
        <v>0</v>
      </c>
      <c r="K16" s="1">
        <f>+Total!K16-'Case 1'!K16-Case2!K16</f>
        <v>0</v>
      </c>
      <c r="L16" s="1">
        <f>+Total!L16-'Case 1'!L16-Case2!L16</f>
        <v>0</v>
      </c>
    </row>
    <row r="17" spans="1:13" x14ac:dyDescent="0.2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3" x14ac:dyDescent="0.2">
      <c r="A18" s="3"/>
      <c r="E18" s="1">
        <f>D17-E17</f>
        <v>31987440.549999997</v>
      </c>
      <c r="F18" s="1">
        <f>E17-F17</f>
        <v>31987387.199999988</v>
      </c>
      <c r="G18" s="1">
        <f>F17-G17</f>
        <v>31987427.000000007</v>
      </c>
      <c r="H18" s="1">
        <f>G17-H17</f>
        <v>31987345.449999996</v>
      </c>
    </row>
    <row r="21" spans="1:13" x14ac:dyDescent="0.2">
      <c r="B21" s="1" t="s">
        <v>0</v>
      </c>
      <c r="C21" s="1" t="s">
        <v>3</v>
      </c>
      <c r="D21" s="1" t="s">
        <v>2</v>
      </c>
    </row>
    <row r="22" spans="1:13" x14ac:dyDescent="0.2">
      <c r="B22" s="2">
        <v>48.55</v>
      </c>
      <c r="C22" s="1">
        <f>+C4</f>
        <v>6326045</v>
      </c>
      <c r="D22" s="1">
        <f>+B22*C22</f>
        <v>307129484.75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">
      <c r="B23" s="2">
        <f>+B22-1</f>
        <v>47.55</v>
      </c>
      <c r="C23" s="1">
        <f>+C22</f>
        <v>6326045</v>
      </c>
      <c r="D23" s="1">
        <f>+B23*C23</f>
        <v>300803439.75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">
      <c r="B24" s="2">
        <f t="shared" ref="B24:B53" si="5">+B23-1</f>
        <v>46.55</v>
      </c>
      <c r="C24" s="1">
        <f t="shared" ref="C24:C53" si="6">+C23</f>
        <v>6326045</v>
      </c>
      <c r="D24" s="1">
        <f t="shared" ref="D24:D53" si="7">+B24*C24</f>
        <v>294477394.75</v>
      </c>
      <c r="F24"/>
      <c r="G24"/>
      <c r="H24"/>
      <c r="I24"/>
      <c r="J24"/>
      <c r="K24"/>
      <c r="L24"/>
      <c r="M24"/>
    </row>
    <row r="25" spans="1:13" x14ac:dyDescent="0.2">
      <c r="B25" s="2">
        <f t="shared" si="5"/>
        <v>45.55</v>
      </c>
      <c r="C25" s="1">
        <f t="shared" si="6"/>
        <v>6326045</v>
      </c>
      <c r="D25" s="1">
        <f t="shared" si="7"/>
        <v>288151349.75</v>
      </c>
      <c r="F25">
        <v>63.37</v>
      </c>
      <c r="G25" s="4">
        <f>I15</f>
        <v>75.89</v>
      </c>
      <c r="H25" s="1">
        <f>F25*C22</f>
        <v>400881471.64999998</v>
      </c>
      <c r="I25" s="9">
        <f>I17</f>
        <v>0</v>
      </c>
      <c r="J25" s="9">
        <f>K12</f>
        <v>31987400.5</v>
      </c>
      <c r="K25" s="11">
        <f>IF(AND(Simulation!$B$23&gt;F25,Simulation!$B$23&lt;=G25),I25+J25*(-Simulation!$B$23+G25),0)</f>
        <v>0</v>
      </c>
      <c r="L25" t="s">
        <v>46</v>
      </c>
      <c r="M25" s="9">
        <f>K25/Simulation!B23</f>
        <v>0</v>
      </c>
    </row>
    <row r="26" spans="1:13" x14ac:dyDescent="0.2">
      <c r="B26" s="2">
        <f t="shared" si="5"/>
        <v>44.55</v>
      </c>
      <c r="C26" s="1">
        <f t="shared" si="6"/>
        <v>6326045</v>
      </c>
      <c r="D26" s="1">
        <f t="shared" si="7"/>
        <v>281825304.75</v>
      </c>
      <c r="F26">
        <v>0</v>
      </c>
      <c r="G26">
        <f>F25</f>
        <v>63.37</v>
      </c>
      <c r="H26">
        <v>0</v>
      </c>
      <c r="J26" s="12"/>
      <c r="K26" s="11">
        <f>IF(AND(Simulation!$B$23&gt;F26,Simulation!$B$23&lt;=G26),M26*Simulation!$B$23,0)</f>
        <v>368355536.62472469</v>
      </c>
      <c r="L26" t="s">
        <v>47</v>
      </c>
      <c r="M26" s="9">
        <f>C22</f>
        <v>6326045</v>
      </c>
    </row>
    <row r="27" spans="1:13" x14ac:dyDescent="0.2">
      <c r="B27" s="2">
        <f t="shared" si="5"/>
        <v>43.55</v>
      </c>
      <c r="C27" s="1">
        <f t="shared" si="6"/>
        <v>6326045</v>
      </c>
      <c r="D27" s="1">
        <f t="shared" si="7"/>
        <v>275499259.75</v>
      </c>
      <c r="K27" s="11">
        <f>SUM(K25:K26)</f>
        <v>368355536.62472469</v>
      </c>
      <c r="L27" s="1" t="s">
        <v>51</v>
      </c>
      <c r="M27" s="9">
        <f>K27/Simulation!B23</f>
        <v>6326045</v>
      </c>
    </row>
    <row r="28" spans="1:13" x14ac:dyDescent="0.2">
      <c r="B28" s="2">
        <f t="shared" si="5"/>
        <v>42.55</v>
      </c>
      <c r="C28" s="1">
        <f t="shared" si="6"/>
        <v>6326045</v>
      </c>
      <c r="D28" s="1">
        <f t="shared" si="7"/>
        <v>269173214.75</v>
      </c>
    </row>
    <row r="29" spans="1:13" x14ac:dyDescent="0.2">
      <c r="B29" s="2">
        <f t="shared" si="5"/>
        <v>41.55</v>
      </c>
      <c r="C29" s="1">
        <f t="shared" si="6"/>
        <v>6326045</v>
      </c>
      <c r="D29" s="1">
        <f t="shared" si="7"/>
        <v>262847169.74999997</v>
      </c>
    </row>
    <row r="30" spans="1:13" x14ac:dyDescent="0.2">
      <c r="B30" s="2">
        <f t="shared" si="5"/>
        <v>40.549999999999997</v>
      </c>
      <c r="C30" s="1">
        <f t="shared" si="6"/>
        <v>6326045</v>
      </c>
      <c r="D30" s="1">
        <f t="shared" si="7"/>
        <v>256521124.74999997</v>
      </c>
    </row>
    <row r="31" spans="1:13" x14ac:dyDescent="0.2">
      <c r="B31" s="2">
        <f t="shared" si="5"/>
        <v>39.549999999999997</v>
      </c>
      <c r="C31" s="1">
        <f t="shared" si="6"/>
        <v>6326045</v>
      </c>
      <c r="D31" s="1">
        <f t="shared" si="7"/>
        <v>250195079.74999997</v>
      </c>
    </row>
    <row r="32" spans="1:13" x14ac:dyDescent="0.2">
      <c r="B32" s="2">
        <f t="shared" si="5"/>
        <v>38.549999999999997</v>
      </c>
      <c r="C32" s="1">
        <f t="shared" si="6"/>
        <v>6326045</v>
      </c>
      <c r="D32" s="1">
        <f t="shared" si="7"/>
        <v>243869034.74999997</v>
      </c>
    </row>
    <row r="33" spans="2:4" x14ac:dyDescent="0.2">
      <c r="B33" s="2">
        <f t="shared" si="5"/>
        <v>37.549999999999997</v>
      </c>
      <c r="C33" s="1">
        <f t="shared" si="6"/>
        <v>6326045</v>
      </c>
      <c r="D33" s="1">
        <f t="shared" si="7"/>
        <v>237542989.74999997</v>
      </c>
    </row>
    <row r="34" spans="2:4" x14ac:dyDescent="0.2">
      <c r="B34" s="2">
        <f t="shared" si="5"/>
        <v>36.549999999999997</v>
      </c>
      <c r="C34" s="1">
        <f t="shared" si="6"/>
        <v>6326045</v>
      </c>
      <c r="D34" s="1">
        <f t="shared" si="7"/>
        <v>231216944.74999997</v>
      </c>
    </row>
    <row r="35" spans="2:4" x14ac:dyDescent="0.2">
      <c r="B35" s="2">
        <f t="shared" si="5"/>
        <v>35.549999999999997</v>
      </c>
      <c r="C35" s="1">
        <f t="shared" si="6"/>
        <v>6326045</v>
      </c>
      <c r="D35" s="1">
        <f t="shared" si="7"/>
        <v>224890899.74999997</v>
      </c>
    </row>
    <row r="36" spans="2:4" x14ac:dyDescent="0.2">
      <c r="B36" s="2">
        <f t="shared" si="5"/>
        <v>34.549999999999997</v>
      </c>
      <c r="C36" s="1">
        <f t="shared" si="6"/>
        <v>6326045</v>
      </c>
      <c r="D36" s="1">
        <f t="shared" si="7"/>
        <v>218564854.74999997</v>
      </c>
    </row>
    <row r="37" spans="2:4" x14ac:dyDescent="0.2">
      <c r="B37" s="2">
        <f t="shared" si="5"/>
        <v>33.549999999999997</v>
      </c>
      <c r="C37" s="1">
        <f t="shared" si="6"/>
        <v>6326045</v>
      </c>
      <c r="D37" s="1">
        <f t="shared" si="7"/>
        <v>212238809.74999997</v>
      </c>
    </row>
    <row r="38" spans="2:4" x14ac:dyDescent="0.2">
      <c r="B38" s="2">
        <f t="shared" si="5"/>
        <v>32.549999999999997</v>
      </c>
      <c r="C38" s="1">
        <f t="shared" si="6"/>
        <v>6326045</v>
      </c>
      <c r="D38" s="1">
        <f t="shared" si="7"/>
        <v>205912764.74999997</v>
      </c>
    </row>
    <row r="39" spans="2:4" x14ac:dyDescent="0.2">
      <c r="B39" s="2">
        <f t="shared" si="5"/>
        <v>31.549999999999997</v>
      </c>
      <c r="C39" s="1">
        <f t="shared" si="6"/>
        <v>6326045</v>
      </c>
      <c r="D39" s="1">
        <f t="shared" si="7"/>
        <v>199586719.74999997</v>
      </c>
    </row>
    <row r="40" spans="2:4" x14ac:dyDescent="0.2">
      <c r="B40" s="2">
        <f t="shared" si="5"/>
        <v>30.549999999999997</v>
      </c>
      <c r="C40" s="1">
        <f t="shared" si="6"/>
        <v>6326045</v>
      </c>
      <c r="D40" s="1">
        <f t="shared" si="7"/>
        <v>193260674.74999997</v>
      </c>
    </row>
    <row r="41" spans="2:4" x14ac:dyDescent="0.2">
      <c r="B41" s="2">
        <f t="shared" si="5"/>
        <v>29.549999999999997</v>
      </c>
      <c r="C41" s="1">
        <f t="shared" si="6"/>
        <v>6326045</v>
      </c>
      <c r="D41" s="1">
        <f t="shared" si="7"/>
        <v>186934629.74999997</v>
      </c>
    </row>
    <row r="42" spans="2:4" x14ac:dyDescent="0.2">
      <c r="B42" s="2">
        <f t="shared" si="5"/>
        <v>28.549999999999997</v>
      </c>
      <c r="C42" s="1">
        <f t="shared" si="6"/>
        <v>6326045</v>
      </c>
      <c r="D42" s="1">
        <f t="shared" si="7"/>
        <v>180608584.74999997</v>
      </c>
    </row>
    <row r="43" spans="2:4" x14ac:dyDescent="0.2">
      <c r="B43" s="2">
        <f t="shared" si="5"/>
        <v>27.549999999999997</v>
      </c>
      <c r="C43" s="1">
        <f t="shared" si="6"/>
        <v>6326045</v>
      </c>
      <c r="D43" s="1">
        <f t="shared" si="7"/>
        <v>174282539.74999997</v>
      </c>
    </row>
    <row r="44" spans="2:4" x14ac:dyDescent="0.2">
      <c r="B44" s="2">
        <f t="shared" si="5"/>
        <v>26.549999999999997</v>
      </c>
      <c r="C44" s="1">
        <f t="shared" si="6"/>
        <v>6326045</v>
      </c>
      <c r="D44" s="1">
        <f t="shared" si="7"/>
        <v>167956494.74999997</v>
      </c>
    </row>
    <row r="45" spans="2:4" x14ac:dyDescent="0.2">
      <c r="B45" s="2">
        <f t="shared" si="5"/>
        <v>25.549999999999997</v>
      </c>
      <c r="C45" s="1">
        <f t="shared" si="6"/>
        <v>6326045</v>
      </c>
      <c r="D45" s="1">
        <f t="shared" si="7"/>
        <v>161630449.74999997</v>
      </c>
    </row>
    <row r="46" spans="2:4" x14ac:dyDescent="0.2">
      <c r="B46" s="2">
        <f t="shared" si="5"/>
        <v>24.549999999999997</v>
      </c>
      <c r="C46" s="1">
        <f t="shared" si="6"/>
        <v>6326045</v>
      </c>
      <c r="D46" s="1">
        <f t="shared" si="7"/>
        <v>155304404.74999997</v>
      </c>
    </row>
    <row r="47" spans="2:4" x14ac:dyDescent="0.2">
      <c r="B47" s="2">
        <f t="shared" si="5"/>
        <v>23.549999999999997</v>
      </c>
      <c r="C47" s="1">
        <f t="shared" si="6"/>
        <v>6326045</v>
      </c>
      <c r="D47" s="1">
        <f t="shared" si="7"/>
        <v>148978359.74999997</v>
      </c>
    </row>
    <row r="48" spans="2:4" x14ac:dyDescent="0.2">
      <c r="B48" s="2">
        <f t="shared" si="5"/>
        <v>22.549999999999997</v>
      </c>
      <c r="C48" s="1">
        <f t="shared" si="6"/>
        <v>6326045</v>
      </c>
      <c r="D48" s="1">
        <f t="shared" si="7"/>
        <v>142652314.74999997</v>
      </c>
    </row>
    <row r="49" spans="2:4" x14ac:dyDescent="0.2">
      <c r="B49" s="2">
        <f t="shared" si="5"/>
        <v>21.549999999999997</v>
      </c>
      <c r="C49" s="1">
        <f t="shared" si="6"/>
        <v>6326045</v>
      </c>
      <c r="D49" s="1">
        <f t="shared" si="7"/>
        <v>136326269.74999997</v>
      </c>
    </row>
    <row r="50" spans="2:4" x14ac:dyDescent="0.2">
      <c r="B50" s="2">
        <f t="shared" si="5"/>
        <v>20.549999999999997</v>
      </c>
      <c r="C50" s="1">
        <f t="shared" si="6"/>
        <v>6326045</v>
      </c>
      <c r="D50" s="1">
        <f t="shared" si="7"/>
        <v>130000224.74999999</v>
      </c>
    </row>
    <row r="51" spans="2:4" x14ac:dyDescent="0.2">
      <c r="B51" s="2">
        <f t="shared" si="5"/>
        <v>19.549999999999997</v>
      </c>
      <c r="C51" s="1">
        <f t="shared" si="6"/>
        <v>6326045</v>
      </c>
      <c r="D51" s="1">
        <f t="shared" si="7"/>
        <v>123674179.74999999</v>
      </c>
    </row>
    <row r="52" spans="2:4" x14ac:dyDescent="0.2">
      <c r="B52" s="2">
        <f t="shared" si="5"/>
        <v>18.549999999999997</v>
      </c>
      <c r="C52" s="1">
        <f t="shared" si="6"/>
        <v>6326045</v>
      </c>
      <c r="D52" s="1">
        <f t="shared" si="7"/>
        <v>117348134.74999999</v>
      </c>
    </row>
    <row r="53" spans="2:4" x14ac:dyDescent="0.2">
      <c r="B53" s="2">
        <f t="shared" si="5"/>
        <v>17.549999999999997</v>
      </c>
      <c r="C53" s="1">
        <f t="shared" si="6"/>
        <v>6326045</v>
      </c>
      <c r="D53" s="1">
        <f t="shared" si="7"/>
        <v>111022089.74999999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3"/>
  <sheetViews>
    <sheetView topLeftCell="G16" workbookViewId="0">
      <selection activeCell="P48" sqref="P48"/>
    </sheetView>
  </sheetViews>
  <sheetFormatPr defaultRowHeight="12.75" x14ac:dyDescent="0.2"/>
  <cols>
    <col min="1" max="1" width="18.140625" style="1" customWidth="1"/>
    <col min="2" max="2" width="15" style="1" bestFit="1" customWidth="1"/>
    <col min="3" max="3" width="14" style="1" bestFit="1" customWidth="1"/>
    <col min="4" max="4" width="16.140625" style="1" customWidth="1"/>
    <col min="5" max="5" width="14" style="1" bestFit="1" customWidth="1"/>
    <col min="6" max="6" width="12.85546875" style="1" bestFit="1" customWidth="1"/>
    <col min="7" max="7" width="15.7109375" style="1" bestFit="1" customWidth="1"/>
    <col min="8" max="10" width="12.28515625" style="1" bestFit="1" customWidth="1"/>
    <col min="11" max="11" width="13.85546875" style="1" bestFit="1" customWidth="1"/>
    <col min="12" max="12" width="14" style="1" bestFit="1" customWidth="1"/>
    <col min="13" max="13" width="11.7109375" style="1" customWidth="1"/>
    <col min="14" max="14" width="12.7109375" style="1" bestFit="1" customWidth="1"/>
    <col min="15" max="15" width="14" style="1" customWidth="1"/>
    <col min="16" max="16" width="9.140625" style="1"/>
    <col min="17" max="17" width="12.7109375" style="1" bestFit="1" customWidth="1"/>
    <col min="18" max="16384" width="9.140625" style="1"/>
  </cols>
  <sheetData>
    <row r="3" spans="1:12" s="2" customFormat="1" x14ac:dyDescent="0.2">
      <c r="A3" s="2" t="s">
        <v>0</v>
      </c>
      <c r="C3" s="2">
        <v>48.55</v>
      </c>
      <c r="D3" s="2">
        <v>50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">
      <c r="A4" s="1" t="s">
        <v>1</v>
      </c>
      <c r="C4" s="1">
        <f>18012590</f>
        <v>18012590</v>
      </c>
      <c r="D4" s="1">
        <f>C4</f>
        <v>18012590</v>
      </c>
      <c r="E4" s="1">
        <v>16034351</v>
      </c>
      <c r="F4" s="1">
        <v>15102794</v>
      </c>
      <c r="G4" s="1">
        <v>14206691</v>
      </c>
      <c r="H4" s="1">
        <v>13344056</v>
      </c>
      <c r="I4" s="1">
        <v>12513049</v>
      </c>
      <c r="J4" s="1">
        <v>11711960</v>
      </c>
      <c r="K4" s="1">
        <v>10939204</v>
      </c>
      <c r="L4" s="1">
        <v>10193303</v>
      </c>
    </row>
    <row r="5" spans="1:12" x14ac:dyDescent="0.2">
      <c r="A5" s="1" t="s">
        <v>2</v>
      </c>
      <c r="C5" s="1">
        <f t="shared" ref="C5:L5" si="0">+C3*C4</f>
        <v>874511244.5</v>
      </c>
      <c r="D5" s="1">
        <f t="shared" si="0"/>
        <v>900629500</v>
      </c>
      <c r="E5" s="1">
        <f t="shared" si="0"/>
        <v>810536443.04999995</v>
      </c>
      <c r="F5" s="1">
        <f t="shared" si="0"/>
        <v>778549030.69999993</v>
      </c>
      <c r="G5" s="1">
        <f t="shared" si="0"/>
        <v>746561612.04999995</v>
      </c>
      <c r="H5" s="1">
        <f t="shared" si="0"/>
        <v>714574198.79999995</v>
      </c>
      <c r="I5" s="1">
        <f t="shared" si="0"/>
        <v>682586822.94999993</v>
      </c>
      <c r="J5" s="1">
        <f t="shared" si="0"/>
        <v>650599378</v>
      </c>
      <c r="K5" s="1">
        <f t="shared" si="0"/>
        <v>618611986.19999993</v>
      </c>
      <c r="L5" s="1">
        <f t="shared" si="0"/>
        <v>586624587.64999998</v>
      </c>
    </row>
    <row r="6" spans="1:12" x14ac:dyDescent="0.2">
      <c r="D6" s="1">
        <f>(D5-C5)</f>
        <v>26118255.5</v>
      </c>
      <c r="E6" s="1">
        <f>(E5-D5)/0.55</f>
        <v>-163805558.09090915</v>
      </c>
      <c r="F6" s="1">
        <f>(F5-E5)</f>
        <v>-31987412.350000024</v>
      </c>
      <c r="G6" s="1">
        <f t="shared" ref="G6:L6" si="1">G5-F5</f>
        <v>-31987418.649999976</v>
      </c>
      <c r="H6" s="1">
        <f t="shared" si="1"/>
        <v>-31987413.25</v>
      </c>
      <c r="I6" s="1">
        <f t="shared" si="1"/>
        <v>-31987375.850000024</v>
      </c>
      <c r="J6" s="1">
        <f t="shared" si="1"/>
        <v>-31987444.949999928</v>
      </c>
      <c r="K6" s="1">
        <f t="shared" si="1"/>
        <v>-31987391.800000072</v>
      </c>
      <c r="L6" s="1">
        <f t="shared" si="1"/>
        <v>-31987398.549999952</v>
      </c>
    </row>
    <row r="9" spans="1:12" s="2" customFormat="1" x14ac:dyDescent="0.2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">
      <c r="A10" s="1" t="s">
        <v>1</v>
      </c>
      <c r="B10" s="1">
        <v>9472881</v>
      </c>
      <c r="C10" s="1">
        <v>8776654</v>
      </c>
      <c r="D10" s="1">
        <v>8103425</v>
      </c>
      <c r="E10" s="1">
        <v>7452071</v>
      </c>
      <c r="F10" s="1">
        <v>6821543</v>
      </c>
      <c r="G10" s="1">
        <v>6210860</v>
      </c>
      <c r="H10" s="1">
        <v>5619097</v>
      </c>
      <c r="I10" s="1">
        <v>5045390</v>
      </c>
      <c r="J10" s="1">
        <v>4488924</v>
      </c>
      <c r="K10" s="1">
        <v>3948934</v>
      </c>
      <c r="L10" s="1">
        <v>3424698</v>
      </c>
    </row>
    <row r="11" spans="1:12" x14ac:dyDescent="0.2">
      <c r="A11" s="1" t="s">
        <v>2</v>
      </c>
      <c r="B11" s="1">
        <f t="shared" ref="B11:L11" si="2">+B9*B10</f>
        <v>554637182.54999995</v>
      </c>
      <c r="C11" s="1">
        <f t="shared" si="2"/>
        <v>522649745.69999999</v>
      </c>
      <c r="D11" s="1">
        <f t="shared" si="2"/>
        <v>490662383.75</v>
      </c>
      <c r="E11" s="1">
        <f t="shared" si="2"/>
        <v>458674970.04999995</v>
      </c>
      <c r="F11" s="1">
        <f t="shared" si="2"/>
        <v>426687514.64999998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">
      <c r="C12" s="1">
        <f t="shared" ref="C12:L12" si="3">C11-B11</f>
        <v>-31987436.849999964</v>
      </c>
      <c r="D12" s="1">
        <f t="shared" si="3"/>
        <v>-31987361.949999988</v>
      </c>
      <c r="E12" s="1">
        <f t="shared" si="3"/>
        <v>-31987413.700000048</v>
      </c>
      <c r="F12" s="1">
        <f t="shared" si="3"/>
        <v>-31987455.399999976</v>
      </c>
      <c r="G12" s="1">
        <f t="shared" si="3"/>
        <v>-31987361.649999976</v>
      </c>
      <c r="H12" s="1">
        <f t="shared" si="3"/>
        <v>-31987441.650000036</v>
      </c>
      <c r="I12" s="1">
        <f t="shared" si="3"/>
        <v>-31987396.849999964</v>
      </c>
      <c r="J12" s="1">
        <f t="shared" si="3"/>
        <v>-31987422.300000012</v>
      </c>
      <c r="K12" s="1">
        <f t="shared" si="3"/>
        <v>-31987400.5</v>
      </c>
      <c r="L12" s="1">
        <f t="shared" si="3"/>
        <v>-31987443.800000012</v>
      </c>
    </row>
    <row r="15" spans="1:12" s="2" customFormat="1" x14ac:dyDescent="0.2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">
      <c r="A16" s="1" t="s">
        <v>1</v>
      </c>
      <c r="B16" s="1">
        <v>2915538</v>
      </c>
      <c r="C16" s="1">
        <v>2420812</v>
      </c>
      <c r="D16" s="1">
        <v>1939914</v>
      </c>
      <c r="E16" s="1">
        <v>1472273</v>
      </c>
      <c r="F16" s="1">
        <v>1017349</v>
      </c>
      <c r="G16" s="1">
        <v>574629</v>
      </c>
      <c r="H16" s="1">
        <v>143630</v>
      </c>
      <c r="I16" s="1">
        <v>0</v>
      </c>
      <c r="J16" s="1">
        <v>0</v>
      </c>
      <c r="K16" s="1">
        <v>0</v>
      </c>
      <c r="L16" s="1">
        <v>0</v>
      </c>
    </row>
    <row r="17" spans="1:17" x14ac:dyDescent="0.2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7" x14ac:dyDescent="0.2">
      <c r="C18" s="1">
        <f t="shared" ref="C18:H18" si="5">C17-B17</f>
        <v>-31987381.300000012</v>
      </c>
      <c r="D18" s="1">
        <f t="shared" si="5"/>
        <v>-31987439.900000006</v>
      </c>
      <c r="E18" s="1">
        <f t="shared" si="5"/>
        <v>-31987440.549999997</v>
      </c>
      <c r="F18" s="1">
        <f t="shared" si="5"/>
        <v>-31987387.199999988</v>
      </c>
      <c r="G18" s="1">
        <f t="shared" si="5"/>
        <v>-31987427.000000007</v>
      </c>
      <c r="H18" s="1">
        <f t="shared" si="5"/>
        <v>-31987345.449999996</v>
      </c>
    </row>
    <row r="20" spans="1:17" x14ac:dyDescent="0.2">
      <c r="O20" s="29" t="s">
        <v>58</v>
      </c>
    </row>
    <row r="21" spans="1:17" x14ac:dyDescent="0.2">
      <c r="B21" s="1" t="s">
        <v>0</v>
      </c>
      <c r="C21" s="1" t="s">
        <v>3</v>
      </c>
      <c r="D21" s="1" t="s">
        <v>2</v>
      </c>
      <c r="O21"/>
      <c r="P21"/>
      <c r="Q21" s="24"/>
    </row>
    <row r="22" spans="1:17" x14ac:dyDescent="0.2">
      <c r="B22" s="2">
        <v>48.55</v>
      </c>
      <c r="C22" s="1">
        <f>+C4</f>
        <v>18012590</v>
      </c>
      <c r="D22" s="1">
        <f>+B22*C22</f>
        <v>874511244.5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  <c r="O22" t="s">
        <v>59</v>
      </c>
      <c r="P22"/>
      <c r="Q22" s="23">
        <f>Simulation!B23*EXP((Simulation!B3-Simulation!B5)*Q30)</f>
        <v>64.597707063583925</v>
      </c>
    </row>
    <row r="23" spans="1:17" x14ac:dyDescent="0.2">
      <c r="B23" s="2">
        <f>+B22-1</f>
        <v>47.55</v>
      </c>
      <c r="C23" s="1">
        <f>+C22</f>
        <v>18012590</v>
      </c>
      <c r="D23" s="1">
        <f>+B23*C23</f>
        <v>856498654.5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  <c r="O23" t="s">
        <v>60</v>
      </c>
      <c r="P23"/>
      <c r="Q23" s="25">
        <f>Q22</f>
        <v>64.597707063583925</v>
      </c>
    </row>
    <row r="24" spans="1:17" x14ac:dyDescent="0.2">
      <c r="B24" s="2">
        <f t="shared" ref="B24:B53" si="6">+B23-1</f>
        <v>46.55</v>
      </c>
      <c r="C24" s="1">
        <f t="shared" ref="C24:C53" si="7">+C23</f>
        <v>18012590</v>
      </c>
      <c r="D24" s="1">
        <f t="shared" ref="D24:D53" si="8">+B24*C24</f>
        <v>838486064.5</v>
      </c>
      <c r="F24"/>
      <c r="G24"/>
      <c r="H24"/>
      <c r="I24"/>
      <c r="J24"/>
      <c r="K24"/>
      <c r="L24"/>
      <c r="M24"/>
      <c r="O24" t="s">
        <v>67</v>
      </c>
      <c r="P24"/>
      <c r="Q24" s="30">
        <f>_xll.AMERB(Q22,Q23,Q27,Q27,Q26,Q31,Q32,400,Q33)</f>
        <v>13.366410539319386</v>
      </c>
    </row>
    <row r="25" spans="1:17" x14ac:dyDescent="0.2">
      <c r="B25" s="2">
        <f t="shared" si="6"/>
        <v>45.55</v>
      </c>
      <c r="C25" s="1">
        <f t="shared" si="7"/>
        <v>18012590</v>
      </c>
      <c r="D25" s="1">
        <f t="shared" si="8"/>
        <v>820473474.5</v>
      </c>
      <c r="F25" s="4">
        <f>E3</f>
        <v>50.55</v>
      </c>
      <c r="G25" s="4">
        <f>I15</f>
        <v>75.89</v>
      </c>
      <c r="H25" s="1">
        <f>E5</f>
        <v>810536443.04999995</v>
      </c>
      <c r="I25" s="9">
        <f>I17</f>
        <v>0</v>
      </c>
      <c r="J25" s="9">
        <f>-H12</f>
        <v>31987441.650000036</v>
      </c>
      <c r="K25" s="11">
        <f>IF(AND(Simulation!$B$23&gt;F25,Simulation!$B$23&lt;=G25),I25+J25*(-Simulation!$B$23+G25),0)</f>
        <v>564949106.43990397</v>
      </c>
      <c r="L25" t="s">
        <v>52</v>
      </c>
      <c r="M25" s="9">
        <f>K25/Simulation!B23</f>
        <v>9702293.3408210278</v>
      </c>
      <c r="O25" t="s">
        <v>68</v>
      </c>
      <c r="P25"/>
      <c r="Q25" s="5">
        <f>Q24/Simulation!B23</f>
        <v>0.22955136044650704</v>
      </c>
    </row>
    <row r="26" spans="1:17" x14ac:dyDescent="0.2">
      <c r="B26" s="2">
        <f t="shared" si="6"/>
        <v>44.55</v>
      </c>
      <c r="C26" s="1">
        <f t="shared" si="7"/>
        <v>18012590</v>
      </c>
      <c r="D26" s="1">
        <f t="shared" si="8"/>
        <v>802460884.5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53</v>
      </c>
      <c r="M26" s="9">
        <f>C22</f>
        <v>18012590</v>
      </c>
      <c r="O26" t="s">
        <v>39</v>
      </c>
      <c r="P26"/>
      <c r="Q26" s="26">
        <f>Simulation!B4</f>
        <v>0.4</v>
      </c>
    </row>
    <row r="27" spans="1:17" x14ac:dyDescent="0.2">
      <c r="B27" s="2">
        <f t="shared" si="6"/>
        <v>43.55</v>
      </c>
      <c r="C27" s="1">
        <f t="shared" si="7"/>
        <v>18012590</v>
      </c>
      <c r="D27" s="1">
        <f t="shared" si="8"/>
        <v>784448294.5</v>
      </c>
      <c r="F27" s="20">
        <v>50</v>
      </c>
      <c r="G27" s="20">
        <f>F25</f>
        <v>50.55</v>
      </c>
      <c r="H27" s="1">
        <f>C22*F27</f>
        <v>900629500</v>
      </c>
      <c r="I27" s="1">
        <f>E5</f>
        <v>810536443.04999995</v>
      </c>
      <c r="J27" s="9">
        <f>-(I27-H27)/(G27-F27)</f>
        <v>163805558.09091002</v>
      </c>
      <c r="K27" s="11">
        <f>IF(AND(Simulation!$B$23&gt;F27,Simulation!$B$23&lt;=G27),I27+J27*(-Simulation!$B$23+G27),0)</f>
        <v>0</v>
      </c>
      <c r="L27" s="1" t="s">
        <v>54</v>
      </c>
      <c r="M27" s="9">
        <f>K27/Simulation!B23</f>
        <v>0</v>
      </c>
      <c r="O27" t="s">
        <v>38</v>
      </c>
      <c r="P27"/>
      <c r="Q27" s="27">
        <v>0.05</v>
      </c>
    </row>
    <row r="28" spans="1:17" x14ac:dyDescent="0.2">
      <c r="B28" s="2">
        <f t="shared" si="6"/>
        <v>42.55</v>
      </c>
      <c r="C28" s="1">
        <f t="shared" si="7"/>
        <v>18012590</v>
      </c>
      <c r="D28" s="1">
        <f t="shared" si="8"/>
        <v>766435704.5</v>
      </c>
      <c r="K28" s="11">
        <f>SUM(K25:K27)</f>
        <v>564949106.43990397</v>
      </c>
      <c r="L28" s="1" t="s">
        <v>55</v>
      </c>
      <c r="M28" s="9"/>
      <c r="O28" t="s">
        <v>6</v>
      </c>
      <c r="P28"/>
      <c r="Q28" s="28">
        <f>Simulation!B5</f>
        <v>8.1327260897852971E-3</v>
      </c>
    </row>
    <row r="29" spans="1:17" x14ac:dyDescent="0.2">
      <c r="B29" s="2">
        <f t="shared" si="6"/>
        <v>41.55</v>
      </c>
      <c r="C29" s="1">
        <f t="shared" si="7"/>
        <v>18012590</v>
      </c>
      <c r="D29" s="1">
        <f t="shared" si="8"/>
        <v>748423114.5</v>
      </c>
      <c r="O29" t="s">
        <v>61</v>
      </c>
      <c r="P29"/>
      <c r="Q29" s="24">
        <v>0.5</v>
      </c>
    </row>
    <row r="30" spans="1:17" x14ac:dyDescent="0.2">
      <c r="B30" s="2">
        <f t="shared" si="6"/>
        <v>40.549999999999997</v>
      </c>
      <c r="C30" s="1">
        <f t="shared" si="7"/>
        <v>18012590</v>
      </c>
      <c r="D30" s="1">
        <f t="shared" si="8"/>
        <v>730410524.5</v>
      </c>
      <c r="I30" s="1" t="s">
        <v>66</v>
      </c>
      <c r="K30" s="23">
        <f>K28/Simulation!B23</f>
        <v>9702293.3408210278</v>
      </c>
      <c r="N30" s="23"/>
      <c r="O30" t="s">
        <v>65</v>
      </c>
      <c r="P30"/>
      <c r="Q30" s="17">
        <f>(Simulation!B9-Simulation!B6)/365.25</f>
        <v>2.001368925393566</v>
      </c>
    </row>
    <row r="31" spans="1:17" x14ac:dyDescent="0.2">
      <c r="B31" s="2">
        <f t="shared" si="6"/>
        <v>39.549999999999997</v>
      </c>
      <c r="C31" s="1">
        <f t="shared" si="7"/>
        <v>18012590</v>
      </c>
      <c r="D31" s="1">
        <f t="shared" si="8"/>
        <v>712397934.5</v>
      </c>
      <c r="O31" t="s">
        <v>62</v>
      </c>
      <c r="P31"/>
      <c r="Q31" s="17">
        <f>Simulation!B9-Simulation!B6</f>
        <v>731</v>
      </c>
    </row>
    <row r="32" spans="1:17" x14ac:dyDescent="0.2">
      <c r="B32" s="2">
        <f t="shared" si="6"/>
        <v>38.549999999999997</v>
      </c>
      <c r="C32" s="1">
        <f t="shared" si="7"/>
        <v>18012590</v>
      </c>
      <c r="D32" s="1">
        <f t="shared" si="8"/>
        <v>694385344.5</v>
      </c>
      <c r="O32" t="s">
        <v>63</v>
      </c>
      <c r="P32"/>
      <c r="Q32">
        <v>0</v>
      </c>
    </row>
    <row r="33" spans="2:17" x14ac:dyDescent="0.2">
      <c r="B33" s="2">
        <f t="shared" si="6"/>
        <v>37.549999999999997</v>
      </c>
      <c r="C33" s="1">
        <f t="shared" si="7"/>
        <v>18012590</v>
      </c>
      <c r="D33" s="1">
        <f t="shared" si="8"/>
        <v>676372754.5</v>
      </c>
      <c r="F33"/>
      <c r="G33"/>
      <c r="H33"/>
      <c r="I33"/>
      <c r="J33"/>
      <c r="K33"/>
      <c r="L33" s="8" t="s">
        <v>27</v>
      </c>
      <c r="M33" s="8" t="s">
        <v>28</v>
      </c>
      <c r="N33"/>
      <c r="O33" t="s">
        <v>64</v>
      </c>
      <c r="P33"/>
      <c r="Q33">
        <v>0</v>
      </c>
    </row>
    <row r="34" spans="2:17" x14ac:dyDescent="0.2">
      <c r="B34" s="2">
        <f t="shared" si="6"/>
        <v>36.549999999999997</v>
      </c>
      <c r="C34" s="1">
        <f t="shared" si="7"/>
        <v>18012590</v>
      </c>
      <c r="D34" s="1">
        <f t="shared" si="8"/>
        <v>658360164.5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7" x14ac:dyDescent="0.2">
      <c r="B35" s="2">
        <f t="shared" si="6"/>
        <v>35.549999999999997</v>
      </c>
      <c r="C35" s="1">
        <f t="shared" si="7"/>
        <v>18012590</v>
      </c>
      <c r="D35" s="1">
        <f t="shared" si="8"/>
        <v>640347574.5</v>
      </c>
      <c r="F35"/>
      <c r="G35" t="s">
        <v>56</v>
      </c>
      <c r="H35"/>
      <c r="I35" s="4">
        <v>50.55</v>
      </c>
      <c r="J35" t="s">
        <v>3</v>
      </c>
      <c r="K35" s="1">
        <f>J27</f>
        <v>163805558.09091002</v>
      </c>
      <c r="L35">
        <v>0</v>
      </c>
      <c r="M35" s="14">
        <f>_xll.EURO($H$41,I35,$H$42,$H$45,$H$44,$H$43*365,L35,0)</f>
        <v>5.3055368481477228</v>
      </c>
      <c r="N35" s="15">
        <f>M35*K35</f>
        <v>869076424.38272548</v>
      </c>
    </row>
    <row r="36" spans="2:17" x14ac:dyDescent="0.2">
      <c r="B36" s="2">
        <f t="shared" si="6"/>
        <v>34.549999999999997</v>
      </c>
      <c r="C36" s="1">
        <f t="shared" si="7"/>
        <v>18012590</v>
      </c>
      <c r="D36" s="1">
        <f t="shared" si="8"/>
        <v>622334984.5</v>
      </c>
      <c r="F36"/>
      <c r="G36" t="s">
        <v>35</v>
      </c>
      <c r="H36"/>
      <c r="I36" s="4">
        <v>75.89</v>
      </c>
      <c r="J36" t="s">
        <v>3</v>
      </c>
      <c r="K36" s="9">
        <f>-G6</f>
        <v>31987418.649999976</v>
      </c>
      <c r="L36">
        <v>0</v>
      </c>
      <c r="M36" s="14">
        <f>_xll.EURO($H$41,I36,$H$42,$H$45,$H$44,$H$43*365,L36,0)</f>
        <v>17.734501823961246</v>
      </c>
      <c r="N36" s="15">
        <f>M36*K36</f>
        <v>567280934.39223659</v>
      </c>
    </row>
    <row r="37" spans="2:17" x14ac:dyDescent="0.2">
      <c r="B37" s="2">
        <f t="shared" si="6"/>
        <v>33.549999999999997</v>
      </c>
      <c r="C37" s="1">
        <f t="shared" si="7"/>
        <v>18012590</v>
      </c>
      <c r="D37" s="1">
        <f t="shared" si="8"/>
        <v>604322394.5</v>
      </c>
      <c r="F37"/>
      <c r="G37" t="s">
        <v>37</v>
      </c>
      <c r="H37"/>
      <c r="I37" s="4">
        <v>50</v>
      </c>
      <c r="J37" t="s">
        <v>3</v>
      </c>
      <c r="K37" s="1">
        <f>K35</f>
        <v>163805558.09091002</v>
      </c>
      <c r="L37">
        <v>0</v>
      </c>
      <c r="M37" s="14">
        <f>-_xll.EURO($H$41,I37,$H$42,$H$45,$H$44,$H$43*365,L37,0)</f>
        <v>-5.1127437405340928</v>
      </c>
      <c r="N37" s="15">
        <f>M37*K37</f>
        <v>-837495841.79399395</v>
      </c>
    </row>
    <row r="38" spans="2:17" x14ac:dyDescent="0.2">
      <c r="B38" s="2">
        <f t="shared" si="6"/>
        <v>32.549999999999997</v>
      </c>
      <c r="C38" s="1">
        <f t="shared" si="7"/>
        <v>18012590</v>
      </c>
      <c r="D38" s="1">
        <f t="shared" si="8"/>
        <v>586309804.5</v>
      </c>
      <c r="F38"/>
      <c r="G38" t="s">
        <v>37</v>
      </c>
      <c r="H38"/>
      <c r="I38" s="4">
        <v>50.55</v>
      </c>
      <c r="J38" t="s">
        <v>3</v>
      </c>
      <c r="K38" s="9">
        <f>K36</f>
        <v>31987418.649999976</v>
      </c>
      <c r="L38">
        <v>0</v>
      </c>
      <c r="M38" s="14">
        <f>-_xll.EURO($H$41,I38,$H$42,$H$45,$H$44,$H$43*365,L38,0)</f>
        <v>-5.3055368481477228</v>
      </c>
      <c r="N38" s="15">
        <f>M38*K38</f>
        <v>-169710428.32470256</v>
      </c>
    </row>
    <row r="39" spans="2:17" ht="13.5" thickBot="1" x14ac:dyDescent="0.25">
      <c r="B39" s="2">
        <f t="shared" si="6"/>
        <v>31.549999999999997</v>
      </c>
      <c r="C39" s="1">
        <f t="shared" si="7"/>
        <v>18012590</v>
      </c>
      <c r="D39" s="1">
        <f t="shared" si="8"/>
        <v>568297214.5</v>
      </c>
      <c r="F39"/>
      <c r="G39" t="s">
        <v>37</v>
      </c>
      <c r="H39"/>
      <c r="I39" s="4">
        <v>50</v>
      </c>
      <c r="J39" t="s">
        <v>3</v>
      </c>
      <c r="K39" s="9">
        <f>C22</f>
        <v>18012590</v>
      </c>
      <c r="L39">
        <v>0</v>
      </c>
      <c r="M39" s="14">
        <f>-_xll.EURO($H$41,I39,$H$42,$H$45,$H$44,$H$43*365,L39,0)</f>
        <v>-5.1127437405340928</v>
      </c>
      <c r="N39" s="16">
        <f>M39*K39</f>
        <v>-92093756.773306996</v>
      </c>
    </row>
    <row r="40" spans="2:17" ht="13.5" thickTop="1" x14ac:dyDescent="0.2">
      <c r="B40" s="2">
        <f t="shared" si="6"/>
        <v>30.549999999999997</v>
      </c>
      <c r="C40" s="1">
        <f t="shared" si="7"/>
        <v>18012590</v>
      </c>
      <c r="D40" s="1">
        <f t="shared" si="8"/>
        <v>550284624.5</v>
      </c>
      <c r="F40"/>
      <c r="G40"/>
      <c r="H40"/>
      <c r="I40"/>
      <c r="J40"/>
      <c r="K40"/>
      <c r="L40"/>
      <c r="M40"/>
      <c r="N40" s="15">
        <f>SUM(N35:N39)</f>
        <v>337057331.88295841</v>
      </c>
    </row>
    <row r="41" spans="2:17" x14ac:dyDescent="0.2">
      <c r="B41" s="2">
        <f t="shared" si="6"/>
        <v>29.549999999999997</v>
      </c>
      <c r="C41" s="1">
        <f t="shared" si="7"/>
        <v>18012590</v>
      </c>
      <c r="D41" s="1">
        <f t="shared" si="8"/>
        <v>532272034.49999994</v>
      </c>
      <c r="F41"/>
      <c r="G41" t="s">
        <v>15</v>
      </c>
      <c r="H41" s="17">
        <v>61.48</v>
      </c>
      <c r="I41">
        <v>61</v>
      </c>
      <c r="J41"/>
      <c r="K41"/>
      <c r="L41"/>
      <c r="M41"/>
      <c r="N41"/>
    </row>
    <row r="42" spans="2:17" x14ac:dyDescent="0.2">
      <c r="B42" s="2">
        <f t="shared" si="6"/>
        <v>28.549999999999997</v>
      </c>
      <c r="C42" s="1">
        <f t="shared" si="7"/>
        <v>18012590</v>
      </c>
      <c r="D42" s="1">
        <f t="shared" si="8"/>
        <v>514259444.49999994</v>
      </c>
      <c r="F42"/>
      <c r="G42" t="s">
        <v>38</v>
      </c>
      <c r="H42">
        <v>0.06</v>
      </c>
      <c r="I42">
        <v>5.1270000000000003E-2</v>
      </c>
      <c r="J42"/>
      <c r="K42"/>
      <c r="L42"/>
      <c r="M42"/>
      <c r="N42"/>
    </row>
    <row r="43" spans="2:17" x14ac:dyDescent="0.2">
      <c r="B43" s="2">
        <f t="shared" si="6"/>
        <v>27.549999999999997</v>
      </c>
      <c r="C43" s="1">
        <f t="shared" si="7"/>
        <v>18012590</v>
      </c>
      <c r="D43" s="1">
        <f t="shared" si="8"/>
        <v>496246854.49999994</v>
      </c>
      <c r="F43"/>
      <c r="G43" t="s">
        <v>7</v>
      </c>
      <c r="H43">
        <f>Simulation!E6</f>
        <v>1.9315068493150684</v>
      </c>
      <c r="I43">
        <v>6.4999999999999997E-3</v>
      </c>
      <c r="J43"/>
      <c r="K43"/>
      <c r="L43"/>
      <c r="M43"/>
      <c r="N43"/>
    </row>
    <row r="44" spans="2:17" x14ac:dyDescent="0.2">
      <c r="B44" s="2">
        <f t="shared" si="6"/>
        <v>26.549999999999997</v>
      </c>
      <c r="C44" s="1">
        <f t="shared" si="7"/>
        <v>18012590</v>
      </c>
      <c r="D44" s="1">
        <f t="shared" si="8"/>
        <v>478234264.49999994</v>
      </c>
      <c r="F44"/>
      <c r="G44" t="s">
        <v>39</v>
      </c>
      <c r="H44">
        <v>0.4</v>
      </c>
      <c r="I44">
        <v>0.42</v>
      </c>
      <c r="J44"/>
      <c r="K44"/>
      <c r="L44"/>
      <c r="M44"/>
      <c r="N44"/>
    </row>
    <row r="45" spans="2:17" x14ac:dyDescent="0.2">
      <c r="B45" s="2">
        <f t="shared" si="6"/>
        <v>25.549999999999997</v>
      </c>
      <c r="C45" s="1">
        <f t="shared" si="7"/>
        <v>18012590</v>
      </c>
      <c r="D45" s="1">
        <f t="shared" si="8"/>
        <v>460221674.49999994</v>
      </c>
      <c r="F45"/>
      <c r="G45" t="s">
        <v>40</v>
      </c>
      <c r="H45">
        <v>6.4999999999999997E-3</v>
      </c>
      <c r="I45"/>
      <c r="J45"/>
      <c r="K45"/>
      <c r="L45"/>
      <c r="M45"/>
      <c r="N45"/>
    </row>
    <row r="46" spans="2:17" x14ac:dyDescent="0.2">
      <c r="B46" s="2">
        <f t="shared" si="6"/>
        <v>24.549999999999997</v>
      </c>
      <c r="C46" s="1">
        <f t="shared" si="7"/>
        <v>18012590</v>
      </c>
      <c r="D46" s="1">
        <f t="shared" si="8"/>
        <v>442209084.49999994</v>
      </c>
    </row>
    <row r="47" spans="2:17" x14ac:dyDescent="0.2">
      <c r="B47" s="2">
        <f t="shared" si="6"/>
        <v>23.549999999999997</v>
      </c>
      <c r="C47" s="1">
        <f t="shared" si="7"/>
        <v>18012590</v>
      </c>
      <c r="D47" s="1">
        <f t="shared" si="8"/>
        <v>424196494.49999994</v>
      </c>
    </row>
    <row r="48" spans="2:17" x14ac:dyDescent="0.2">
      <c r="B48" s="2">
        <f t="shared" si="6"/>
        <v>22.549999999999997</v>
      </c>
      <c r="C48" s="1">
        <f t="shared" si="7"/>
        <v>18012590</v>
      </c>
      <c r="D48" s="1">
        <f t="shared" si="8"/>
        <v>406183904.49999994</v>
      </c>
    </row>
    <row r="49" spans="2:4" x14ac:dyDescent="0.2">
      <c r="B49" s="2">
        <f t="shared" si="6"/>
        <v>21.549999999999997</v>
      </c>
      <c r="C49" s="1">
        <f t="shared" si="7"/>
        <v>18012590</v>
      </c>
      <c r="D49" s="1">
        <f t="shared" si="8"/>
        <v>388171314.49999994</v>
      </c>
    </row>
    <row r="50" spans="2:4" x14ac:dyDescent="0.2">
      <c r="B50" s="2">
        <f t="shared" si="6"/>
        <v>20.549999999999997</v>
      </c>
      <c r="C50" s="1">
        <f t="shared" si="7"/>
        <v>18012590</v>
      </c>
      <c r="D50" s="1">
        <f t="shared" si="8"/>
        <v>370158724.49999994</v>
      </c>
    </row>
    <row r="51" spans="2:4" x14ac:dyDescent="0.2">
      <c r="B51" s="2">
        <f t="shared" si="6"/>
        <v>19.549999999999997</v>
      </c>
      <c r="C51" s="1">
        <f t="shared" si="7"/>
        <v>18012590</v>
      </c>
      <c r="D51" s="1">
        <f t="shared" si="8"/>
        <v>352146134.49999994</v>
      </c>
    </row>
    <row r="52" spans="2:4" x14ac:dyDescent="0.2">
      <c r="B52" s="2">
        <f t="shared" si="6"/>
        <v>18.549999999999997</v>
      </c>
      <c r="C52" s="1">
        <f t="shared" si="7"/>
        <v>18012590</v>
      </c>
      <c r="D52" s="1">
        <f t="shared" si="8"/>
        <v>334133544.49999994</v>
      </c>
    </row>
    <row r="53" spans="2:4" x14ac:dyDescent="0.2">
      <c r="B53" s="2">
        <f t="shared" si="6"/>
        <v>17.549999999999997</v>
      </c>
      <c r="C53" s="1">
        <f t="shared" si="7"/>
        <v>18012590</v>
      </c>
      <c r="D53" s="1">
        <f t="shared" si="8"/>
        <v>316120954.49999994</v>
      </c>
    </row>
  </sheetData>
  <pageMargins left="0.75" right="0.75" top="1" bottom="1" header="0.5" footer="0.5"/>
  <pageSetup scale="53" orientation="landscape" r:id="rId1"/>
  <headerFooter alignWithMargins="0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Simulation</vt:lpstr>
      <vt:lpstr>Case 1</vt:lpstr>
      <vt:lpstr>Case2</vt:lpstr>
      <vt:lpstr>Case 3</vt:lpstr>
      <vt:lpstr>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gmckillo</dc:creator>
  <cp:lastModifiedBy>Jan Havlíček</cp:lastModifiedBy>
  <cp:lastPrinted>2001-03-30T15:17:17Z</cp:lastPrinted>
  <dcterms:created xsi:type="dcterms:W3CDTF">2001-03-23T20:55:35Z</dcterms:created>
  <dcterms:modified xsi:type="dcterms:W3CDTF">2023-09-17T17:16:19Z</dcterms:modified>
</cp:coreProperties>
</file>