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8AD7C6-28CF-4DB9-80DD-FC81AE9B6AEF}" xr6:coauthVersionLast="47" xr6:coauthVersionMax="47" xr10:uidLastSave="{00000000-0000-0000-0000-000000000000}"/>
  <bookViews>
    <workbookView xWindow="-120" yWindow="-120" windowWidth="38640" windowHeight="15720" tabRatio="799"/>
  </bookViews>
  <sheets>
    <sheet name="EffDate" sheetId="32" r:id="rId1"/>
    <sheet name="SplitVol" sheetId="30" r:id="rId2"/>
    <sheet name="Dedcode" sheetId="31" r:id="rId3"/>
    <sheet name="CNGx" sheetId="26" r:id="rId4"/>
    <sheet name="CNGData" sheetId="18" r:id="rId5"/>
    <sheet name="CNG" sheetId="19" r:id="rId6"/>
    <sheet name="CNGPricing" sheetId="20" r:id="rId7"/>
  </sheets>
  <definedNames>
    <definedName name="_xlnm._FilterDatabase" localSheetId="5" hidden="1">CNG!$A$4:$BI$331</definedName>
    <definedName name="_xlnm._FilterDatabase" localSheetId="4" hidden="1">CNGData!$A$2:$AD$247</definedName>
    <definedName name="_xlnm._FilterDatabase" localSheetId="0" hidden="1">EffDate!$A$1:$E$356</definedName>
    <definedName name="cgas9910">#REF!</definedName>
    <definedName name="cgasx">#REF!</definedName>
    <definedName name="cngdata">CNGData!$C$2:$P$247</definedName>
    <definedName name="CNGDataF">CNGData!$D$2:$R$247</definedName>
    <definedName name="cngded">CNG!$AA$1:$AF$5</definedName>
    <definedName name="CNGFuel">#REF!</definedName>
    <definedName name="CNGx">CNGx!$A$1:$C$243</definedName>
    <definedName name="CNRGas">#REF!</definedName>
    <definedName name="CNRVol">#REF!</definedName>
    <definedName name="Dedcode">Dedcode!$A$1:$D$246</definedName>
    <definedName name="EffDate">EffDate!$B$2:$E$356</definedName>
    <definedName name="gath9909">#REF!</definedName>
    <definedName name="GathVol">#REF!</definedName>
    <definedName name="InCGAS">#REF!</definedName>
    <definedName name="INCNG">CNG!$B$5:$M$331</definedName>
    <definedName name="InCNR">#REF!</definedName>
    <definedName name="InReg">#REF!</definedName>
    <definedName name="_xlnm.Print_Area" localSheetId="5">CNG!$A$1:$Q$333</definedName>
    <definedName name="_xlnm.Print_Area" localSheetId="4">CNGData!$A$1:$Y$131</definedName>
    <definedName name="_xlnm.Print_Area" localSheetId="6">CNGPricing!$A$34:$J$44</definedName>
    <definedName name="_xlnm.Print_Titles" localSheetId="5">CNG!$1:$4</definedName>
    <definedName name="Retention">CNG!$AA$1:$AF$5</definedName>
    <definedName name="SplitVol">SplitVol!$A$2:$F$244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9" l="1"/>
  <c r="K5" i="19"/>
  <c r="L5" i="19"/>
  <c r="M5" i="19"/>
  <c r="P5" i="19"/>
  <c r="Q5" i="19"/>
  <c r="S5" i="19"/>
  <c r="T5" i="19"/>
  <c r="U5" i="19"/>
  <c r="V5" i="19"/>
  <c r="W5" i="19"/>
  <c r="X5" i="19"/>
  <c r="J6" i="19"/>
  <c r="K6" i="19"/>
  <c r="L6" i="19"/>
  <c r="M6" i="19"/>
  <c r="P6" i="19"/>
  <c r="Q6" i="19"/>
  <c r="S6" i="19"/>
  <c r="T6" i="19"/>
  <c r="U6" i="19"/>
  <c r="V6" i="19"/>
  <c r="W6" i="19"/>
  <c r="X6" i="19"/>
  <c r="J7" i="19"/>
  <c r="K7" i="19"/>
  <c r="L7" i="19"/>
  <c r="M7" i="19"/>
  <c r="P7" i="19"/>
  <c r="Q7" i="19"/>
  <c r="S7" i="19"/>
  <c r="T7" i="19"/>
  <c r="U7" i="19"/>
  <c r="V7" i="19"/>
  <c r="W7" i="19"/>
  <c r="X7" i="19"/>
  <c r="J8" i="19"/>
  <c r="K8" i="19"/>
  <c r="L8" i="19"/>
  <c r="M8" i="19"/>
  <c r="P8" i="19"/>
  <c r="Q8" i="19"/>
  <c r="S8" i="19"/>
  <c r="T8" i="19"/>
  <c r="U8" i="19"/>
  <c r="V8" i="19"/>
  <c r="W8" i="19"/>
  <c r="X8" i="19"/>
  <c r="J9" i="19"/>
  <c r="K9" i="19"/>
  <c r="L9" i="19"/>
  <c r="M9" i="19"/>
  <c r="P9" i="19"/>
  <c r="Q9" i="19"/>
  <c r="S9" i="19"/>
  <c r="T9" i="19"/>
  <c r="U9" i="19"/>
  <c r="V9" i="19"/>
  <c r="W9" i="19"/>
  <c r="X9" i="19"/>
  <c r="J10" i="19"/>
  <c r="K10" i="19"/>
  <c r="L10" i="19"/>
  <c r="M10" i="19"/>
  <c r="P10" i="19"/>
  <c r="Q10" i="19"/>
  <c r="S10" i="19"/>
  <c r="T10" i="19"/>
  <c r="U10" i="19"/>
  <c r="V10" i="19"/>
  <c r="W10" i="19"/>
  <c r="X10" i="19"/>
  <c r="J11" i="19"/>
  <c r="K11" i="19"/>
  <c r="L11" i="19"/>
  <c r="M11" i="19"/>
  <c r="P11" i="19"/>
  <c r="Q11" i="19"/>
  <c r="S11" i="19"/>
  <c r="T11" i="19"/>
  <c r="U11" i="19"/>
  <c r="V11" i="19"/>
  <c r="W11" i="19"/>
  <c r="X11" i="19"/>
  <c r="J12" i="19"/>
  <c r="K12" i="19"/>
  <c r="L12" i="19"/>
  <c r="M12" i="19"/>
  <c r="P12" i="19"/>
  <c r="Q12" i="19"/>
  <c r="S12" i="19"/>
  <c r="T12" i="19"/>
  <c r="U12" i="19"/>
  <c r="V12" i="19"/>
  <c r="W12" i="19"/>
  <c r="X12" i="19"/>
  <c r="J13" i="19"/>
  <c r="K13" i="19"/>
  <c r="L13" i="19"/>
  <c r="M13" i="19"/>
  <c r="P13" i="19"/>
  <c r="Q13" i="19"/>
  <c r="S13" i="19"/>
  <c r="T13" i="19"/>
  <c r="U13" i="19"/>
  <c r="V13" i="19"/>
  <c r="W13" i="19"/>
  <c r="X13" i="19"/>
  <c r="J14" i="19"/>
  <c r="K14" i="19"/>
  <c r="L14" i="19"/>
  <c r="M14" i="19"/>
  <c r="P14" i="19"/>
  <c r="Q14" i="19"/>
  <c r="S14" i="19"/>
  <c r="T14" i="19"/>
  <c r="U14" i="19"/>
  <c r="V14" i="19"/>
  <c r="W14" i="19"/>
  <c r="X14" i="19"/>
  <c r="J15" i="19"/>
  <c r="K15" i="19"/>
  <c r="L15" i="19"/>
  <c r="M15" i="19"/>
  <c r="P15" i="19"/>
  <c r="Q15" i="19"/>
  <c r="S15" i="19"/>
  <c r="T15" i="19"/>
  <c r="U15" i="19"/>
  <c r="V15" i="19"/>
  <c r="W15" i="19"/>
  <c r="X15" i="19"/>
  <c r="J16" i="19"/>
  <c r="K16" i="19"/>
  <c r="L16" i="19"/>
  <c r="M16" i="19"/>
  <c r="P16" i="19"/>
  <c r="Q16" i="19"/>
  <c r="S16" i="19"/>
  <c r="T16" i="19"/>
  <c r="U16" i="19"/>
  <c r="V16" i="19"/>
  <c r="W16" i="19"/>
  <c r="X16" i="19"/>
  <c r="J17" i="19"/>
  <c r="K17" i="19"/>
  <c r="L17" i="19"/>
  <c r="M17" i="19"/>
  <c r="P17" i="19"/>
  <c r="Q17" i="19"/>
  <c r="S17" i="19"/>
  <c r="T17" i="19"/>
  <c r="U17" i="19"/>
  <c r="V17" i="19"/>
  <c r="W17" i="19"/>
  <c r="X17" i="19"/>
  <c r="J18" i="19"/>
  <c r="K18" i="19"/>
  <c r="L18" i="19"/>
  <c r="M18" i="19"/>
  <c r="P18" i="19"/>
  <c r="Q18" i="19"/>
  <c r="S18" i="19"/>
  <c r="T18" i="19"/>
  <c r="U18" i="19"/>
  <c r="V18" i="19"/>
  <c r="W18" i="19"/>
  <c r="X18" i="19"/>
  <c r="J19" i="19"/>
  <c r="K19" i="19"/>
  <c r="L19" i="19"/>
  <c r="M19" i="19"/>
  <c r="P19" i="19"/>
  <c r="Q19" i="19"/>
  <c r="S19" i="19"/>
  <c r="T19" i="19"/>
  <c r="U19" i="19"/>
  <c r="V19" i="19"/>
  <c r="W19" i="19"/>
  <c r="X19" i="19"/>
  <c r="J20" i="19"/>
  <c r="K20" i="19"/>
  <c r="L20" i="19"/>
  <c r="M20" i="19"/>
  <c r="P20" i="19"/>
  <c r="Q20" i="19"/>
  <c r="S20" i="19"/>
  <c r="T20" i="19"/>
  <c r="U20" i="19"/>
  <c r="V20" i="19"/>
  <c r="W20" i="19"/>
  <c r="X20" i="19"/>
  <c r="J21" i="19"/>
  <c r="K21" i="19"/>
  <c r="L21" i="19"/>
  <c r="M21" i="19"/>
  <c r="P21" i="19"/>
  <c r="Q21" i="19"/>
  <c r="S21" i="19"/>
  <c r="T21" i="19"/>
  <c r="U21" i="19"/>
  <c r="V21" i="19"/>
  <c r="W21" i="19"/>
  <c r="X21" i="19"/>
  <c r="J22" i="19"/>
  <c r="K22" i="19"/>
  <c r="L22" i="19"/>
  <c r="M22" i="19"/>
  <c r="P22" i="19"/>
  <c r="Q22" i="19"/>
  <c r="S22" i="19"/>
  <c r="T22" i="19"/>
  <c r="U22" i="19"/>
  <c r="V22" i="19"/>
  <c r="W22" i="19"/>
  <c r="X22" i="19"/>
  <c r="J23" i="19"/>
  <c r="K23" i="19"/>
  <c r="L23" i="19"/>
  <c r="M23" i="19"/>
  <c r="P23" i="19"/>
  <c r="Q23" i="19"/>
  <c r="S23" i="19"/>
  <c r="T23" i="19"/>
  <c r="U23" i="19"/>
  <c r="V23" i="19"/>
  <c r="W23" i="19"/>
  <c r="X23" i="19"/>
  <c r="J24" i="19"/>
  <c r="K24" i="19"/>
  <c r="L24" i="19"/>
  <c r="M24" i="19"/>
  <c r="P24" i="19"/>
  <c r="Q24" i="19"/>
  <c r="S24" i="19"/>
  <c r="T24" i="19"/>
  <c r="U24" i="19"/>
  <c r="V24" i="19"/>
  <c r="W24" i="19"/>
  <c r="X24" i="19"/>
  <c r="J25" i="19"/>
  <c r="K25" i="19"/>
  <c r="L25" i="19"/>
  <c r="M25" i="19"/>
  <c r="P25" i="19"/>
  <c r="Q25" i="19"/>
  <c r="S25" i="19"/>
  <c r="T25" i="19"/>
  <c r="U25" i="19"/>
  <c r="V25" i="19"/>
  <c r="W25" i="19"/>
  <c r="X25" i="19"/>
  <c r="J26" i="19"/>
  <c r="K26" i="19"/>
  <c r="L26" i="19"/>
  <c r="M26" i="19"/>
  <c r="P26" i="19"/>
  <c r="Q26" i="19"/>
  <c r="S26" i="19"/>
  <c r="T26" i="19"/>
  <c r="U26" i="19"/>
  <c r="V26" i="19"/>
  <c r="W26" i="19"/>
  <c r="X26" i="19"/>
  <c r="J27" i="19"/>
  <c r="K27" i="19"/>
  <c r="L27" i="19"/>
  <c r="M27" i="19"/>
  <c r="P27" i="19"/>
  <c r="Q27" i="19"/>
  <c r="S27" i="19"/>
  <c r="T27" i="19"/>
  <c r="U27" i="19"/>
  <c r="V27" i="19"/>
  <c r="W27" i="19"/>
  <c r="X27" i="19"/>
  <c r="J28" i="19"/>
  <c r="K28" i="19"/>
  <c r="L28" i="19"/>
  <c r="M28" i="19"/>
  <c r="P28" i="19"/>
  <c r="Q28" i="19"/>
  <c r="S28" i="19"/>
  <c r="T28" i="19"/>
  <c r="U28" i="19"/>
  <c r="V28" i="19"/>
  <c r="W28" i="19"/>
  <c r="X28" i="19"/>
  <c r="J29" i="19"/>
  <c r="K29" i="19"/>
  <c r="L29" i="19"/>
  <c r="M29" i="19"/>
  <c r="P29" i="19"/>
  <c r="Q29" i="19"/>
  <c r="S29" i="19"/>
  <c r="T29" i="19"/>
  <c r="U29" i="19"/>
  <c r="V29" i="19"/>
  <c r="W29" i="19"/>
  <c r="X29" i="19"/>
  <c r="J30" i="19"/>
  <c r="K30" i="19"/>
  <c r="L30" i="19"/>
  <c r="M30" i="19"/>
  <c r="P30" i="19"/>
  <c r="Q30" i="19"/>
  <c r="S30" i="19"/>
  <c r="T30" i="19"/>
  <c r="U30" i="19"/>
  <c r="V30" i="19"/>
  <c r="W30" i="19"/>
  <c r="X30" i="19"/>
  <c r="J31" i="19"/>
  <c r="K31" i="19"/>
  <c r="L31" i="19"/>
  <c r="M31" i="19"/>
  <c r="P31" i="19"/>
  <c r="Q31" i="19"/>
  <c r="S31" i="19"/>
  <c r="T31" i="19"/>
  <c r="U31" i="19"/>
  <c r="V31" i="19"/>
  <c r="W31" i="19"/>
  <c r="X31" i="19"/>
  <c r="J32" i="19"/>
  <c r="K32" i="19"/>
  <c r="L32" i="19"/>
  <c r="M32" i="19"/>
  <c r="P32" i="19"/>
  <c r="Q32" i="19"/>
  <c r="S32" i="19"/>
  <c r="T32" i="19"/>
  <c r="U32" i="19"/>
  <c r="V32" i="19"/>
  <c r="W32" i="19"/>
  <c r="X32" i="19"/>
  <c r="J33" i="19"/>
  <c r="K33" i="19"/>
  <c r="L33" i="19"/>
  <c r="M33" i="19"/>
  <c r="P33" i="19"/>
  <c r="Q33" i="19"/>
  <c r="S33" i="19"/>
  <c r="T33" i="19"/>
  <c r="U33" i="19"/>
  <c r="V33" i="19"/>
  <c r="W33" i="19"/>
  <c r="X33" i="19"/>
  <c r="J34" i="19"/>
  <c r="K34" i="19"/>
  <c r="L34" i="19"/>
  <c r="M34" i="19"/>
  <c r="P34" i="19"/>
  <c r="Q34" i="19"/>
  <c r="S34" i="19"/>
  <c r="T34" i="19"/>
  <c r="U34" i="19"/>
  <c r="V34" i="19"/>
  <c r="W34" i="19"/>
  <c r="X34" i="19"/>
  <c r="J35" i="19"/>
  <c r="K35" i="19"/>
  <c r="L35" i="19"/>
  <c r="M35" i="19"/>
  <c r="P35" i="19"/>
  <c r="Q35" i="19"/>
  <c r="S35" i="19"/>
  <c r="T35" i="19"/>
  <c r="U35" i="19"/>
  <c r="V35" i="19"/>
  <c r="W35" i="19"/>
  <c r="X35" i="19"/>
  <c r="J36" i="19"/>
  <c r="K36" i="19"/>
  <c r="L36" i="19"/>
  <c r="M36" i="19"/>
  <c r="P36" i="19"/>
  <c r="Q36" i="19"/>
  <c r="S36" i="19"/>
  <c r="T36" i="19"/>
  <c r="U36" i="19"/>
  <c r="V36" i="19"/>
  <c r="W36" i="19"/>
  <c r="X36" i="19"/>
  <c r="J37" i="19"/>
  <c r="K37" i="19"/>
  <c r="L37" i="19"/>
  <c r="M37" i="19"/>
  <c r="P37" i="19"/>
  <c r="Q37" i="19"/>
  <c r="S37" i="19"/>
  <c r="T37" i="19"/>
  <c r="U37" i="19"/>
  <c r="V37" i="19"/>
  <c r="W37" i="19"/>
  <c r="X37" i="19"/>
  <c r="J38" i="19"/>
  <c r="K38" i="19"/>
  <c r="L38" i="19"/>
  <c r="M38" i="19"/>
  <c r="P38" i="19"/>
  <c r="Q38" i="19"/>
  <c r="S38" i="19"/>
  <c r="T38" i="19"/>
  <c r="U38" i="19"/>
  <c r="V38" i="19"/>
  <c r="W38" i="19"/>
  <c r="X38" i="19"/>
  <c r="J39" i="19"/>
  <c r="K39" i="19"/>
  <c r="L39" i="19"/>
  <c r="M39" i="19"/>
  <c r="P39" i="19"/>
  <c r="Q39" i="19"/>
  <c r="S39" i="19"/>
  <c r="T39" i="19"/>
  <c r="U39" i="19"/>
  <c r="V39" i="19"/>
  <c r="W39" i="19"/>
  <c r="X39" i="19"/>
  <c r="J40" i="19"/>
  <c r="K40" i="19"/>
  <c r="L40" i="19"/>
  <c r="M40" i="19"/>
  <c r="P40" i="19"/>
  <c r="Q40" i="19"/>
  <c r="S40" i="19"/>
  <c r="T40" i="19"/>
  <c r="U40" i="19"/>
  <c r="V40" i="19"/>
  <c r="W40" i="19"/>
  <c r="X40" i="19"/>
  <c r="J41" i="19"/>
  <c r="K41" i="19"/>
  <c r="L41" i="19"/>
  <c r="M41" i="19"/>
  <c r="P41" i="19"/>
  <c r="Q41" i="19"/>
  <c r="S41" i="19"/>
  <c r="T41" i="19"/>
  <c r="U41" i="19"/>
  <c r="V41" i="19"/>
  <c r="W41" i="19"/>
  <c r="X41" i="19"/>
  <c r="J42" i="19"/>
  <c r="K42" i="19"/>
  <c r="L42" i="19"/>
  <c r="M42" i="19"/>
  <c r="P42" i="19"/>
  <c r="Q42" i="19"/>
  <c r="S42" i="19"/>
  <c r="T42" i="19"/>
  <c r="U42" i="19"/>
  <c r="V42" i="19"/>
  <c r="W42" i="19"/>
  <c r="X42" i="19"/>
  <c r="J43" i="19"/>
  <c r="K43" i="19"/>
  <c r="L43" i="19"/>
  <c r="M43" i="19"/>
  <c r="P43" i="19"/>
  <c r="Q43" i="19"/>
  <c r="S43" i="19"/>
  <c r="T43" i="19"/>
  <c r="U43" i="19"/>
  <c r="V43" i="19"/>
  <c r="W43" i="19"/>
  <c r="X43" i="19"/>
  <c r="J44" i="19"/>
  <c r="K44" i="19"/>
  <c r="L44" i="19"/>
  <c r="M44" i="19"/>
  <c r="P44" i="19"/>
  <c r="Q44" i="19"/>
  <c r="S44" i="19"/>
  <c r="T44" i="19"/>
  <c r="U44" i="19"/>
  <c r="V44" i="19"/>
  <c r="W44" i="19"/>
  <c r="X44" i="19"/>
  <c r="J45" i="19"/>
  <c r="K45" i="19"/>
  <c r="L45" i="19"/>
  <c r="M45" i="19"/>
  <c r="P45" i="19"/>
  <c r="Q45" i="19"/>
  <c r="S45" i="19"/>
  <c r="T45" i="19"/>
  <c r="U45" i="19"/>
  <c r="V45" i="19"/>
  <c r="W45" i="19"/>
  <c r="X45" i="19"/>
  <c r="J46" i="19"/>
  <c r="K46" i="19"/>
  <c r="L46" i="19"/>
  <c r="M46" i="19"/>
  <c r="P46" i="19"/>
  <c r="Q46" i="19"/>
  <c r="S46" i="19"/>
  <c r="T46" i="19"/>
  <c r="U46" i="19"/>
  <c r="V46" i="19"/>
  <c r="W46" i="19"/>
  <c r="X46" i="19"/>
  <c r="J47" i="19"/>
  <c r="K47" i="19"/>
  <c r="L47" i="19"/>
  <c r="M47" i="19"/>
  <c r="P47" i="19"/>
  <c r="Q47" i="19"/>
  <c r="S47" i="19"/>
  <c r="T47" i="19"/>
  <c r="U47" i="19"/>
  <c r="V47" i="19"/>
  <c r="W47" i="19"/>
  <c r="X47" i="19"/>
  <c r="J48" i="19"/>
  <c r="K48" i="19"/>
  <c r="L48" i="19"/>
  <c r="M48" i="19"/>
  <c r="P48" i="19"/>
  <c r="Q48" i="19"/>
  <c r="S48" i="19"/>
  <c r="T48" i="19"/>
  <c r="U48" i="19"/>
  <c r="V48" i="19"/>
  <c r="W48" i="19"/>
  <c r="X48" i="19"/>
  <c r="J49" i="19"/>
  <c r="K49" i="19"/>
  <c r="L49" i="19"/>
  <c r="M49" i="19"/>
  <c r="P49" i="19"/>
  <c r="Q49" i="19"/>
  <c r="S49" i="19"/>
  <c r="T49" i="19"/>
  <c r="U49" i="19"/>
  <c r="V49" i="19"/>
  <c r="W49" i="19"/>
  <c r="X49" i="19"/>
  <c r="J50" i="19"/>
  <c r="K50" i="19"/>
  <c r="L50" i="19"/>
  <c r="M50" i="19"/>
  <c r="P50" i="19"/>
  <c r="Q50" i="19"/>
  <c r="S50" i="19"/>
  <c r="T50" i="19"/>
  <c r="U50" i="19"/>
  <c r="V50" i="19"/>
  <c r="W50" i="19"/>
  <c r="X50" i="19"/>
  <c r="J51" i="19"/>
  <c r="K51" i="19"/>
  <c r="L51" i="19"/>
  <c r="M51" i="19"/>
  <c r="P51" i="19"/>
  <c r="Q51" i="19"/>
  <c r="S51" i="19"/>
  <c r="T51" i="19"/>
  <c r="U51" i="19"/>
  <c r="V51" i="19"/>
  <c r="W51" i="19"/>
  <c r="X51" i="19"/>
  <c r="J52" i="19"/>
  <c r="K52" i="19"/>
  <c r="L52" i="19"/>
  <c r="M52" i="19"/>
  <c r="P52" i="19"/>
  <c r="Q52" i="19"/>
  <c r="S52" i="19"/>
  <c r="T52" i="19"/>
  <c r="U52" i="19"/>
  <c r="V52" i="19"/>
  <c r="W52" i="19"/>
  <c r="X52" i="19"/>
  <c r="J53" i="19"/>
  <c r="K53" i="19"/>
  <c r="L53" i="19"/>
  <c r="M53" i="19"/>
  <c r="P53" i="19"/>
  <c r="Q53" i="19"/>
  <c r="S53" i="19"/>
  <c r="T53" i="19"/>
  <c r="U53" i="19"/>
  <c r="V53" i="19"/>
  <c r="W53" i="19"/>
  <c r="X53" i="19"/>
  <c r="J54" i="19"/>
  <c r="K54" i="19"/>
  <c r="L54" i="19"/>
  <c r="M54" i="19"/>
  <c r="P54" i="19"/>
  <c r="Q54" i="19"/>
  <c r="S54" i="19"/>
  <c r="T54" i="19"/>
  <c r="U54" i="19"/>
  <c r="V54" i="19"/>
  <c r="W54" i="19"/>
  <c r="X54" i="19"/>
  <c r="J55" i="19"/>
  <c r="K55" i="19"/>
  <c r="L55" i="19"/>
  <c r="M55" i="19"/>
  <c r="P55" i="19"/>
  <c r="Q55" i="19"/>
  <c r="S55" i="19"/>
  <c r="T55" i="19"/>
  <c r="U55" i="19"/>
  <c r="V55" i="19"/>
  <c r="W55" i="19"/>
  <c r="X55" i="19"/>
  <c r="J56" i="19"/>
  <c r="K56" i="19"/>
  <c r="L56" i="19"/>
  <c r="M56" i="19"/>
  <c r="P56" i="19"/>
  <c r="Q56" i="19"/>
  <c r="S56" i="19"/>
  <c r="T56" i="19"/>
  <c r="U56" i="19"/>
  <c r="V56" i="19"/>
  <c r="W56" i="19"/>
  <c r="X56" i="19"/>
  <c r="J57" i="19"/>
  <c r="K57" i="19"/>
  <c r="L57" i="19"/>
  <c r="M57" i="19"/>
  <c r="P57" i="19"/>
  <c r="Q57" i="19"/>
  <c r="S57" i="19"/>
  <c r="T57" i="19"/>
  <c r="U57" i="19"/>
  <c r="V57" i="19"/>
  <c r="W57" i="19"/>
  <c r="X57" i="19"/>
  <c r="J58" i="19"/>
  <c r="K58" i="19"/>
  <c r="L58" i="19"/>
  <c r="M58" i="19"/>
  <c r="P58" i="19"/>
  <c r="Q58" i="19"/>
  <c r="S58" i="19"/>
  <c r="T58" i="19"/>
  <c r="U58" i="19"/>
  <c r="V58" i="19"/>
  <c r="W58" i="19"/>
  <c r="X58" i="19"/>
  <c r="J59" i="19"/>
  <c r="K59" i="19"/>
  <c r="L59" i="19"/>
  <c r="M59" i="19"/>
  <c r="P59" i="19"/>
  <c r="Q59" i="19"/>
  <c r="S59" i="19"/>
  <c r="T59" i="19"/>
  <c r="U59" i="19"/>
  <c r="V59" i="19"/>
  <c r="W59" i="19"/>
  <c r="X59" i="19"/>
  <c r="J60" i="19"/>
  <c r="K60" i="19"/>
  <c r="L60" i="19"/>
  <c r="M60" i="19"/>
  <c r="P60" i="19"/>
  <c r="Q60" i="19"/>
  <c r="S60" i="19"/>
  <c r="T60" i="19"/>
  <c r="U60" i="19"/>
  <c r="V60" i="19"/>
  <c r="W60" i="19"/>
  <c r="X60" i="19"/>
  <c r="J61" i="19"/>
  <c r="K61" i="19"/>
  <c r="L61" i="19"/>
  <c r="M61" i="19"/>
  <c r="P61" i="19"/>
  <c r="Q61" i="19"/>
  <c r="S61" i="19"/>
  <c r="T61" i="19"/>
  <c r="U61" i="19"/>
  <c r="V61" i="19"/>
  <c r="W61" i="19"/>
  <c r="X61" i="19"/>
  <c r="J62" i="19"/>
  <c r="K62" i="19"/>
  <c r="L62" i="19"/>
  <c r="M62" i="19"/>
  <c r="P62" i="19"/>
  <c r="Q62" i="19"/>
  <c r="S62" i="19"/>
  <c r="T62" i="19"/>
  <c r="U62" i="19"/>
  <c r="V62" i="19"/>
  <c r="W62" i="19"/>
  <c r="X62" i="19"/>
  <c r="J63" i="19"/>
  <c r="K63" i="19"/>
  <c r="L63" i="19"/>
  <c r="M63" i="19"/>
  <c r="P63" i="19"/>
  <c r="Q63" i="19"/>
  <c r="S63" i="19"/>
  <c r="T63" i="19"/>
  <c r="U63" i="19"/>
  <c r="V63" i="19"/>
  <c r="W63" i="19"/>
  <c r="X63" i="19"/>
  <c r="J64" i="19"/>
  <c r="K64" i="19"/>
  <c r="L64" i="19"/>
  <c r="M64" i="19"/>
  <c r="P64" i="19"/>
  <c r="Q64" i="19"/>
  <c r="S64" i="19"/>
  <c r="T64" i="19"/>
  <c r="U64" i="19"/>
  <c r="V64" i="19"/>
  <c r="W64" i="19"/>
  <c r="X64" i="19"/>
  <c r="J65" i="19"/>
  <c r="K65" i="19"/>
  <c r="L65" i="19"/>
  <c r="M65" i="19"/>
  <c r="P65" i="19"/>
  <c r="Q65" i="19"/>
  <c r="S65" i="19"/>
  <c r="T65" i="19"/>
  <c r="U65" i="19"/>
  <c r="V65" i="19"/>
  <c r="W65" i="19"/>
  <c r="X65" i="19"/>
  <c r="J66" i="19"/>
  <c r="K66" i="19"/>
  <c r="L66" i="19"/>
  <c r="M66" i="19"/>
  <c r="P66" i="19"/>
  <c r="Q66" i="19"/>
  <c r="S66" i="19"/>
  <c r="T66" i="19"/>
  <c r="U66" i="19"/>
  <c r="V66" i="19"/>
  <c r="W66" i="19"/>
  <c r="X66" i="19"/>
  <c r="J67" i="19"/>
  <c r="K67" i="19"/>
  <c r="L67" i="19"/>
  <c r="M67" i="19"/>
  <c r="P67" i="19"/>
  <c r="Q67" i="19"/>
  <c r="S67" i="19"/>
  <c r="T67" i="19"/>
  <c r="U67" i="19"/>
  <c r="V67" i="19"/>
  <c r="W67" i="19"/>
  <c r="X67" i="19"/>
  <c r="J68" i="19"/>
  <c r="K68" i="19"/>
  <c r="L68" i="19"/>
  <c r="M68" i="19"/>
  <c r="P68" i="19"/>
  <c r="Q68" i="19"/>
  <c r="S68" i="19"/>
  <c r="T68" i="19"/>
  <c r="U68" i="19"/>
  <c r="V68" i="19"/>
  <c r="W68" i="19"/>
  <c r="X68" i="19"/>
  <c r="J69" i="19"/>
  <c r="K69" i="19"/>
  <c r="L69" i="19"/>
  <c r="M69" i="19"/>
  <c r="P69" i="19"/>
  <c r="Q69" i="19"/>
  <c r="S69" i="19"/>
  <c r="T69" i="19"/>
  <c r="U69" i="19"/>
  <c r="V69" i="19"/>
  <c r="W69" i="19"/>
  <c r="X69" i="19"/>
  <c r="J70" i="19"/>
  <c r="K70" i="19"/>
  <c r="L70" i="19"/>
  <c r="M70" i="19"/>
  <c r="P70" i="19"/>
  <c r="Q70" i="19"/>
  <c r="S70" i="19"/>
  <c r="T70" i="19"/>
  <c r="U70" i="19"/>
  <c r="V70" i="19"/>
  <c r="W70" i="19"/>
  <c r="X70" i="19"/>
  <c r="J71" i="19"/>
  <c r="K71" i="19"/>
  <c r="L71" i="19"/>
  <c r="M71" i="19"/>
  <c r="P71" i="19"/>
  <c r="Q71" i="19"/>
  <c r="S71" i="19"/>
  <c r="T71" i="19"/>
  <c r="U71" i="19"/>
  <c r="V71" i="19"/>
  <c r="W71" i="19"/>
  <c r="X71" i="19"/>
  <c r="J72" i="19"/>
  <c r="K72" i="19"/>
  <c r="L72" i="19"/>
  <c r="M72" i="19"/>
  <c r="P72" i="19"/>
  <c r="Q72" i="19"/>
  <c r="S72" i="19"/>
  <c r="T72" i="19"/>
  <c r="U72" i="19"/>
  <c r="V72" i="19"/>
  <c r="W72" i="19"/>
  <c r="X72" i="19"/>
  <c r="J73" i="19"/>
  <c r="K73" i="19"/>
  <c r="L73" i="19"/>
  <c r="M73" i="19"/>
  <c r="P73" i="19"/>
  <c r="Q73" i="19"/>
  <c r="S73" i="19"/>
  <c r="T73" i="19"/>
  <c r="U73" i="19"/>
  <c r="V73" i="19"/>
  <c r="W73" i="19"/>
  <c r="X73" i="19"/>
  <c r="J74" i="19"/>
  <c r="K74" i="19"/>
  <c r="L74" i="19"/>
  <c r="M74" i="19"/>
  <c r="P74" i="19"/>
  <c r="Q74" i="19"/>
  <c r="S74" i="19"/>
  <c r="T74" i="19"/>
  <c r="U74" i="19"/>
  <c r="V74" i="19"/>
  <c r="W74" i="19"/>
  <c r="X74" i="19"/>
  <c r="J75" i="19"/>
  <c r="K75" i="19"/>
  <c r="L75" i="19"/>
  <c r="M75" i="19"/>
  <c r="P75" i="19"/>
  <c r="Q75" i="19"/>
  <c r="S75" i="19"/>
  <c r="T75" i="19"/>
  <c r="U75" i="19"/>
  <c r="V75" i="19"/>
  <c r="W75" i="19"/>
  <c r="X75" i="19"/>
  <c r="J76" i="19"/>
  <c r="K76" i="19"/>
  <c r="L76" i="19"/>
  <c r="M76" i="19"/>
  <c r="P76" i="19"/>
  <c r="Q76" i="19"/>
  <c r="S76" i="19"/>
  <c r="T76" i="19"/>
  <c r="U76" i="19"/>
  <c r="V76" i="19"/>
  <c r="W76" i="19"/>
  <c r="X76" i="19"/>
  <c r="J77" i="19"/>
  <c r="K77" i="19"/>
  <c r="L77" i="19"/>
  <c r="M77" i="19"/>
  <c r="P77" i="19"/>
  <c r="Q77" i="19"/>
  <c r="S77" i="19"/>
  <c r="T77" i="19"/>
  <c r="U77" i="19"/>
  <c r="V77" i="19"/>
  <c r="W77" i="19"/>
  <c r="X77" i="19"/>
  <c r="J78" i="19"/>
  <c r="K78" i="19"/>
  <c r="L78" i="19"/>
  <c r="M78" i="19"/>
  <c r="P78" i="19"/>
  <c r="Q78" i="19"/>
  <c r="S78" i="19"/>
  <c r="T78" i="19"/>
  <c r="U78" i="19"/>
  <c r="V78" i="19"/>
  <c r="W78" i="19"/>
  <c r="X78" i="19"/>
  <c r="J79" i="19"/>
  <c r="K79" i="19"/>
  <c r="L79" i="19"/>
  <c r="M79" i="19"/>
  <c r="P79" i="19"/>
  <c r="Q79" i="19"/>
  <c r="S79" i="19"/>
  <c r="T79" i="19"/>
  <c r="U79" i="19"/>
  <c r="V79" i="19"/>
  <c r="W79" i="19"/>
  <c r="X79" i="19"/>
  <c r="J80" i="19"/>
  <c r="K80" i="19"/>
  <c r="L80" i="19"/>
  <c r="M80" i="19"/>
  <c r="P80" i="19"/>
  <c r="Q80" i="19"/>
  <c r="S80" i="19"/>
  <c r="T80" i="19"/>
  <c r="U80" i="19"/>
  <c r="V80" i="19"/>
  <c r="W80" i="19"/>
  <c r="X80" i="19"/>
  <c r="J81" i="19"/>
  <c r="K81" i="19"/>
  <c r="L81" i="19"/>
  <c r="M81" i="19"/>
  <c r="P81" i="19"/>
  <c r="Q81" i="19"/>
  <c r="S81" i="19"/>
  <c r="T81" i="19"/>
  <c r="U81" i="19"/>
  <c r="V81" i="19"/>
  <c r="W81" i="19"/>
  <c r="X81" i="19"/>
  <c r="J82" i="19"/>
  <c r="K82" i="19"/>
  <c r="L82" i="19"/>
  <c r="M82" i="19"/>
  <c r="P82" i="19"/>
  <c r="Q82" i="19"/>
  <c r="S82" i="19"/>
  <c r="T82" i="19"/>
  <c r="U82" i="19"/>
  <c r="V82" i="19"/>
  <c r="W82" i="19"/>
  <c r="X82" i="19"/>
  <c r="J83" i="19"/>
  <c r="K83" i="19"/>
  <c r="L83" i="19"/>
  <c r="M83" i="19"/>
  <c r="P83" i="19"/>
  <c r="Q83" i="19"/>
  <c r="S83" i="19"/>
  <c r="T83" i="19"/>
  <c r="U83" i="19"/>
  <c r="V83" i="19"/>
  <c r="W83" i="19"/>
  <c r="X83" i="19"/>
  <c r="J84" i="19"/>
  <c r="K84" i="19"/>
  <c r="L84" i="19"/>
  <c r="M84" i="19"/>
  <c r="P84" i="19"/>
  <c r="Q84" i="19"/>
  <c r="S84" i="19"/>
  <c r="T84" i="19"/>
  <c r="U84" i="19"/>
  <c r="V84" i="19"/>
  <c r="W84" i="19"/>
  <c r="X84" i="19"/>
  <c r="J85" i="19"/>
  <c r="K85" i="19"/>
  <c r="L85" i="19"/>
  <c r="M85" i="19"/>
  <c r="P85" i="19"/>
  <c r="Q85" i="19"/>
  <c r="S85" i="19"/>
  <c r="T85" i="19"/>
  <c r="U85" i="19"/>
  <c r="V85" i="19"/>
  <c r="W85" i="19"/>
  <c r="X85" i="19"/>
  <c r="J86" i="19"/>
  <c r="K86" i="19"/>
  <c r="L86" i="19"/>
  <c r="M86" i="19"/>
  <c r="P86" i="19"/>
  <c r="Q86" i="19"/>
  <c r="S86" i="19"/>
  <c r="T86" i="19"/>
  <c r="U86" i="19"/>
  <c r="V86" i="19"/>
  <c r="W86" i="19"/>
  <c r="X86" i="19"/>
  <c r="J87" i="19"/>
  <c r="K87" i="19"/>
  <c r="L87" i="19"/>
  <c r="M87" i="19"/>
  <c r="P87" i="19"/>
  <c r="Q87" i="19"/>
  <c r="S87" i="19"/>
  <c r="T87" i="19"/>
  <c r="U87" i="19"/>
  <c r="V87" i="19"/>
  <c r="W87" i="19"/>
  <c r="X87" i="19"/>
  <c r="J88" i="19"/>
  <c r="K88" i="19"/>
  <c r="L88" i="19"/>
  <c r="M88" i="19"/>
  <c r="P88" i="19"/>
  <c r="Q88" i="19"/>
  <c r="S88" i="19"/>
  <c r="T88" i="19"/>
  <c r="U88" i="19"/>
  <c r="V88" i="19"/>
  <c r="W88" i="19"/>
  <c r="X88" i="19"/>
  <c r="J89" i="19"/>
  <c r="K89" i="19"/>
  <c r="L89" i="19"/>
  <c r="M89" i="19"/>
  <c r="P89" i="19"/>
  <c r="Q89" i="19"/>
  <c r="S89" i="19"/>
  <c r="T89" i="19"/>
  <c r="U89" i="19"/>
  <c r="V89" i="19"/>
  <c r="W89" i="19"/>
  <c r="X89" i="19"/>
  <c r="J90" i="19"/>
  <c r="K90" i="19"/>
  <c r="L90" i="19"/>
  <c r="M90" i="19"/>
  <c r="P90" i="19"/>
  <c r="Q90" i="19"/>
  <c r="S90" i="19"/>
  <c r="T90" i="19"/>
  <c r="U90" i="19"/>
  <c r="V90" i="19"/>
  <c r="W90" i="19"/>
  <c r="X90" i="19"/>
  <c r="J91" i="19"/>
  <c r="K91" i="19"/>
  <c r="L91" i="19"/>
  <c r="M91" i="19"/>
  <c r="P91" i="19"/>
  <c r="Q91" i="19"/>
  <c r="S91" i="19"/>
  <c r="T91" i="19"/>
  <c r="U91" i="19"/>
  <c r="V91" i="19"/>
  <c r="W91" i="19"/>
  <c r="X91" i="19"/>
  <c r="J92" i="19"/>
  <c r="K92" i="19"/>
  <c r="L92" i="19"/>
  <c r="M92" i="19"/>
  <c r="P92" i="19"/>
  <c r="Q92" i="19"/>
  <c r="S92" i="19"/>
  <c r="T92" i="19"/>
  <c r="U92" i="19"/>
  <c r="V92" i="19"/>
  <c r="W92" i="19"/>
  <c r="X92" i="19"/>
  <c r="J93" i="19"/>
  <c r="K93" i="19"/>
  <c r="L93" i="19"/>
  <c r="M93" i="19"/>
  <c r="P93" i="19"/>
  <c r="Q93" i="19"/>
  <c r="S93" i="19"/>
  <c r="T93" i="19"/>
  <c r="U93" i="19"/>
  <c r="V93" i="19"/>
  <c r="W93" i="19"/>
  <c r="X93" i="19"/>
  <c r="J94" i="19"/>
  <c r="K94" i="19"/>
  <c r="L94" i="19"/>
  <c r="M94" i="19"/>
  <c r="P94" i="19"/>
  <c r="Q94" i="19"/>
  <c r="S94" i="19"/>
  <c r="T94" i="19"/>
  <c r="U94" i="19"/>
  <c r="V94" i="19"/>
  <c r="W94" i="19"/>
  <c r="X94" i="19"/>
  <c r="J95" i="19"/>
  <c r="K95" i="19"/>
  <c r="L95" i="19"/>
  <c r="M95" i="19"/>
  <c r="P95" i="19"/>
  <c r="Q95" i="19"/>
  <c r="S95" i="19"/>
  <c r="T95" i="19"/>
  <c r="U95" i="19"/>
  <c r="V95" i="19"/>
  <c r="W95" i="19"/>
  <c r="X95" i="19"/>
  <c r="J96" i="19"/>
  <c r="K96" i="19"/>
  <c r="L96" i="19"/>
  <c r="M96" i="19"/>
  <c r="P96" i="19"/>
  <c r="Q96" i="19"/>
  <c r="S96" i="19"/>
  <c r="T96" i="19"/>
  <c r="U96" i="19"/>
  <c r="V96" i="19"/>
  <c r="W96" i="19"/>
  <c r="X96" i="19"/>
  <c r="J97" i="19"/>
  <c r="K97" i="19"/>
  <c r="L97" i="19"/>
  <c r="M97" i="19"/>
  <c r="P97" i="19"/>
  <c r="Q97" i="19"/>
  <c r="S97" i="19"/>
  <c r="T97" i="19"/>
  <c r="U97" i="19"/>
  <c r="V97" i="19"/>
  <c r="W97" i="19"/>
  <c r="X97" i="19"/>
  <c r="J98" i="19"/>
  <c r="K98" i="19"/>
  <c r="L98" i="19"/>
  <c r="M98" i="19"/>
  <c r="P98" i="19"/>
  <c r="Q98" i="19"/>
  <c r="S98" i="19"/>
  <c r="T98" i="19"/>
  <c r="U98" i="19"/>
  <c r="V98" i="19"/>
  <c r="W98" i="19"/>
  <c r="X98" i="19"/>
  <c r="J99" i="19"/>
  <c r="K99" i="19"/>
  <c r="L99" i="19"/>
  <c r="M99" i="19"/>
  <c r="P99" i="19"/>
  <c r="Q99" i="19"/>
  <c r="S99" i="19"/>
  <c r="T99" i="19"/>
  <c r="U99" i="19"/>
  <c r="V99" i="19"/>
  <c r="W99" i="19"/>
  <c r="X99" i="19"/>
  <c r="J100" i="19"/>
  <c r="K100" i="19"/>
  <c r="L100" i="19"/>
  <c r="M100" i="19"/>
  <c r="P100" i="19"/>
  <c r="Q100" i="19"/>
  <c r="S100" i="19"/>
  <c r="T100" i="19"/>
  <c r="U100" i="19"/>
  <c r="V100" i="19"/>
  <c r="W100" i="19"/>
  <c r="X100" i="19"/>
  <c r="J101" i="19"/>
  <c r="K101" i="19"/>
  <c r="L101" i="19"/>
  <c r="M101" i="19"/>
  <c r="P101" i="19"/>
  <c r="Q101" i="19"/>
  <c r="S101" i="19"/>
  <c r="T101" i="19"/>
  <c r="U101" i="19"/>
  <c r="V101" i="19"/>
  <c r="W101" i="19"/>
  <c r="X101" i="19"/>
  <c r="J102" i="19"/>
  <c r="K102" i="19"/>
  <c r="L102" i="19"/>
  <c r="M102" i="19"/>
  <c r="P102" i="19"/>
  <c r="Q102" i="19"/>
  <c r="S102" i="19"/>
  <c r="T102" i="19"/>
  <c r="U102" i="19"/>
  <c r="V102" i="19"/>
  <c r="W102" i="19"/>
  <c r="X102" i="19"/>
  <c r="J103" i="19"/>
  <c r="K103" i="19"/>
  <c r="L103" i="19"/>
  <c r="M103" i="19"/>
  <c r="P103" i="19"/>
  <c r="Q103" i="19"/>
  <c r="S103" i="19"/>
  <c r="T103" i="19"/>
  <c r="U103" i="19"/>
  <c r="V103" i="19"/>
  <c r="W103" i="19"/>
  <c r="X103" i="19"/>
  <c r="J104" i="19"/>
  <c r="K104" i="19"/>
  <c r="L104" i="19"/>
  <c r="M104" i="19"/>
  <c r="P104" i="19"/>
  <c r="Q104" i="19"/>
  <c r="S104" i="19"/>
  <c r="T104" i="19"/>
  <c r="U104" i="19"/>
  <c r="V104" i="19"/>
  <c r="W104" i="19"/>
  <c r="X104" i="19"/>
  <c r="J105" i="19"/>
  <c r="K105" i="19"/>
  <c r="L105" i="19"/>
  <c r="M105" i="19"/>
  <c r="P105" i="19"/>
  <c r="Q105" i="19"/>
  <c r="S105" i="19"/>
  <c r="T105" i="19"/>
  <c r="U105" i="19"/>
  <c r="V105" i="19"/>
  <c r="W105" i="19"/>
  <c r="X105" i="19"/>
  <c r="J106" i="19"/>
  <c r="K106" i="19"/>
  <c r="L106" i="19"/>
  <c r="M106" i="19"/>
  <c r="P106" i="19"/>
  <c r="Q106" i="19"/>
  <c r="S106" i="19"/>
  <c r="T106" i="19"/>
  <c r="U106" i="19"/>
  <c r="V106" i="19"/>
  <c r="W106" i="19"/>
  <c r="X106" i="19"/>
  <c r="J107" i="19"/>
  <c r="K107" i="19"/>
  <c r="L107" i="19"/>
  <c r="M107" i="19"/>
  <c r="P107" i="19"/>
  <c r="Q107" i="19"/>
  <c r="S107" i="19"/>
  <c r="T107" i="19"/>
  <c r="U107" i="19"/>
  <c r="V107" i="19"/>
  <c r="W107" i="19"/>
  <c r="X107" i="19"/>
  <c r="J108" i="19"/>
  <c r="K108" i="19"/>
  <c r="L108" i="19"/>
  <c r="M108" i="19"/>
  <c r="P108" i="19"/>
  <c r="Q108" i="19"/>
  <c r="S108" i="19"/>
  <c r="T108" i="19"/>
  <c r="U108" i="19"/>
  <c r="V108" i="19"/>
  <c r="W108" i="19"/>
  <c r="X108" i="19"/>
  <c r="J109" i="19"/>
  <c r="K109" i="19"/>
  <c r="L109" i="19"/>
  <c r="M109" i="19"/>
  <c r="P109" i="19"/>
  <c r="Q109" i="19"/>
  <c r="S109" i="19"/>
  <c r="T109" i="19"/>
  <c r="U109" i="19"/>
  <c r="V109" i="19"/>
  <c r="W109" i="19"/>
  <c r="X109" i="19"/>
  <c r="J110" i="19"/>
  <c r="K110" i="19"/>
  <c r="L110" i="19"/>
  <c r="M110" i="19"/>
  <c r="P110" i="19"/>
  <c r="Q110" i="19"/>
  <c r="S110" i="19"/>
  <c r="T110" i="19"/>
  <c r="U110" i="19"/>
  <c r="V110" i="19"/>
  <c r="W110" i="19"/>
  <c r="X110" i="19"/>
  <c r="J111" i="19"/>
  <c r="K111" i="19"/>
  <c r="L111" i="19"/>
  <c r="M111" i="19"/>
  <c r="P111" i="19"/>
  <c r="Q111" i="19"/>
  <c r="S111" i="19"/>
  <c r="T111" i="19"/>
  <c r="U111" i="19"/>
  <c r="V111" i="19"/>
  <c r="W111" i="19"/>
  <c r="X111" i="19"/>
  <c r="J112" i="19"/>
  <c r="K112" i="19"/>
  <c r="L112" i="19"/>
  <c r="M112" i="19"/>
  <c r="P112" i="19"/>
  <c r="Q112" i="19"/>
  <c r="S112" i="19"/>
  <c r="T112" i="19"/>
  <c r="U112" i="19"/>
  <c r="V112" i="19"/>
  <c r="W112" i="19"/>
  <c r="X112" i="19"/>
  <c r="J113" i="19"/>
  <c r="K113" i="19"/>
  <c r="L113" i="19"/>
  <c r="M113" i="19"/>
  <c r="P113" i="19"/>
  <c r="Q113" i="19"/>
  <c r="S113" i="19"/>
  <c r="T113" i="19"/>
  <c r="U113" i="19"/>
  <c r="V113" i="19"/>
  <c r="W113" i="19"/>
  <c r="X113" i="19"/>
  <c r="J114" i="19"/>
  <c r="K114" i="19"/>
  <c r="L114" i="19"/>
  <c r="M114" i="19"/>
  <c r="P114" i="19"/>
  <c r="Q114" i="19"/>
  <c r="S114" i="19"/>
  <c r="T114" i="19"/>
  <c r="U114" i="19"/>
  <c r="V114" i="19"/>
  <c r="W114" i="19"/>
  <c r="X114" i="19"/>
  <c r="J115" i="19"/>
  <c r="K115" i="19"/>
  <c r="L115" i="19"/>
  <c r="M115" i="19"/>
  <c r="P115" i="19"/>
  <c r="Q115" i="19"/>
  <c r="S115" i="19"/>
  <c r="T115" i="19"/>
  <c r="U115" i="19"/>
  <c r="V115" i="19"/>
  <c r="W115" i="19"/>
  <c r="X115" i="19"/>
  <c r="J116" i="19"/>
  <c r="K116" i="19"/>
  <c r="L116" i="19"/>
  <c r="M116" i="19"/>
  <c r="P116" i="19"/>
  <c r="Q116" i="19"/>
  <c r="S116" i="19"/>
  <c r="T116" i="19"/>
  <c r="U116" i="19"/>
  <c r="V116" i="19"/>
  <c r="W116" i="19"/>
  <c r="X116" i="19"/>
  <c r="J117" i="19"/>
  <c r="K117" i="19"/>
  <c r="L117" i="19"/>
  <c r="M117" i="19"/>
  <c r="P117" i="19"/>
  <c r="Q117" i="19"/>
  <c r="S117" i="19"/>
  <c r="T117" i="19"/>
  <c r="U117" i="19"/>
  <c r="V117" i="19"/>
  <c r="W117" i="19"/>
  <c r="X117" i="19"/>
  <c r="J118" i="19"/>
  <c r="K118" i="19"/>
  <c r="L118" i="19"/>
  <c r="M118" i="19"/>
  <c r="P118" i="19"/>
  <c r="Q118" i="19"/>
  <c r="S118" i="19"/>
  <c r="T118" i="19"/>
  <c r="U118" i="19"/>
  <c r="V118" i="19"/>
  <c r="W118" i="19"/>
  <c r="X118" i="19"/>
  <c r="J119" i="19"/>
  <c r="K119" i="19"/>
  <c r="L119" i="19"/>
  <c r="M119" i="19"/>
  <c r="P119" i="19"/>
  <c r="Q119" i="19"/>
  <c r="S119" i="19"/>
  <c r="T119" i="19"/>
  <c r="U119" i="19"/>
  <c r="V119" i="19"/>
  <c r="W119" i="19"/>
  <c r="X119" i="19"/>
  <c r="J120" i="19"/>
  <c r="K120" i="19"/>
  <c r="L120" i="19"/>
  <c r="M120" i="19"/>
  <c r="P120" i="19"/>
  <c r="Q120" i="19"/>
  <c r="S120" i="19"/>
  <c r="T120" i="19"/>
  <c r="U120" i="19"/>
  <c r="V120" i="19"/>
  <c r="W120" i="19"/>
  <c r="X120" i="19"/>
  <c r="J121" i="19"/>
  <c r="K121" i="19"/>
  <c r="L121" i="19"/>
  <c r="M121" i="19"/>
  <c r="P121" i="19"/>
  <c r="Q121" i="19"/>
  <c r="S121" i="19"/>
  <c r="T121" i="19"/>
  <c r="U121" i="19"/>
  <c r="V121" i="19"/>
  <c r="W121" i="19"/>
  <c r="X121" i="19"/>
  <c r="J122" i="19"/>
  <c r="K122" i="19"/>
  <c r="L122" i="19"/>
  <c r="M122" i="19"/>
  <c r="P122" i="19"/>
  <c r="Q122" i="19"/>
  <c r="S122" i="19"/>
  <c r="T122" i="19"/>
  <c r="U122" i="19"/>
  <c r="V122" i="19"/>
  <c r="W122" i="19"/>
  <c r="X122" i="19"/>
  <c r="J123" i="19"/>
  <c r="K123" i="19"/>
  <c r="L123" i="19"/>
  <c r="M123" i="19"/>
  <c r="P123" i="19"/>
  <c r="Q123" i="19"/>
  <c r="S123" i="19"/>
  <c r="T123" i="19"/>
  <c r="U123" i="19"/>
  <c r="V123" i="19"/>
  <c r="W123" i="19"/>
  <c r="X123" i="19"/>
  <c r="J124" i="19"/>
  <c r="K124" i="19"/>
  <c r="L124" i="19"/>
  <c r="M124" i="19"/>
  <c r="P124" i="19"/>
  <c r="Q124" i="19"/>
  <c r="S124" i="19"/>
  <c r="T124" i="19"/>
  <c r="U124" i="19"/>
  <c r="V124" i="19"/>
  <c r="W124" i="19"/>
  <c r="X124" i="19"/>
  <c r="J125" i="19"/>
  <c r="K125" i="19"/>
  <c r="L125" i="19"/>
  <c r="M125" i="19"/>
  <c r="P125" i="19"/>
  <c r="Q125" i="19"/>
  <c r="S125" i="19"/>
  <c r="T125" i="19"/>
  <c r="U125" i="19"/>
  <c r="V125" i="19"/>
  <c r="W125" i="19"/>
  <c r="X125" i="19"/>
  <c r="J126" i="19"/>
  <c r="K126" i="19"/>
  <c r="L126" i="19"/>
  <c r="M126" i="19"/>
  <c r="P126" i="19"/>
  <c r="Q126" i="19"/>
  <c r="S126" i="19"/>
  <c r="T126" i="19"/>
  <c r="U126" i="19"/>
  <c r="V126" i="19"/>
  <c r="W126" i="19"/>
  <c r="X126" i="19"/>
  <c r="J127" i="19"/>
  <c r="K127" i="19"/>
  <c r="L127" i="19"/>
  <c r="M127" i="19"/>
  <c r="P127" i="19"/>
  <c r="Q127" i="19"/>
  <c r="S127" i="19"/>
  <c r="T127" i="19"/>
  <c r="U127" i="19"/>
  <c r="V127" i="19"/>
  <c r="W127" i="19"/>
  <c r="X127" i="19"/>
  <c r="J128" i="19"/>
  <c r="K128" i="19"/>
  <c r="L128" i="19"/>
  <c r="M128" i="19"/>
  <c r="P128" i="19"/>
  <c r="Q128" i="19"/>
  <c r="S128" i="19"/>
  <c r="T128" i="19"/>
  <c r="U128" i="19"/>
  <c r="V128" i="19"/>
  <c r="W128" i="19"/>
  <c r="X128" i="19"/>
  <c r="J129" i="19"/>
  <c r="K129" i="19"/>
  <c r="L129" i="19"/>
  <c r="M129" i="19"/>
  <c r="P129" i="19"/>
  <c r="Q129" i="19"/>
  <c r="S129" i="19"/>
  <c r="T129" i="19"/>
  <c r="U129" i="19"/>
  <c r="V129" i="19"/>
  <c r="W129" i="19"/>
  <c r="X129" i="19"/>
  <c r="J130" i="19"/>
  <c r="K130" i="19"/>
  <c r="L130" i="19"/>
  <c r="M130" i="19"/>
  <c r="P130" i="19"/>
  <c r="Q130" i="19"/>
  <c r="S130" i="19"/>
  <c r="T130" i="19"/>
  <c r="U130" i="19"/>
  <c r="V130" i="19"/>
  <c r="W130" i="19"/>
  <c r="X130" i="19"/>
  <c r="J131" i="19"/>
  <c r="K131" i="19"/>
  <c r="M131" i="19"/>
  <c r="P131" i="19"/>
  <c r="Q131" i="19"/>
  <c r="S131" i="19"/>
  <c r="T131" i="19"/>
  <c r="U131" i="19"/>
  <c r="V131" i="19"/>
  <c r="W131" i="19"/>
  <c r="X131" i="19"/>
  <c r="J132" i="19"/>
  <c r="K132" i="19"/>
  <c r="M132" i="19"/>
  <c r="P132" i="19"/>
  <c r="Q132" i="19"/>
  <c r="S132" i="19"/>
  <c r="T132" i="19"/>
  <c r="U132" i="19"/>
  <c r="V132" i="19"/>
  <c r="W132" i="19"/>
  <c r="X132" i="19"/>
  <c r="J133" i="19"/>
  <c r="K133" i="19"/>
  <c r="M133" i="19"/>
  <c r="P133" i="19"/>
  <c r="Q133" i="19"/>
  <c r="S133" i="19"/>
  <c r="T133" i="19"/>
  <c r="U133" i="19"/>
  <c r="V133" i="19"/>
  <c r="W133" i="19"/>
  <c r="X133" i="19"/>
  <c r="J134" i="19"/>
  <c r="K134" i="19"/>
  <c r="M134" i="19"/>
  <c r="P134" i="19"/>
  <c r="Q134" i="19"/>
  <c r="S134" i="19"/>
  <c r="T134" i="19"/>
  <c r="U134" i="19"/>
  <c r="V134" i="19"/>
  <c r="W134" i="19"/>
  <c r="X134" i="19"/>
  <c r="J135" i="19"/>
  <c r="K135" i="19"/>
  <c r="L135" i="19"/>
  <c r="M135" i="19"/>
  <c r="P135" i="19"/>
  <c r="Q135" i="19"/>
  <c r="S135" i="19"/>
  <c r="T135" i="19"/>
  <c r="U135" i="19"/>
  <c r="V135" i="19"/>
  <c r="W135" i="19"/>
  <c r="X135" i="19"/>
  <c r="J136" i="19"/>
  <c r="K136" i="19"/>
  <c r="L136" i="19"/>
  <c r="M136" i="19"/>
  <c r="P136" i="19"/>
  <c r="Q136" i="19"/>
  <c r="S136" i="19"/>
  <c r="T136" i="19"/>
  <c r="U136" i="19"/>
  <c r="V136" i="19"/>
  <c r="W136" i="19"/>
  <c r="X136" i="19"/>
  <c r="J137" i="19"/>
  <c r="K137" i="19"/>
  <c r="L137" i="19"/>
  <c r="M137" i="19"/>
  <c r="P137" i="19"/>
  <c r="Q137" i="19"/>
  <c r="S137" i="19"/>
  <c r="T137" i="19"/>
  <c r="U137" i="19"/>
  <c r="V137" i="19"/>
  <c r="W137" i="19"/>
  <c r="X137" i="19"/>
  <c r="J138" i="19"/>
  <c r="K138" i="19"/>
  <c r="L138" i="19"/>
  <c r="M138" i="19"/>
  <c r="P138" i="19"/>
  <c r="Q138" i="19"/>
  <c r="S138" i="19"/>
  <c r="T138" i="19"/>
  <c r="U138" i="19"/>
  <c r="V138" i="19"/>
  <c r="W138" i="19"/>
  <c r="X138" i="19"/>
  <c r="J139" i="19"/>
  <c r="K139" i="19"/>
  <c r="L139" i="19"/>
  <c r="M139" i="19"/>
  <c r="P139" i="19"/>
  <c r="Q139" i="19"/>
  <c r="S139" i="19"/>
  <c r="T139" i="19"/>
  <c r="U139" i="19"/>
  <c r="V139" i="19"/>
  <c r="W139" i="19"/>
  <c r="X139" i="19"/>
  <c r="J140" i="19"/>
  <c r="K140" i="19"/>
  <c r="L140" i="19"/>
  <c r="M140" i="19"/>
  <c r="P140" i="19"/>
  <c r="Q140" i="19"/>
  <c r="S140" i="19"/>
  <c r="T140" i="19"/>
  <c r="U140" i="19"/>
  <c r="V140" i="19"/>
  <c r="W140" i="19"/>
  <c r="X140" i="19"/>
  <c r="J141" i="19"/>
  <c r="K141" i="19"/>
  <c r="L141" i="19"/>
  <c r="M141" i="19"/>
  <c r="P141" i="19"/>
  <c r="Q141" i="19"/>
  <c r="S141" i="19"/>
  <c r="T141" i="19"/>
  <c r="U141" i="19"/>
  <c r="V141" i="19"/>
  <c r="W141" i="19"/>
  <c r="X141" i="19"/>
  <c r="J142" i="19"/>
  <c r="K142" i="19"/>
  <c r="L142" i="19"/>
  <c r="M142" i="19"/>
  <c r="P142" i="19"/>
  <c r="Q142" i="19"/>
  <c r="S142" i="19"/>
  <c r="T142" i="19"/>
  <c r="U142" i="19"/>
  <c r="V142" i="19"/>
  <c r="W142" i="19"/>
  <c r="X142" i="19"/>
  <c r="J143" i="19"/>
  <c r="K143" i="19"/>
  <c r="L143" i="19"/>
  <c r="M143" i="19"/>
  <c r="P143" i="19"/>
  <c r="Q143" i="19"/>
  <c r="S143" i="19"/>
  <c r="T143" i="19"/>
  <c r="U143" i="19"/>
  <c r="V143" i="19"/>
  <c r="W143" i="19"/>
  <c r="X143" i="19"/>
  <c r="J144" i="19"/>
  <c r="K144" i="19"/>
  <c r="L144" i="19"/>
  <c r="M144" i="19"/>
  <c r="P144" i="19"/>
  <c r="Q144" i="19"/>
  <c r="S144" i="19"/>
  <c r="T144" i="19"/>
  <c r="U144" i="19"/>
  <c r="V144" i="19"/>
  <c r="W144" i="19"/>
  <c r="X144" i="19"/>
  <c r="J145" i="19"/>
  <c r="K145" i="19"/>
  <c r="L145" i="19"/>
  <c r="M145" i="19"/>
  <c r="P145" i="19"/>
  <c r="Q145" i="19"/>
  <c r="S145" i="19"/>
  <c r="T145" i="19"/>
  <c r="U145" i="19"/>
  <c r="V145" i="19"/>
  <c r="W145" i="19"/>
  <c r="X145" i="19"/>
  <c r="J146" i="19"/>
  <c r="K146" i="19"/>
  <c r="L146" i="19"/>
  <c r="M146" i="19"/>
  <c r="P146" i="19"/>
  <c r="Q146" i="19"/>
  <c r="S146" i="19"/>
  <c r="T146" i="19"/>
  <c r="U146" i="19"/>
  <c r="V146" i="19"/>
  <c r="W146" i="19"/>
  <c r="X146" i="19"/>
  <c r="J147" i="19"/>
  <c r="K147" i="19"/>
  <c r="L147" i="19"/>
  <c r="M147" i="19"/>
  <c r="P147" i="19"/>
  <c r="Q147" i="19"/>
  <c r="S147" i="19"/>
  <c r="T147" i="19"/>
  <c r="U147" i="19"/>
  <c r="V147" i="19"/>
  <c r="W147" i="19"/>
  <c r="X147" i="19"/>
  <c r="J148" i="19"/>
  <c r="K148" i="19"/>
  <c r="L148" i="19"/>
  <c r="M148" i="19"/>
  <c r="P148" i="19"/>
  <c r="Q148" i="19"/>
  <c r="S148" i="19"/>
  <c r="T148" i="19"/>
  <c r="U148" i="19"/>
  <c r="V148" i="19"/>
  <c r="W148" i="19"/>
  <c r="X148" i="19"/>
  <c r="J149" i="19"/>
  <c r="K149" i="19"/>
  <c r="L149" i="19"/>
  <c r="M149" i="19"/>
  <c r="P149" i="19"/>
  <c r="Q149" i="19"/>
  <c r="S149" i="19"/>
  <c r="T149" i="19"/>
  <c r="U149" i="19"/>
  <c r="V149" i="19"/>
  <c r="W149" i="19"/>
  <c r="X149" i="19"/>
  <c r="J150" i="19"/>
  <c r="K150" i="19"/>
  <c r="L150" i="19"/>
  <c r="M150" i="19"/>
  <c r="P150" i="19"/>
  <c r="Q150" i="19"/>
  <c r="S150" i="19"/>
  <c r="T150" i="19"/>
  <c r="U150" i="19"/>
  <c r="V150" i="19"/>
  <c r="W150" i="19"/>
  <c r="X150" i="19"/>
  <c r="J151" i="19"/>
  <c r="K151" i="19"/>
  <c r="L151" i="19"/>
  <c r="M151" i="19"/>
  <c r="P151" i="19"/>
  <c r="Q151" i="19"/>
  <c r="S151" i="19"/>
  <c r="T151" i="19"/>
  <c r="U151" i="19"/>
  <c r="V151" i="19"/>
  <c r="W151" i="19"/>
  <c r="X151" i="19"/>
  <c r="J152" i="19"/>
  <c r="K152" i="19"/>
  <c r="L152" i="19"/>
  <c r="M152" i="19"/>
  <c r="P152" i="19"/>
  <c r="Q152" i="19"/>
  <c r="S152" i="19"/>
  <c r="T152" i="19"/>
  <c r="U152" i="19"/>
  <c r="V152" i="19"/>
  <c r="W152" i="19"/>
  <c r="X152" i="19"/>
  <c r="J153" i="19"/>
  <c r="K153" i="19"/>
  <c r="L153" i="19"/>
  <c r="M153" i="19"/>
  <c r="P153" i="19"/>
  <c r="Q153" i="19"/>
  <c r="S153" i="19"/>
  <c r="T153" i="19"/>
  <c r="U153" i="19"/>
  <c r="V153" i="19"/>
  <c r="W153" i="19"/>
  <c r="X153" i="19"/>
  <c r="J154" i="19"/>
  <c r="K154" i="19"/>
  <c r="L154" i="19"/>
  <c r="M154" i="19"/>
  <c r="P154" i="19"/>
  <c r="Q154" i="19"/>
  <c r="S154" i="19"/>
  <c r="T154" i="19"/>
  <c r="U154" i="19"/>
  <c r="V154" i="19"/>
  <c r="W154" i="19"/>
  <c r="X154" i="19"/>
  <c r="J155" i="19"/>
  <c r="K155" i="19"/>
  <c r="L155" i="19"/>
  <c r="M155" i="19"/>
  <c r="P155" i="19"/>
  <c r="Q155" i="19"/>
  <c r="S155" i="19"/>
  <c r="T155" i="19"/>
  <c r="U155" i="19"/>
  <c r="V155" i="19"/>
  <c r="W155" i="19"/>
  <c r="X155" i="19"/>
  <c r="J156" i="19"/>
  <c r="K156" i="19"/>
  <c r="M156" i="19"/>
  <c r="P156" i="19"/>
  <c r="Q156" i="19"/>
  <c r="S156" i="19"/>
  <c r="T156" i="19"/>
  <c r="U156" i="19"/>
  <c r="V156" i="19"/>
  <c r="W156" i="19"/>
  <c r="X156" i="19"/>
  <c r="J157" i="19"/>
  <c r="K157" i="19"/>
  <c r="L157" i="19"/>
  <c r="M157" i="19"/>
  <c r="P157" i="19"/>
  <c r="Q157" i="19"/>
  <c r="S157" i="19"/>
  <c r="T157" i="19"/>
  <c r="U157" i="19"/>
  <c r="V157" i="19"/>
  <c r="W157" i="19"/>
  <c r="X157" i="19"/>
  <c r="J158" i="19"/>
  <c r="K158" i="19"/>
  <c r="L158" i="19"/>
  <c r="M158" i="19"/>
  <c r="P158" i="19"/>
  <c r="Q158" i="19"/>
  <c r="S158" i="19"/>
  <c r="T158" i="19"/>
  <c r="U158" i="19"/>
  <c r="V158" i="19"/>
  <c r="W158" i="19"/>
  <c r="X158" i="19"/>
  <c r="J159" i="19"/>
  <c r="K159" i="19"/>
  <c r="L159" i="19"/>
  <c r="M159" i="19"/>
  <c r="P159" i="19"/>
  <c r="Q159" i="19"/>
  <c r="S159" i="19"/>
  <c r="T159" i="19"/>
  <c r="U159" i="19"/>
  <c r="V159" i="19"/>
  <c r="W159" i="19"/>
  <c r="X159" i="19"/>
  <c r="J160" i="19"/>
  <c r="K160" i="19"/>
  <c r="L160" i="19"/>
  <c r="M160" i="19"/>
  <c r="P160" i="19"/>
  <c r="Q160" i="19"/>
  <c r="S160" i="19"/>
  <c r="T160" i="19"/>
  <c r="U160" i="19"/>
  <c r="V160" i="19"/>
  <c r="W160" i="19"/>
  <c r="X160" i="19"/>
  <c r="J161" i="19"/>
  <c r="K161" i="19"/>
  <c r="L161" i="19"/>
  <c r="M161" i="19"/>
  <c r="P161" i="19"/>
  <c r="Q161" i="19"/>
  <c r="S161" i="19"/>
  <c r="T161" i="19"/>
  <c r="U161" i="19"/>
  <c r="V161" i="19"/>
  <c r="W161" i="19"/>
  <c r="X161" i="19"/>
  <c r="J162" i="19"/>
  <c r="K162" i="19"/>
  <c r="L162" i="19"/>
  <c r="M162" i="19"/>
  <c r="P162" i="19"/>
  <c r="Q162" i="19"/>
  <c r="S162" i="19"/>
  <c r="T162" i="19"/>
  <c r="U162" i="19"/>
  <c r="V162" i="19"/>
  <c r="W162" i="19"/>
  <c r="X162" i="19"/>
  <c r="J163" i="19"/>
  <c r="K163" i="19"/>
  <c r="L163" i="19"/>
  <c r="M163" i="19"/>
  <c r="P163" i="19"/>
  <c r="Q163" i="19"/>
  <c r="S163" i="19"/>
  <c r="T163" i="19"/>
  <c r="U163" i="19"/>
  <c r="V163" i="19"/>
  <c r="W163" i="19"/>
  <c r="X163" i="19"/>
  <c r="J164" i="19"/>
  <c r="K164" i="19"/>
  <c r="L164" i="19"/>
  <c r="M164" i="19"/>
  <c r="P164" i="19"/>
  <c r="Q164" i="19"/>
  <c r="S164" i="19"/>
  <c r="T164" i="19"/>
  <c r="U164" i="19"/>
  <c r="V164" i="19"/>
  <c r="W164" i="19"/>
  <c r="X164" i="19"/>
  <c r="J165" i="19"/>
  <c r="K165" i="19"/>
  <c r="L165" i="19"/>
  <c r="M165" i="19"/>
  <c r="P165" i="19"/>
  <c r="Q165" i="19"/>
  <c r="S165" i="19"/>
  <c r="T165" i="19"/>
  <c r="U165" i="19"/>
  <c r="V165" i="19"/>
  <c r="W165" i="19"/>
  <c r="X165" i="19"/>
  <c r="J166" i="19"/>
  <c r="K166" i="19"/>
  <c r="L166" i="19"/>
  <c r="M166" i="19"/>
  <c r="P166" i="19"/>
  <c r="Q166" i="19"/>
  <c r="S166" i="19"/>
  <c r="T166" i="19"/>
  <c r="U166" i="19"/>
  <c r="V166" i="19"/>
  <c r="W166" i="19"/>
  <c r="X166" i="19"/>
  <c r="J167" i="19"/>
  <c r="K167" i="19"/>
  <c r="L167" i="19"/>
  <c r="M167" i="19"/>
  <c r="P167" i="19"/>
  <c r="Q167" i="19"/>
  <c r="S167" i="19"/>
  <c r="T167" i="19"/>
  <c r="U167" i="19"/>
  <c r="V167" i="19"/>
  <c r="W167" i="19"/>
  <c r="X167" i="19"/>
  <c r="J168" i="19"/>
  <c r="K168" i="19"/>
  <c r="L168" i="19"/>
  <c r="M168" i="19"/>
  <c r="P168" i="19"/>
  <c r="Q168" i="19"/>
  <c r="S168" i="19"/>
  <c r="T168" i="19"/>
  <c r="U168" i="19"/>
  <c r="V168" i="19"/>
  <c r="W168" i="19"/>
  <c r="X168" i="19"/>
  <c r="J169" i="19"/>
  <c r="K169" i="19"/>
  <c r="L169" i="19"/>
  <c r="M169" i="19"/>
  <c r="P169" i="19"/>
  <c r="Q169" i="19"/>
  <c r="S169" i="19"/>
  <c r="T169" i="19"/>
  <c r="U169" i="19"/>
  <c r="V169" i="19"/>
  <c r="W169" i="19"/>
  <c r="X169" i="19"/>
  <c r="J170" i="19"/>
  <c r="K170" i="19"/>
  <c r="L170" i="19"/>
  <c r="M170" i="19"/>
  <c r="P170" i="19"/>
  <c r="Q170" i="19"/>
  <c r="S170" i="19"/>
  <c r="T170" i="19"/>
  <c r="U170" i="19"/>
  <c r="V170" i="19"/>
  <c r="W170" i="19"/>
  <c r="X170" i="19"/>
  <c r="J171" i="19"/>
  <c r="K171" i="19"/>
  <c r="L171" i="19"/>
  <c r="M171" i="19"/>
  <c r="P171" i="19"/>
  <c r="Q171" i="19"/>
  <c r="S171" i="19"/>
  <c r="T171" i="19"/>
  <c r="U171" i="19"/>
  <c r="V171" i="19"/>
  <c r="W171" i="19"/>
  <c r="X171" i="19"/>
  <c r="J172" i="19"/>
  <c r="K172" i="19"/>
  <c r="L172" i="19"/>
  <c r="M172" i="19"/>
  <c r="P172" i="19"/>
  <c r="Q172" i="19"/>
  <c r="S172" i="19"/>
  <c r="T172" i="19"/>
  <c r="U172" i="19"/>
  <c r="V172" i="19"/>
  <c r="W172" i="19"/>
  <c r="X172" i="19"/>
  <c r="J173" i="19"/>
  <c r="K173" i="19"/>
  <c r="L173" i="19"/>
  <c r="M173" i="19"/>
  <c r="P173" i="19"/>
  <c r="Q173" i="19"/>
  <c r="S173" i="19"/>
  <c r="T173" i="19"/>
  <c r="U173" i="19"/>
  <c r="V173" i="19"/>
  <c r="W173" i="19"/>
  <c r="X173" i="19"/>
  <c r="J174" i="19"/>
  <c r="K174" i="19"/>
  <c r="L174" i="19"/>
  <c r="M174" i="19"/>
  <c r="P174" i="19"/>
  <c r="Q174" i="19"/>
  <c r="S174" i="19"/>
  <c r="T174" i="19"/>
  <c r="U174" i="19"/>
  <c r="V174" i="19"/>
  <c r="W174" i="19"/>
  <c r="X174" i="19"/>
  <c r="J175" i="19"/>
  <c r="K175" i="19"/>
  <c r="L175" i="19"/>
  <c r="M175" i="19"/>
  <c r="P175" i="19"/>
  <c r="Q175" i="19"/>
  <c r="S175" i="19"/>
  <c r="T175" i="19"/>
  <c r="U175" i="19"/>
  <c r="V175" i="19"/>
  <c r="W175" i="19"/>
  <c r="X175" i="19"/>
  <c r="J176" i="19"/>
  <c r="K176" i="19"/>
  <c r="L176" i="19"/>
  <c r="M176" i="19"/>
  <c r="P176" i="19"/>
  <c r="Q176" i="19"/>
  <c r="S176" i="19"/>
  <c r="T176" i="19"/>
  <c r="U176" i="19"/>
  <c r="V176" i="19"/>
  <c r="W176" i="19"/>
  <c r="X176" i="19"/>
  <c r="J177" i="19"/>
  <c r="K177" i="19"/>
  <c r="L177" i="19"/>
  <c r="M177" i="19"/>
  <c r="P177" i="19"/>
  <c r="Q177" i="19"/>
  <c r="S177" i="19"/>
  <c r="T177" i="19"/>
  <c r="U177" i="19"/>
  <c r="V177" i="19"/>
  <c r="W177" i="19"/>
  <c r="X177" i="19"/>
  <c r="J178" i="19"/>
  <c r="K178" i="19"/>
  <c r="L178" i="19"/>
  <c r="M178" i="19"/>
  <c r="P178" i="19"/>
  <c r="Q178" i="19"/>
  <c r="S178" i="19"/>
  <c r="T178" i="19"/>
  <c r="U178" i="19"/>
  <c r="V178" i="19"/>
  <c r="W178" i="19"/>
  <c r="X178" i="19"/>
  <c r="J179" i="19"/>
  <c r="K179" i="19"/>
  <c r="L179" i="19"/>
  <c r="M179" i="19"/>
  <c r="P179" i="19"/>
  <c r="Q179" i="19"/>
  <c r="S179" i="19"/>
  <c r="T179" i="19"/>
  <c r="U179" i="19"/>
  <c r="V179" i="19"/>
  <c r="W179" i="19"/>
  <c r="X179" i="19"/>
  <c r="J180" i="19"/>
  <c r="K180" i="19"/>
  <c r="L180" i="19"/>
  <c r="M180" i="19"/>
  <c r="P180" i="19"/>
  <c r="Q180" i="19"/>
  <c r="S180" i="19"/>
  <c r="T180" i="19"/>
  <c r="U180" i="19"/>
  <c r="V180" i="19"/>
  <c r="W180" i="19"/>
  <c r="X180" i="19"/>
  <c r="J181" i="19"/>
  <c r="K181" i="19"/>
  <c r="L181" i="19"/>
  <c r="M181" i="19"/>
  <c r="P181" i="19"/>
  <c r="Q181" i="19"/>
  <c r="S181" i="19"/>
  <c r="T181" i="19"/>
  <c r="U181" i="19"/>
  <c r="V181" i="19"/>
  <c r="W181" i="19"/>
  <c r="X181" i="19"/>
  <c r="J182" i="19"/>
  <c r="K182" i="19"/>
  <c r="L182" i="19"/>
  <c r="M182" i="19"/>
  <c r="P182" i="19"/>
  <c r="Q182" i="19"/>
  <c r="S182" i="19"/>
  <c r="T182" i="19"/>
  <c r="U182" i="19"/>
  <c r="V182" i="19"/>
  <c r="W182" i="19"/>
  <c r="X182" i="19"/>
  <c r="J183" i="19"/>
  <c r="K183" i="19"/>
  <c r="L183" i="19"/>
  <c r="M183" i="19"/>
  <c r="P183" i="19"/>
  <c r="Q183" i="19"/>
  <c r="S183" i="19"/>
  <c r="T183" i="19"/>
  <c r="U183" i="19"/>
  <c r="V183" i="19"/>
  <c r="W183" i="19"/>
  <c r="X183" i="19"/>
  <c r="J184" i="19"/>
  <c r="K184" i="19"/>
  <c r="L184" i="19"/>
  <c r="M184" i="19"/>
  <c r="P184" i="19"/>
  <c r="Q184" i="19"/>
  <c r="S184" i="19"/>
  <c r="T184" i="19"/>
  <c r="U184" i="19"/>
  <c r="V184" i="19"/>
  <c r="W184" i="19"/>
  <c r="X184" i="19"/>
  <c r="J185" i="19"/>
  <c r="K185" i="19"/>
  <c r="L185" i="19"/>
  <c r="M185" i="19"/>
  <c r="P185" i="19"/>
  <c r="Q185" i="19"/>
  <c r="S185" i="19"/>
  <c r="T185" i="19"/>
  <c r="U185" i="19"/>
  <c r="V185" i="19"/>
  <c r="W185" i="19"/>
  <c r="X185" i="19"/>
  <c r="J186" i="19"/>
  <c r="K186" i="19"/>
  <c r="L186" i="19"/>
  <c r="M186" i="19"/>
  <c r="P186" i="19"/>
  <c r="Q186" i="19"/>
  <c r="S186" i="19"/>
  <c r="T186" i="19"/>
  <c r="U186" i="19"/>
  <c r="V186" i="19"/>
  <c r="W186" i="19"/>
  <c r="X186" i="19"/>
  <c r="J187" i="19"/>
  <c r="K187" i="19"/>
  <c r="L187" i="19"/>
  <c r="M187" i="19"/>
  <c r="P187" i="19"/>
  <c r="Q187" i="19"/>
  <c r="S187" i="19"/>
  <c r="T187" i="19"/>
  <c r="U187" i="19"/>
  <c r="V187" i="19"/>
  <c r="W187" i="19"/>
  <c r="X187" i="19"/>
  <c r="J188" i="19"/>
  <c r="K188" i="19"/>
  <c r="L188" i="19"/>
  <c r="M188" i="19"/>
  <c r="P188" i="19"/>
  <c r="Q188" i="19"/>
  <c r="S188" i="19"/>
  <c r="T188" i="19"/>
  <c r="U188" i="19"/>
  <c r="V188" i="19"/>
  <c r="W188" i="19"/>
  <c r="X188" i="19"/>
  <c r="J189" i="19"/>
  <c r="K189" i="19"/>
  <c r="L189" i="19"/>
  <c r="M189" i="19"/>
  <c r="P189" i="19"/>
  <c r="Q189" i="19"/>
  <c r="S189" i="19"/>
  <c r="T189" i="19"/>
  <c r="U189" i="19"/>
  <c r="V189" i="19"/>
  <c r="W189" i="19"/>
  <c r="X189" i="19"/>
  <c r="J190" i="19"/>
  <c r="K190" i="19"/>
  <c r="L190" i="19"/>
  <c r="M190" i="19"/>
  <c r="P190" i="19"/>
  <c r="Q190" i="19"/>
  <c r="S190" i="19"/>
  <c r="T190" i="19"/>
  <c r="U190" i="19"/>
  <c r="V190" i="19"/>
  <c r="W190" i="19"/>
  <c r="X190" i="19"/>
  <c r="J191" i="19"/>
  <c r="K191" i="19"/>
  <c r="L191" i="19"/>
  <c r="M191" i="19"/>
  <c r="P191" i="19"/>
  <c r="Q191" i="19"/>
  <c r="S191" i="19"/>
  <c r="T191" i="19"/>
  <c r="U191" i="19"/>
  <c r="V191" i="19"/>
  <c r="W191" i="19"/>
  <c r="X191" i="19"/>
  <c r="J192" i="19"/>
  <c r="K192" i="19"/>
  <c r="L192" i="19"/>
  <c r="M192" i="19"/>
  <c r="P192" i="19"/>
  <c r="Q192" i="19"/>
  <c r="S192" i="19"/>
  <c r="T192" i="19"/>
  <c r="U192" i="19"/>
  <c r="V192" i="19"/>
  <c r="W192" i="19"/>
  <c r="X192" i="19"/>
  <c r="J193" i="19"/>
  <c r="K193" i="19"/>
  <c r="L193" i="19"/>
  <c r="M193" i="19"/>
  <c r="P193" i="19"/>
  <c r="Q193" i="19"/>
  <c r="S193" i="19"/>
  <c r="T193" i="19"/>
  <c r="U193" i="19"/>
  <c r="V193" i="19"/>
  <c r="W193" i="19"/>
  <c r="X193" i="19"/>
  <c r="J194" i="19"/>
  <c r="K194" i="19"/>
  <c r="L194" i="19"/>
  <c r="M194" i="19"/>
  <c r="P194" i="19"/>
  <c r="Q194" i="19"/>
  <c r="S194" i="19"/>
  <c r="T194" i="19"/>
  <c r="U194" i="19"/>
  <c r="V194" i="19"/>
  <c r="W194" i="19"/>
  <c r="X194" i="19"/>
  <c r="J195" i="19"/>
  <c r="K195" i="19"/>
  <c r="L195" i="19"/>
  <c r="M195" i="19"/>
  <c r="P195" i="19"/>
  <c r="Q195" i="19"/>
  <c r="S195" i="19"/>
  <c r="T195" i="19"/>
  <c r="U195" i="19"/>
  <c r="V195" i="19"/>
  <c r="W195" i="19"/>
  <c r="X195" i="19"/>
  <c r="J196" i="19"/>
  <c r="K196" i="19"/>
  <c r="L196" i="19"/>
  <c r="M196" i="19"/>
  <c r="P196" i="19"/>
  <c r="Q196" i="19"/>
  <c r="S196" i="19"/>
  <c r="T196" i="19"/>
  <c r="U196" i="19"/>
  <c r="V196" i="19"/>
  <c r="W196" i="19"/>
  <c r="X196" i="19"/>
  <c r="J197" i="19"/>
  <c r="K197" i="19"/>
  <c r="L197" i="19"/>
  <c r="M197" i="19"/>
  <c r="P197" i="19"/>
  <c r="Q197" i="19"/>
  <c r="S197" i="19"/>
  <c r="T197" i="19"/>
  <c r="U197" i="19"/>
  <c r="V197" i="19"/>
  <c r="W197" i="19"/>
  <c r="X197" i="19"/>
  <c r="J198" i="19"/>
  <c r="K198" i="19"/>
  <c r="L198" i="19"/>
  <c r="M198" i="19"/>
  <c r="P198" i="19"/>
  <c r="Q198" i="19"/>
  <c r="S198" i="19"/>
  <c r="T198" i="19"/>
  <c r="U198" i="19"/>
  <c r="V198" i="19"/>
  <c r="W198" i="19"/>
  <c r="X198" i="19"/>
  <c r="J199" i="19"/>
  <c r="K199" i="19"/>
  <c r="L199" i="19"/>
  <c r="M199" i="19"/>
  <c r="P199" i="19"/>
  <c r="Q199" i="19"/>
  <c r="S199" i="19"/>
  <c r="T199" i="19"/>
  <c r="U199" i="19"/>
  <c r="V199" i="19"/>
  <c r="W199" i="19"/>
  <c r="X199" i="19"/>
  <c r="J200" i="19"/>
  <c r="K200" i="19"/>
  <c r="L200" i="19"/>
  <c r="M200" i="19"/>
  <c r="P200" i="19"/>
  <c r="Q200" i="19"/>
  <c r="S200" i="19"/>
  <c r="T200" i="19"/>
  <c r="U200" i="19"/>
  <c r="V200" i="19"/>
  <c r="W200" i="19"/>
  <c r="X200" i="19"/>
  <c r="J201" i="19"/>
  <c r="K201" i="19"/>
  <c r="L201" i="19"/>
  <c r="M201" i="19"/>
  <c r="P201" i="19"/>
  <c r="Q201" i="19"/>
  <c r="S201" i="19"/>
  <c r="T201" i="19"/>
  <c r="U201" i="19"/>
  <c r="V201" i="19"/>
  <c r="W201" i="19"/>
  <c r="X201" i="19"/>
  <c r="J202" i="19"/>
  <c r="K202" i="19"/>
  <c r="L202" i="19"/>
  <c r="M202" i="19"/>
  <c r="P202" i="19"/>
  <c r="Q202" i="19"/>
  <c r="S202" i="19"/>
  <c r="T202" i="19"/>
  <c r="U202" i="19"/>
  <c r="V202" i="19"/>
  <c r="W202" i="19"/>
  <c r="X202" i="19"/>
  <c r="J203" i="19"/>
  <c r="K203" i="19"/>
  <c r="L203" i="19"/>
  <c r="M203" i="19"/>
  <c r="P203" i="19"/>
  <c r="Q203" i="19"/>
  <c r="S203" i="19"/>
  <c r="T203" i="19"/>
  <c r="U203" i="19"/>
  <c r="V203" i="19"/>
  <c r="W203" i="19"/>
  <c r="X203" i="19"/>
  <c r="J204" i="19"/>
  <c r="K204" i="19"/>
  <c r="L204" i="19"/>
  <c r="M204" i="19"/>
  <c r="P204" i="19"/>
  <c r="Q204" i="19"/>
  <c r="S204" i="19"/>
  <c r="T204" i="19"/>
  <c r="U204" i="19"/>
  <c r="V204" i="19"/>
  <c r="W204" i="19"/>
  <c r="X204" i="19"/>
  <c r="J205" i="19"/>
  <c r="K205" i="19"/>
  <c r="L205" i="19"/>
  <c r="M205" i="19"/>
  <c r="P205" i="19"/>
  <c r="Q205" i="19"/>
  <c r="S205" i="19"/>
  <c r="T205" i="19"/>
  <c r="U205" i="19"/>
  <c r="V205" i="19"/>
  <c r="W205" i="19"/>
  <c r="X205" i="19"/>
  <c r="J206" i="19"/>
  <c r="K206" i="19"/>
  <c r="L206" i="19"/>
  <c r="M206" i="19"/>
  <c r="P206" i="19"/>
  <c r="Q206" i="19"/>
  <c r="S206" i="19"/>
  <c r="T206" i="19"/>
  <c r="U206" i="19"/>
  <c r="V206" i="19"/>
  <c r="W206" i="19"/>
  <c r="X206" i="19"/>
  <c r="J207" i="19"/>
  <c r="K207" i="19"/>
  <c r="L207" i="19"/>
  <c r="M207" i="19"/>
  <c r="P207" i="19"/>
  <c r="Q207" i="19"/>
  <c r="S207" i="19"/>
  <c r="T207" i="19"/>
  <c r="U207" i="19"/>
  <c r="V207" i="19"/>
  <c r="W207" i="19"/>
  <c r="X207" i="19"/>
  <c r="J208" i="19"/>
  <c r="K208" i="19"/>
  <c r="L208" i="19"/>
  <c r="M208" i="19"/>
  <c r="P208" i="19"/>
  <c r="Q208" i="19"/>
  <c r="S208" i="19"/>
  <c r="T208" i="19"/>
  <c r="U208" i="19"/>
  <c r="V208" i="19"/>
  <c r="W208" i="19"/>
  <c r="X208" i="19"/>
  <c r="J209" i="19"/>
  <c r="K209" i="19"/>
  <c r="L209" i="19"/>
  <c r="M209" i="19"/>
  <c r="P209" i="19"/>
  <c r="Q209" i="19"/>
  <c r="S209" i="19"/>
  <c r="T209" i="19"/>
  <c r="U209" i="19"/>
  <c r="V209" i="19"/>
  <c r="W209" i="19"/>
  <c r="X209" i="19"/>
  <c r="J210" i="19"/>
  <c r="K210" i="19"/>
  <c r="L210" i="19"/>
  <c r="M210" i="19"/>
  <c r="P210" i="19"/>
  <c r="Q210" i="19"/>
  <c r="S210" i="19"/>
  <c r="T210" i="19"/>
  <c r="U210" i="19"/>
  <c r="V210" i="19"/>
  <c r="W210" i="19"/>
  <c r="X210" i="19"/>
  <c r="J211" i="19"/>
  <c r="K211" i="19"/>
  <c r="L211" i="19"/>
  <c r="M211" i="19"/>
  <c r="P211" i="19"/>
  <c r="Q211" i="19"/>
  <c r="S211" i="19"/>
  <c r="T211" i="19"/>
  <c r="U211" i="19"/>
  <c r="V211" i="19"/>
  <c r="W211" i="19"/>
  <c r="X211" i="19"/>
  <c r="J212" i="19"/>
  <c r="K212" i="19"/>
  <c r="L212" i="19"/>
  <c r="M212" i="19"/>
  <c r="P212" i="19"/>
  <c r="Q212" i="19"/>
  <c r="S212" i="19"/>
  <c r="T212" i="19"/>
  <c r="U212" i="19"/>
  <c r="V212" i="19"/>
  <c r="W212" i="19"/>
  <c r="X212" i="19"/>
  <c r="J213" i="19"/>
  <c r="K213" i="19"/>
  <c r="L213" i="19"/>
  <c r="M213" i="19"/>
  <c r="P213" i="19"/>
  <c r="Q213" i="19"/>
  <c r="S213" i="19"/>
  <c r="T213" i="19"/>
  <c r="U213" i="19"/>
  <c r="V213" i="19"/>
  <c r="W213" i="19"/>
  <c r="X213" i="19"/>
  <c r="J214" i="19"/>
  <c r="K214" i="19"/>
  <c r="L214" i="19"/>
  <c r="M214" i="19"/>
  <c r="P214" i="19"/>
  <c r="Q214" i="19"/>
  <c r="S214" i="19"/>
  <c r="T214" i="19"/>
  <c r="U214" i="19"/>
  <c r="V214" i="19"/>
  <c r="W214" i="19"/>
  <c r="X214" i="19"/>
  <c r="J215" i="19"/>
  <c r="K215" i="19"/>
  <c r="L215" i="19"/>
  <c r="M215" i="19"/>
  <c r="P215" i="19"/>
  <c r="Q215" i="19"/>
  <c r="S215" i="19"/>
  <c r="T215" i="19"/>
  <c r="U215" i="19"/>
  <c r="V215" i="19"/>
  <c r="W215" i="19"/>
  <c r="X215" i="19"/>
  <c r="J216" i="19"/>
  <c r="K216" i="19"/>
  <c r="L216" i="19"/>
  <c r="M216" i="19"/>
  <c r="P216" i="19"/>
  <c r="Q216" i="19"/>
  <c r="S216" i="19"/>
  <c r="T216" i="19"/>
  <c r="U216" i="19"/>
  <c r="V216" i="19"/>
  <c r="W216" i="19"/>
  <c r="X216" i="19"/>
  <c r="J217" i="19"/>
  <c r="K217" i="19"/>
  <c r="L217" i="19"/>
  <c r="M217" i="19"/>
  <c r="P217" i="19"/>
  <c r="Q217" i="19"/>
  <c r="S217" i="19"/>
  <c r="T217" i="19"/>
  <c r="U217" i="19"/>
  <c r="V217" i="19"/>
  <c r="W217" i="19"/>
  <c r="X217" i="19"/>
  <c r="J218" i="19"/>
  <c r="K218" i="19"/>
  <c r="L218" i="19"/>
  <c r="M218" i="19"/>
  <c r="P218" i="19"/>
  <c r="Q218" i="19"/>
  <c r="S218" i="19"/>
  <c r="T218" i="19"/>
  <c r="U218" i="19"/>
  <c r="V218" i="19"/>
  <c r="W218" i="19"/>
  <c r="X218" i="19"/>
  <c r="J219" i="19"/>
  <c r="K219" i="19"/>
  <c r="L219" i="19"/>
  <c r="M219" i="19"/>
  <c r="P219" i="19"/>
  <c r="Q219" i="19"/>
  <c r="S219" i="19"/>
  <c r="T219" i="19"/>
  <c r="U219" i="19"/>
  <c r="V219" i="19"/>
  <c r="W219" i="19"/>
  <c r="X219" i="19"/>
  <c r="J220" i="19"/>
  <c r="K220" i="19"/>
  <c r="L220" i="19"/>
  <c r="M220" i="19"/>
  <c r="P220" i="19"/>
  <c r="Q220" i="19"/>
  <c r="S220" i="19"/>
  <c r="T220" i="19"/>
  <c r="U220" i="19"/>
  <c r="V220" i="19"/>
  <c r="W220" i="19"/>
  <c r="X220" i="19"/>
  <c r="J221" i="19"/>
  <c r="K221" i="19"/>
  <c r="L221" i="19"/>
  <c r="M221" i="19"/>
  <c r="P221" i="19"/>
  <c r="Q221" i="19"/>
  <c r="S221" i="19"/>
  <c r="T221" i="19"/>
  <c r="U221" i="19"/>
  <c r="V221" i="19"/>
  <c r="W221" i="19"/>
  <c r="X221" i="19"/>
  <c r="J222" i="19"/>
  <c r="K222" i="19"/>
  <c r="L222" i="19"/>
  <c r="M222" i="19"/>
  <c r="P222" i="19"/>
  <c r="Q222" i="19"/>
  <c r="S222" i="19"/>
  <c r="T222" i="19"/>
  <c r="U222" i="19"/>
  <c r="V222" i="19"/>
  <c r="W222" i="19"/>
  <c r="X222" i="19"/>
  <c r="J223" i="19"/>
  <c r="K223" i="19"/>
  <c r="L223" i="19"/>
  <c r="M223" i="19"/>
  <c r="P223" i="19"/>
  <c r="S223" i="19"/>
  <c r="T223" i="19"/>
  <c r="U223" i="19"/>
  <c r="V223" i="19"/>
  <c r="W223" i="19"/>
  <c r="X223" i="19"/>
  <c r="J224" i="19"/>
  <c r="K224" i="19"/>
  <c r="L224" i="19"/>
  <c r="M224" i="19"/>
  <c r="P224" i="19"/>
  <c r="Q224" i="19"/>
  <c r="S224" i="19"/>
  <c r="T224" i="19"/>
  <c r="U224" i="19"/>
  <c r="V224" i="19"/>
  <c r="W224" i="19"/>
  <c r="X224" i="19"/>
  <c r="J225" i="19"/>
  <c r="K225" i="19"/>
  <c r="L225" i="19"/>
  <c r="M225" i="19"/>
  <c r="P225" i="19"/>
  <c r="Q225" i="19"/>
  <c r="S225" i="19"/>
  <c r="T225" i="19"/>
  <c r="U225" i="19"/>
  <c r="V225" i="19"/>
  <c r="W225" i="19"/>
  <c r="X225" i="19"/>
  <c r="J226" i="19"/>
  <c r="K226" i="19"/>
  <c r="L226" i="19"/>
  <c r="M226" i="19"/>
  <c r="P226" i="19"/>
  <c r="Q226" i="19"/>
  <c r="S226" i="19"/>
  <c r="T226" i="19"/>
  <c r="U226" i="19"/>
  <c r="V226" i="19"/>
  <c r="W226" i="19"/>
  <c r="X226" i="19"/>
  <c r="J227" i="19"/>
  <c r="K227" i="19"/>
  <c r="L227" i="19"/>
  <c r="M227" i="19"/>
  <c r="P227" i="19"/>
  <c r="Q227" i="19"/>
  <c r="S227" i="19"/>
  <c r="T227" i="19"/>
  <c r="U227" i="19"/>
  <c r="V227" i="19"/>
  <c r="W227" i="19"/>
  <c r="X227" i="19"/>
  <c r="J228" i="19"/>
  <c r="K228" i="19"/>
  <c r="L228" i="19"/>
  <c r="M228" i="19"/>
  <c r="P228" i="19"/>
  <c r="Q228" i="19"/>
  <c r="S228" i="19"/>
  <c r="T228" i="19"/>
  <c r="U228" i="19"/>
  <c r="V228" i="19"/>
  <c r="W228" i="19"/>
  <c r="X228" i="19"/>
  <c r="J229" i="19"/>
  <c r="K229" i="19"/>
  <c r="L229" i="19"/>
  <c r="M229" i="19"/>
  <c r="P229" i="19"/>
  <c r="Q229" i="19"/>
  <c r="S229" i="19"/>
  <c r="T229" i="19"/>
  <c r="U229" i="19"/>
  <c r="V229" i="19"/>
  <c r="W229" i="19"/>
  <c r="X229" i="19"/>
  <c r="J230" i="19"/>
  <c r="K230" i="19"/>
  <c r="L230" i="19"/>
  <c r="M230" i="19"/>
  <c r="P230" i="19"/>
  <c r="Q230" i="19"/>
  <c r="S230" i="19"/>
  <c r="T230" i="19"/>
  <c r="U230" i="19"/>
  <c r="V230" i="19"/>
  <c r="W230" i="19"/>
  <c r="X230" i="19"/>
  <c r="J231" i="19"/>
  <c r="K231" i="19"/>
  <c r="L231" i="19"/>
  <c r="M231" i="19"/>
  <c r="P231" i="19"/>
  <c r="Q231" i="19"/>
  <c r="S231" i="19"/>
  <c r="T231" i="19"/>
  <c r="U231" i="19"/>
  <c r="V231" i="19"/>
  <c r="W231" i="19"/>
  <c r="X231" i="19"/>
  <c r="J232" i="19"/>
  <c r="K232" i="19"/>
  <c r="L232" i="19"/>
  <c r="M232" i="19"/>
  <c r="P232" i="19"/>
  <c r="Q232" i="19"/>
  <c r="S232" i="19"/>
  <c r="T232" i="19"/>
  <c r="U232" i="19"/>
  <c r="V232" i="19"/>
  <c r="W232" i="19"/>
  <c r="X232" i="19"/>
  <c r="J233" i="19"/>
  <c r="K233" i="19"/>
  <c r="L233" i="19"/>
  <c r="M233" i="19"/>
  <c r="P233" i="19"/>
  <c r="Q233" i="19"/>
  <c r="S233" i="19"/>
  <c r="T233" i="19"/>
  <c r="U233" i="19"/>
  <c r="V233" i="19"/>
  <c r="W233" i="19"/>
  <c r="X233" i="19"/>
  <c r="J234" i="19"/>
  <c r="K234" i="19"/>
  <c r="L234" i="19"/>
  <c r="M234" i="19"/>
  <c r="P234" i="19"/>
  <c r="Q234" i="19"/>
  <c r="S234" i="19"/>
  <c r="T234" i="19"/>
  <c r="U234" i="19"/>
  <c r="V234" i="19"/>
  <c r="W234" i="19"/>
  <c r="X234" i="19"/>
  <c r="J235" i="19"/>
  <c r="K235" i="19"/>
  <c r="L235" i="19"/>
  <c r="M235" i="19"/>
  <c r="P235" i="19"/>
  <c r="Q235" i="19"/>
  <c r="S235" i="19"/>
  <c r="T235" i="19"/>
  <c r="U235" i="19"/>
  <c r="V235" i="19"/>
  <c r="W235" i="19"/>
  <c r="X235" i="19"/>
  <c r="J236" i="19"/>
  <c r="K236" i="19"/>
  <c r="L236" i="19"/>
  <c r="M236" i="19"/>
  <c r="P236" i="19"/>
  <c r="Q236" i="19"/>
  <c r="S236" i="19"/>
  <c r="T236" i="19"/>
  <c r="U236" i="19"/>
  <c r="V236" i="19"/>
  <c r="W236" i="19"/>
  <c r="X236" i="19"/>
  <c r="J237" i="19"/>
  <c r="K237" i="19"/>
  <c r="L237" i="19"/>
  <c r="M237" i="19"/>
  <c r="P237" i="19"/>
  <c r="Q237" i="19"/>
  <c r="S237" i="19"/>
  <c r="T237" i="19"/>
  <c r="U237" i="19"/>
  <c r="V237" i="19"/>
  <c r="W237" i="19"/>
  <c r="X237" i="19"/>
  <c r="J238" i="19"/>
  <c r="K238" i="19"/>
  <c r="L238" i="19"/>
  <c r="M238" i="19"/>
  <c r="P238" i="19"/>
  <c r="Q238" i="19"/>
  <c r="S238" i="19"/>
  <c r="T238" i="19"/>
  <c r="U238" i="19"/>
  <c r="V238" i="19"/>
  <c r="W238" i="19"/>
  <c r="X238" i="19"/>
  <c r="J239" i="19"/>
  <c r="K239" i="19"/>
  <c r="L239" i="19"/>
  <c r="M239" i="19"/>
  <c r="P239" i="19"/>
  <c r="Q239" i="19"/>
  <c r="S239" i="19"/>
  <c r="T239" i="19"/>
  <c r="U239" i="19"/>
  <c r="V239" i="19"/>
  <c r="W239" i="19"/>
  <c r="X239" i="19"/>
  <c r="J240" i="19"/>
  <c r="K240" i="19"/>
  <c r="L240" i="19"/>
  <c r="M240" i="19"/>
  <c r="P240" i="19"/>
  <c r="Q240" i="19"/>
  <c r="S240" i="19"/>
  <c r="T240" i="19"/>
  <c r="U240" i="19"/>
  <c r="V240" i="19"/>
  <c r="W240" i="19"/>
  <c r="X240" i="19"/>
  <c r="J241" i="19"/>
  <c r="K241" i="19"/>
  <c r="L241" i="19"/>
  <c r="M241" i="19"/>
  <c r="P241" i="19"/>
  <c r="Q241" i="19"/>
  <c r="S241" i="19"/>
  <c r="T241" i="19"/>
  <c r="U241" i="19"/>
  <c r="V241" i="19"/>
  <c r="W241" i="19"/>
  <c r="X241" i="19"/>
  <c r="J242" i="19"/>
  <c r="K242" i="19"/>
  <c r="L242" i="19"/>
  <c r="M242" i="19"/>
  <c r="P242" i="19"/>
  <c r="Q242" i="19"/>
  <c r="S242" i="19"/>
  <c r="T242" i="19"/>
  <c r="U242" i="19"/>
  <c r="V242" i="19"/>
  <c r="W242" i="19"/>
  <c r="X242" i="19"/>
  <c r="J243" i="19"/>
  <c r="K243" i="19"/>
  <c r="L243" i="19"/>
  <c r="M243" i="19"/>
  <c r="P243" i="19"/>
  <c r="Q243" i="19"/>
  <c r="S243" i="19"/>
  <c r="T243" i="19"/>
  <c r="U243" i="19"/>
  <c r="V243" i="19"/>
  <c r="W243" i="19"/>
  <c r="X243" i="19"/>
  <c r="J244" i="19"/>
  <c r="K244" i="19"/>
  <c r="L244" i="19"/>
  <c r="M244" i="19"/>
  <c r="P244" i="19"/>
  <c r="Q244" i="19"/>
  <c r="S244" i="19"/>
  <c r="T244" i="19"/>
  <c r="U244" i="19"/>
  <c r="V244" i="19"/>
  <c r="W244" i="19"/>
  <c r="X244" i="19"/>
  <c r="J245" i="19"/>
  <c r="K245" i="19"/>
  <c r="L245" i="19"/>
  <c r="M245" i="19"/>
  <c r="P245" i="19"/>
  <c r="Q245" i="19"/>
  <c r="S245" i="19"/>
  <c r="T245" i="19"/>
  <c r="U245" i="19"/>
  <c r="V245" i="19"/>
  <c r="W245" i="19"/>
  <c r="X245" i="19"/>
  <c r="J246" i="19"/>
  <c r="K246" i="19"/>
  <c r="L246" i="19"/>
  <c r="M246" i="19"/>
  <c r="P246" i="19"/>
  <c r="Q246" i="19"/>
  <c r="S246" i="19"/>
  <c r="T246" i="19"/>
  <c r="U246" i="19"/>
  <c r="V246" i="19"/>
  <c r="W246" i="19"/>
  <c r="X246" i="19"/>
  <c r="J247" i="19"/>
  <c r="K247" i="19"/>
  <c r="L247" i="19"/>
  <c r="M247" i="19"/>
  <c r="P247" i="19"/>
  <c r="Q247" i="19"/>
  <c r="S247" i="19"/>
  <c r="T247" i="19"/>
  <c r="U247" i="19"/>
  <c r="V247" i="19"/>
  <c r="W247" i="19"/>
  <c r="X247" i="19"/>
  <c r="J248" i="19"/>
  <c r="K248" i="19"/>
  <c r="L248" i="19"/>
  <c r="M248" i="19"/>
  <c r="P248" i="19"/>
  <c r="Q248" i="19"/>
  <c r="S248" i="19"/>
  <c r="T248" i="19"/>
  <c r="U248" i="19"/>
  <c r="V248" i="19"/>
  <c r="W248" i="19"/>
  <c r="X248" i="19"/>
  <c r="J249" i="19"/>
  <c r="K249" i="19"/>
  <c r="L249" i="19"/>
  <c r="M249" i="19"/>
  <c r="P249" i="19"/>
  <c r="Q249" i="19"/>
  <c r="S249" i="19"/>
  <c r="T249" i="19"/>
  <c r="U249" i="19"/>
  <c r="V249" i="19"/>
  <c r="W249" i="19"/>
  <c r="X249" i="19"/>
  <c r="J250" i="19"/>
  <c r="K250" i="19"/>
  <c r="L250" i="19"/>
  <c r="M250" i="19"/>
  <c r="P250" i="19"/>
  <c r="Q250" i="19"/>
  <c r="S250" i="19"/>
  <c r="T250" i="19"/>
  <c r="U250" i="19"/>
  <c r="V250" i="19"/>
  <c r="W250" i="19"/>
  <c r="X250" i="19"/>
  <c r="J251" i="19"/>
  <c r="K251" i="19"/>
  <c r="L251" i="19"/>
  <c r="M251" i="19"/>
  <c r="P251" i="19"/>
  <c r="Q251" i="19"/>
  <c r="S251" i="19"/>
  <c r="T251" i="19"/>
  <c r="U251" i="19"/>
  <c r="V251" i="19"/>
  <c r="W251" i="19"/>
  <c r="X251" i="19"/>
  <c r="J252" i="19"/>
  <c r="K252" i="19"/>
  <c r="L252" i="19"/>
  <c r="M252" i="19"/>
  <c r="P252" i="19"/>
  <c r="Q252" i="19"/>
  <c r="S252" i="19"/>
  <c r="T252" i="19"/>
  <c r="U252" i="19"/>
  <c r="V252" i="19"/>
  <c r="W252" i="19"/>
  <c r="X252" i="19"/>
  <c r="J253" i="19"/>
  <c r="K253" i="19"/>
  <c r="L253" i="19"/>
  <c r="M253" i="19"/>
  <c r="P253" i="19"/>
  <c r="Q253" i="19"/>
  <c r="S253" i="19"/>
  <c r="T253" i="19"/>
  <c r="U253" i="19"/>
  <c r="V253" i="19"/>
  <c r="W253" i="19"/>
  <c r="X253" i="19"/>
  <c r="J254" i="19"/>
  <c r="K254" i="19"/>
  <c r="L254" i="19"/>
  <c r="M254" i="19"/>
  <c r="P254" i="19"/>
  <c r="Q254" i="19"/>
  <c r="S254" i="19"/>
  <c r="T254" i="19"/>
  <c r="U254" i="19"/>
  <c r="V254" i="19"/>
  <c r="W254" i="19"/>
  <c r="X254" i="19"/>
  <c r="J255" i="19"/>
  <c r="K255" i="19"/>
  <c r="L255" i="19"/>
  <c r="M255" i="19"/>
  <c r="P255" i="19"/>
  <c r="Q255" i="19"/>
  <c r="S255" i="19"/>
  <c r="T255" i="19"/>
  <c r="U255" i="19"/>
  <c r="V255" i="19"/>
  <c r="W255" i="19"/>
  <c r="X255" i="19"/>
  <c r="J256" i="19"/>
  <c r="K256" i="19"/>
  <c r="L256" i="19"/>
  <c r="M256" i="19"/>
  <c r="P256" i="19"/>
  <c r="Q256" i="19"/>
  <c r="S256" i="19"/>
  <c r="T256" i="19"/>
  <c r="U256" i="19"/>
  <c r="V256" i="19"/>
  <c r="W256" i="19"/>
  <c r="X256" i="19"/>
  <c r="J257" i="19"/>
  <c r="K257" i="19"/>
  <c r="L257" i="19"/>
  <c r="M257" i="19"/>
  <c r="P257" i="19"/>
  <c r="Q257" i="19"/>
  <c r="S257" i="19"/>
  <c r="T257" i="19"/>
  <c r="U257" i="19"/>
  <c r="V257" i="19"/>
  <c r="W257" i="19"/>
  <c r="X257" i="19"/>
  <c r="J258" i="19"/>
  <c r="K258" i="19"/>
  <c r="L258" i="19"/>
  <c r="M258" i="19"/>
  <c r="P258" i="19"/>
  <c r="Q258" i="19"/>
  <c r="S258" i="19"/>
  <c r="T258" i="19"/>
  <c r="U258" i="19"/>
  <c r="V258" i="19"/>
  <c r="W258" i="19"/>
  <c r="X258" i="19"/>
  <c r="J259" i="19"/>
  <c r="K259" i="19"/>
  <c r="L259" i="19"/>
  <c r="M259" i="19"/>
  <c r="P259" i="19"/>
  <c r="Q259" i="19"/>
  <c r="S259" i="19"/>
  <c r="T259" i="19"/>
  <c r="U259" i="19"/>
  <c r="V259" i="19"/>
  <c r="W259" i="19"/>
  <c r="X259" i="19"/>
  <c r="J260" i="19"/>
  <c r="K260" i="19"/>
  <c r="L260" i="19"/>
  <c r="M260" i="19"/>
  <c r="P260" i="19"/>
  <c r="Q260" i="19"/>
  <c r="S260" i="19"/>
  <c r="T260" i="19"/>
  <c r="U260" i="19"/>
  <c r="V260" i="19"/>
  <c r="W260" i="19"/>
  <c r="X260" i="19"/>
  <c r="J261" i="19"/>
  <c r="K261" i="19"/>
  <c r="L261" i="19"/>
  <c r="M261" i="19"/>
  <c r="P261" i="19"/>
  <c r="Q261" i="19"/>
  <c r="S261" i="19"/>
  <c r="T261" i="19"/>
  <c r="U261" i="19"/>
  <c r="V261" i="19"/>
  <c r="W261" i="19"/>
  <c r="X261" i="19"/>
  <c r="J262" i="19"/>
  <c r="K262" i="19"/>
  <c r="L262" i="19"/>
  <c r="M262" i="19"/>
  <c r="P262" i="19"/>
  <c r="Q262" i="19"/>
  <c r="S262" i="19"/>
  <c r="T262" i="19"/>
  <c r="U262" i="19"/>
  <c r="V262" i="19"/>
  <c r="W262" i="19"/>
  <c r="X262" i="19"/>
  <c r="J263" i="19"/>
  <c r="K263" i="19"/>
  <c r="L263" i="19"/>
  <c r="M263" i="19"/>
  <c r="P263" i="19"/>
  <c r="Q263" i="19"/>
  <c r="S263" i="19"/>
  <c r="T263" i="19"/>
  <c r="U263" i="19"/>
  <c r="V263" i="19"/>
  <c r="W263" i="19"/>
  <c r="X263" i="19"/>
  <c r="J264" i="19"/>
  <c r="K264" i="19"/>
  <c r="L264" i="19"/>
  <c r="M264" i="19"/>
  <c r="P264" i="19"/>
  <c r="Q264" i="19"/>
  <c r="S264" i="19"/>
  <c r="T264" i="19"/>
  <c r="U264" i="19"/>
  <c r="V264" i="19"/>
  <c r="W264" i="19"/>
  <c r="X264" i="19"/>
  <c r="J265" i="19"/>
  <c r="K265" i="19"/>
  <c r="L265" i="19"/>
  <c r="M265" i="19"/>
  <c r="P265" i="19"/>
  <c r="Q265" i="19"/>
  <c r="S265" i="19"/>
  <c r="T265" i="19"/>
  <c r="U265" i="19"/>
  <c r="V265" i="19"/>
  <c r="W265" i="19"/>
  <c r="X265" i="19"/>
  <c r="J266" i="19"/>
  <c r="K266" i="19"/>
  <c r="L266" i="19"/>
  <c r="M266" i="19"/>
  <c r="P266" i="19"/>
  <c r="Q266" i="19"/>
  <c r="S266" i="19"/>
  <c r="T266" i="19"/>
  <c r="U266" i="19"/>
  <c r="V266" i="19"/>
  <c r="W266" i="19"/>
  <c r="X266" i="19"/>
  <c r="J267" i="19"/>
  <c r="K267" i="19"/>
  <c r="L267" i="19"/>
  <c r="M267" i="19"/>
  <c r="P267" i="19"/>
  <c r="Q267" i="19"/>
  <c r="S267" i="19"/>
  <c r="T267" i="19"/>
  <c r="U267" i="19"/>
  <c r="V267" i="19"/>
  <c r="W267" i="19"/>
  <c r="X267" i="19"/>
  <c r="J268" i="19"/>
  <c r="K268" i="19"/>
  <c r="L268" i="19"/>
  <c r="M268" i="19"/>
  <c r="P268" i="19"/>
  <c r="Q268" i="19"/>
  <c r="S268" i="19"/>
  <c r="T268" i="19"/>
  <c r="U268" i="19"/>
  <c r="V268" i="19"/>
  <c r="W268" i="19"/>
  <c r="X268" i="19"/>
  <c r="J269" i="19"/>
  <c r="K269" i="19"/>
  <c r="L269" i="19"/>
  <c r="M269" i="19"/>
  <c r="P269" i="19"/>
  <c r="Q269" i="19"/>
  <c r="S269" i="19"/>
  <c r="T269" i="19"/>
  <c r="U269" i="19"/>
  <c r="V269" i="19"/>
  <c r="W269" i="19"/>
  <c r="X269" i="19"/>
  <c r="J270" i="19"/>
  <c r="K270" i="19"/>
  <c r="L270" i="19"/>
  <c r="M270" i="19"/>
  <c r="P270" i="19"/>
  <c r="Q270" i="19"/>
  <c r="S270" i="19"/>
  <c r="T270" i="19"/>
  <c r="U270" i="19"/>
  <c r="V270" i="19"/>
  <c r="W270" i="19"/>
  <c r="X270" i="19"/>
  <c r="J271" i="19"/>
  <c r="K271" i="19"/>
  <c r="L271" i="19"/>
  <c r="M271" i="19"/>
  <c r="P271" i="19"/>
  <c r="Q271" i="19"/>
  <c r="S271" i="19"/>
  <c r="T271" i="19"/>
  <c r="U271" i="19"/>
  <c r="V271" i="19"/>
  <c r="W271" i="19"/>
  <c r="X271" i="19"/>
  <c r="J272" i="19"/>
  <c r="K272" i="19"/>
  <c r="L272" i="19"/>
  <c r="M272" i="19"/>
  <c r="P272" i="19"/>
  <c r="Q272" i="19"/>
  <c r="S272" i="19"/>
  <c r="T272" i="19"/>
  <c r="U272" i="19"/>
  <c r="V272" i="19"/>
  <c r="W272" i="19"/>
  <c r="X272" i="19"/>
  <c r="J273" i="19"/>
  <c r="K273" i="19"/>
  <c r="L273" i="19"/>
  <c r="M273" i="19"/>
  <c r="P273" i="19"/>
  <c r="Q273" i="19"/>
  <c r="S273" i="19"/>
  <c r="T273" i="19"/>
  <c r="U273" i="19"/>
  <c r="V273" i="19"/>
  <c r="W273" i="19"/>
  <c r="X273" i="19"/>
  <c r="J274" i="19"/>
  <c r="K274" i="19"/>
  <c r="L274" i="19"/>
  <c r="M274" i="19"/>
  <c r="P274" i="19"/>
  <c r="Q274" i="19"/>
  <c r="S274" i="19"/>
  <c r="T274" i="19"/>
  <c r="U274" i="19"/>
  <c r="V274" i="19"/>
  <c r="W274" i="19"/>
  <c r="X274" i="19"/>
  <c r="J275" i="19"/>
  <c r="K275" i="19"/>
  <c r="L275" i="19"/>
  <c r="M275" i="19"/>
  <c r="P275" i="19"/>
  <c r="Q275" i="19"/>
  <c r="S275" i="19"/>
  <c r="T275" i="19"/>
  <c r="U275" i="19"/>
  <c r="V275" i="19"/>
  <c r="W275" i="19"/>
  <c r="X275" i="19"/>
  <c r="J276" i="19"/>
  <c r="K276" i="19"/>
  <c r="L276" i="19"/>
  <c r="M276" i="19"/>
  <c r="P276" i="19"/>
  <c r="Q276" i="19"/>
  <c r="S276" i="19"/>
  <c r="T276" i="19"/>
  <c r="U276" i="19"/>
  <c r="V276" i="19"/>
  <c r="W276" i="19"/>
  <c r="X276" i="19"/>
  <c r="J277" i="19"/>
  <c r="K277" i="19"/>
  <c r="L277" i="19"/>
  <c r="M277" i="19"/>
  <c r="P277" i="19"/>
  <c r="Q277" i="19"/>
  <c r="S277" i="19"/>
  <c r="T277" i="19"/>
  <c r="U277" i="19"/>
  <c r="V277" i="19"/>
  <c r="W277" i="19"/>
  <c r="X277" i="19"/>
  <c r="J278" i="19"/>
  <c r="K278" i="19"/>
  <c r="L278" i="19"/>
  <c r="M278" i="19"/>
  <c r="P278" i="19"/>
  <c r="Q278" i="19"/>
  <c r="S278" i="19"/>
  <c r="T278" i="19"/>
  <c r="U278" i="19"/>
  <c r="V278" i="19"/>
  <c r="W278" i="19"/>
  <c r="X278" i="19"/>
  <c r="J279" i="19"/>
  <c r="K279" i="19"/>
  <c r="L279" i="19"/>
  <c r="M279" i="19"/>
  <c r="P279" i="19"/>
  <c r="Q279" i="19"/>
  <c r="S279" i="19"/>
  <c r="T279" i="19"/>
  <c r="U279" i="19"/>
  <c r="V279" i="19"/>
  <c r="W279" i="19"/>
  <c r="X279" i="19"/>
  <c r="J280" i="19"/>
  <c r="K280" i="19"/>
  <c r="L280" i="19"/>
  <c r="M280" i="19"/>
  <c r="P280" i="19"/>
  <c r="Q280" i="19"/>
  <c r="S280" i="19"/>
  <c r="T280" i="19"/>
  <c r="U280" i="19"/>
  <c r="V280" i="19"/>
  <c r="W280" i="19"/>
  <c r="X280" i="19"/>
  <c r="J281" i="19"/>
  <c r="K281" i="19"/>
  <c r="L281" i="19"/>
  <c r="M281" i="19"/>
  <c r="P281" i="19"/>
  <c r="Q281" i="19"/>
  <c r="S281" i="19"/>
  <c r="T281" i="19"/>
  <c r="U281" i="19"/>
  <c r="V281" i="19"/>
  <c r="W281" i="19"/>
  <c r="X281" i="19"/>
  <c r="J282" i="19"/>
  <c r="K282" i="19"/>
  <c r="L282" i="19"/>
  <c r="M282" i="19"/>
  <c r="P282" i="19"/>
  <c r="Q282" i="19"/>
  <c r="S282" i="19"/>
  <c r="T282" i="19"/>
  <c r="U282" i="19"/>
  <c r="V282" i="19"/>
  <c r="W282" i="19"/>
  <c r="X282" i="19"/>
  <c r="J283" i="19"/>
  <c r="K283" i="19"/>
  <c r="L283" i="19"/>
  <c r="M283" i="19"/>
  <c r="P283" i="19"/>
  <c r="Q283" i="19"/>
  <c r="S283" i="19"/>
  <c r="T283" i="19"/>
  <c r="U283" i="19"/>
  <c r="V283" i="19"/>
  <c r="W283" i="19"/>
  <c r="X283" i="19"/>
  <c r="J284" i="19"/>
  <c r="K284" i="19"/>
  <c r="L284" i="19"/>
  <c r="M284" i="19"/>
  <c r="P284" i="19"/>
  <c r="Q284" i="19"/>
  <c r="S284" i="19"/>
  <c r="T284" i="19"/>
  <c r="U284" i="19"/>
  <c r="V284" i="19"/>
  <c r="W284" i="19"/>
  <c r="X284" i="19"/>
  <c r="J285" i="19"/>
  <c r="K285" i="19"/>
  <c r="L285" i="19"/>
  <c r="M285" i="19"/>
  <c r="P285" i="19"/>
  <c r="Q285" i="19"/>
  <c r="S285" i="19"/>
  <c r="T285" i="19"/>
  <c r="U285" i="19"/>
  <c r="V285" i="19"/>
  <c r="W285" i="19"/>
  <c r="X285" i="19"/>
  <c r="J286" i="19"/>
  <c r="K286" i="19"/>
  <c r="L286" i="19"/>
  <c r="M286" i="19"/>
  <c r="P286" i="19"/>
  <c r="Q286" i="19"/>
  <c r="S286" i="19"/>
  <c r="T286" i="19"/>
  <c r="U286" i="19"/>
  <c r="V286" i="19"/>
  <c r="W286" i="19"/>
  <c r="X286" i="19"/>
  <c r="J287" i="19"/>
  <c r="K287" i="19"/>
  <c r="L287" i="19"/>
  <c r="M287" i="19"/>
  <c r="P287" i="19"/>
  <c r="Q287" i="19"/>
  <c r="S287" i="19"/>
  <c r="T287" i="19"/>
  <c r="U287" i="19"/>
  <c r="V287" i="19"/>
  <c r="W287" i="19"/>
  <c r="X287" i="19"/>
  <c r="J288" i="19"/>
  <c r="K288" i="19"/>
  <c r="L288" i="19"/>
  <c r="M288" i="19"/>
  <c r="P288" i="19"/>
  <c r="Q288" i="19"/>
  <c r="S288" i="19"/>
  <c r="T288" i="19"/>
  <c r="U288" i="19"/>
  <c r="V288" i="19"/>
  <c r="W288" i="19"/>
  <c r="X288" i="19"/>
  <c r="J289" i="19"/>
  <c r="K289" i="19"/>
  <c r="L289" i="19"/>
  <c r="M289" i="19"/>
  <c r="P289" i="19"/>
  <c r="Q289" i="19"/>
  <c r="S289" i="19"/>
  <c r="T289" i="19"/>
  <c r="U289" i="19"/>
  <c r="V289" i="19"/>
  <c r="W289" i="19"/>
  <c r="X289" i="19"/>
  <c r="J290" i="19"/>
  <c r="K290" i="19"/>
  <c r="L290" i="19"/>
  <c r="M290" i="19"/>
  <c r="P290" i="19"/>
  <c r="Q290" i="19"/>
  <c r="S290" i="19"/>
  <c r="T290" i="19"/>
  <c r="U290" i="19"/>
  <c r="V290" i="19"/>
  <c r="W290" i="19"/>
  <c r="X290" i="19"/>
  <c r="J291" i="19"/>
  <c r="K291" i="19"/>
  <c r="L291" i="19"/>
  <c r="M291" i="19"/>
  <c r="P291" i="19"/>
  <c r="Q291" i="19"/>
  <c r="S291" i="19"/>
  <c r="T291" i="19"/>
  <c r="U291" i="19"/>
  <c r="V291" i="19"/>
  <c r="W291" i="19"/>
  <c r="X291" i="19"/>
  <c r="J292" i="19"/>
  <c r="K292" i="19"/>
  <c r="L292" i="19"/>
  <c r="M292" i="19"/>
  <c r="P292" i="19"/>
  <c r="Q292" i="19"/>
  <c r="S292" i="19"/>
  <c r="T292" i="19"/>
  <c r="U292" i="19"/>
  <c r="V292" i="19"/>
  <c r="W292" i="19"/>
  <c r="X292" i="19"/>
  <c r="J293" i="19"/>
  <c r="K293" i="19"/>
  <c r="M293" i="19"/>
  <c r="P293" i="19"/>
  <c r="Q293" i="19"/>
  <c r="S293" i="19"/>
  <c r="T293" i="19"/>
  <c r="U293" i="19"/>
  <c r="V293" i="19"/>
  <c r="W293" i="19"/>
  <c r="X293" i="19"/>
  <c r="J294" i="19"/>
  <c r="K294" i="19"/>
  <c r="M294" i="19"/>
  <c r="P294" i="19"/>
  <c r="Q294" i="19"/>
  <c r="S294" i="19"/>
  <c r="T294" i="19"/>
  <c r="U294" i="19"/>
  <c r="V294" i="19"/>
  <c r="W294" i="19"/>
  <c r="X294" i="19"/>
  <c r="J295" i="19"/>
  <c r="K295" i="19"/>
  <c r="M295" i="19"/>
  <c r="P295" i="19"/>
  <c r="Q295" i="19"/>
  <c r="S295" i="19"/>
  <c r="T295" i="19"/>
  <c r="U295" i="19"/>
  <c r="V295" i="19"/>
  <c r="W295" i="19"/>
  <c r="X295" i="19"/>
  <c r="J296" i="19"/>
  <c r="K296" i="19"/>
  <c r="M296" i="19"/>
  <c r="P296" i="19"/>
  <c r="Q296" i="19"/>
  <c r="S296" i="19"/>
  <c r="T296" i="19"/>
  <c r="U296" i="19"/>
  <c r="V296" i="19"/>
  <c r="W296" i="19"/>
  <c r="X296" i="19"/>
  <c r="J297" i="19"/>
  <c r="K297" i="19"/>
  <c r="M297" i="19"/>
  <c r="P297" i="19"/>
  <c r="Q297" i="19"/>
  <c r="S297" i="19"/>
  <c r="T297" i="19"/>
  <c r="U297" i="19"/>
  <c r="V297" i="19"/>
  <c r="W297" i="19"/>
  <c r="X297" i="19"/>
  <c r="J298" i="19"/>
  <c r="K298" i="19"/>
  <c r="M298" i="19"/>
  <c r="P298" i="19"/>
  <c r="Q298" i="19"/>
  <c r="S298" i="19"/>
  <c r="T298" i="19"/>
  <c r="U298" i="19"/>
  <c r="V298" i="19"/>
  <c r="W298" i="19"/>
  <c r="X298" i="19"/>
  <c r="J299" i="19"/>
  <c r="K299" i="19"/>
  <c r="M299" i="19"/>
  <c r="P299" i="19"/>
  <c r="Q299" i="19"/>
  <c r="S299" i="19"/>
  <c r="T299" i="19"/>
  <c r="U299" i="19"/>
  <c r="V299" i="19"/>
  <c r="W299" i="19"/>
  <c r="X299" i="19"/>
  <c r="J300" i="19"/>
  <c r="K300" i="19"/>
  <c r="M300" i="19"/>
  <c r="P300" i="19"/>
  <c r="Q300" i="19"/>
  <c r="S300" i="19"/>
  <c r="T300" i="19"/>
  <c r="U300" i="19"/>
  <c r="V300" i="19"/>
  <c r="W300" i="19"/>
  <c r="X300" i="19"/>
  <c r="J301" i="19"/>
  <c r="K301" i="19"/>
  <c r="M301" i="19"/>
  <c r="P301" i="19"/>
  <c r="Q301" i="19"/>
  <c r="S301" i="19"/>
  <c r="T301" i="19"/>
  <c r="U301" i="19"/>
  <c r="V301" i="19"/>
  <c r="W301" i="19"/>
  <c r="X301" i="19"/>
  <c r="J302" i="19"/>
  <c r="K302" i="19"/>
  <c r="L302" i="19"/>
  <c r="M302" i="19"/>
  <c r="P302" i="19"/>
  <c r="Q302" i="19"/>
  <c r="S302" i="19"/>
  <c r="T302" i="19"/>
  <c r="U302" i="19"/>
  <c r="V302" i="19"/>
  <c r="W302" i="19"/>
  <c r="X302" i="19"/>
  <c r="J303" i="19"/>
  <c r="K303" i="19"/>
  <c r="L303" i="19"/>
  <c r="M303" i="19"/>
  <c r="P303" i="19"/>
  <c r="Q303" i="19"/>
  <c r="S303" i="19"/>
  <c r="T303" i="19"/>
  <c r="U303" i="19"/>
  <c r="V303" i="19"/>
  <c r="W303" i="19"/>
  <c r="X303" i="19"/>
  <c r="J304" i="19"/>
  <c r="K304" i="19"/>
  <c r="L304" i="19"/>
  <c r="M304" i="19"/>
  <c r="P304" i="19"/>
  <c r="Q304" i="19"/>
  <c r="S304" i="19"/>
  <c r="T304" i="19"/>
  <c r="U304" i="19"/>
  <c r="V304" i="19"/>
  <c r="W304" i="19"/>
  <c r="X304" i="19"/>
  <c r="J305" i="19"/>
  <c r="K305" i="19"/>
  <c r="L305" i="19"/>
  <c r="M305" i="19"/>
  <c r="P305" i="19"/>
  <c r="Q305" i="19"/>
  <c r="S305" i="19"/>
  <c r="T305" i="19"/>
  <c r="U305" i="19"/>
  <c r="V305" i="19"/>
  <c r="W305" i="19"/>
  <c r="X305" i="19"/>
  <c r="J306" i="19"/>
  <c r="K306" i="19"/>
  <c r="L306" i="19"/>
  <c r="M306" i="19"/>
  <c r="P306" i="19"/>
  <c r="Q306" i="19"/>
  <c r="S306" i="19"/>
  <c r="T306" i="19"/>
  <c r="U306" i="19"/>
  <c r="V306" i="19"/>
  <c r="W306" i="19"/>
  <c r="X306" i="19"/>
  <c r="J307" i="19"/>
  <c r="K307" i="19"/>
  <c r="L307" i="19"/>
  <c r="M307" i="19"/>
  <c r="P307" i="19"/>
  <c r="Q307" i="19"/>
  <c r="S307" i="19"/>
  <c r="T307" i="19"/>
  <c r="U307" i="19"/>
  <c r="V307" i="19"/>
  <c r="W307" i="19"/>
  <c r="X307" i="19"/>
  <c r="J308" i="19"/>
  <c r="K308" i="19"/>
  <c r="L308" i="19"/>
  <c r="M308" i="19"/>
  <c r="P308" i="19"/>
  <c r="Q308" i="19"/>
  <c r="S308" i="19"/>
  <c r="T308" i="19"/>
  <c r="U308" i="19"/>
  <c r="V308" i="19"/>
  <c r="W308" i="19"/>
  <c r="X308" i="19"/>
  <c r="J309" i="19"/>
  <c r="K309" i="19"/>
  <c r="L309" i="19"/>
  <c r="M309" i="19"/>
  <c r="P309" i="19"/>
  <c r="Q309" i="19"/>
  <c r="S309" i="19"/>
  <c r="T309" i="19"/>
  <c r="U309" i="19"/>
  <c r="V309" i="19"/>
  <c r="W309" i="19"/>
  <c r="X309" i="19"/>
  <c r="J310" i="19"/>
  <c r="K310" i="19"/>
  <c r="L310" i="19"/>
  <c r="M310" i="19"/>
  <c r="P310" i="19"/>
  <c r="Q310" i="19"/>
  <c r="S310" i="19"/>
  <c r="T310" i="19"/>
  <c r="U310" i="19"/>
  <c r="V310" i="19"/>
  <c r="W310" i="19"/>
  <c r="X310" i="19"/>
  <c r="J311" i="19"/>
  <c r="K311" i="19"/>
  <c r="L311" i="19"/>
  <c r="M311" i="19"/>
  <c r="P311" i="19"/>
  <c r="Q311" i="19"/>
  <c r="S311" i="19"/>
  <c r="T311" i="19"/>
  <c r="U311" i="19"/>
  <c r="V311" i="19"/>
  <c r="W311" i="19"/>
  <c r="X311" i="19"/>
  <c r="J312" i="19"/>
  <c r="K312" i="19"/>
  <c r="L312" i="19"/>
  <c r="M312" i="19"/>
  <c r="P312" i="19"/>
  <c r="Q312" i="19"/>
  <c r="S312" i="19"/>
  <c r="T312" i="19"/>
  <c r="U312" i="19"/>
  <c r="V312" i="19"/>
  <c r="W312" i="19"/>
  <c r="X312" i="19"/>
  <c r="J313" i="19"/>
  <c r="K313" i="19"/>
  <c r="L313" i="19"/>
  <c r="M313" i="19"/>
  <c r="P313" i="19"/>
  <c r="Q313" i="19"/>
  <c r="S313" i="19"/>
  <c r="T313" i="19"/>
  <c r="U313" i="19"/>
  <c r="V313" i="19"/>
  <c r="W313" i="19"/>
  <c r="X313" i="19"/>
  <c r="J314" i="19"/>
  <c r="K314" i="19"/>
  <c r="L314" i="19"/>
  <c r="M314" i="19"/>
  <c r="P314" i="19"/>
  <c r="Q314" i="19"/>
  <c r="S314" i="19"/>
  <c r="T314" i="19"/>
  <c r="U314" i="19"/>
  <c r="V314" i="19"/>
  <c r="W314" i="19"/>
  <c r="X314" i="19"/>
  <c r="J315" i="19"/>
  <c r="K315" i="19"/>
  <c r="L315" i="19"/>
  <c r="M315" i="19"/>
  <c r="P315" i="19"/>
  <c r="Q315" i="19"/>
  <c r="S315" i="19"/>
  <c r="T315" i="19"/>
  <c r="U315" i="19"/>
  <c r="V315" i="19"/>
  <c r="W315" i="19"/>
  <c r="X315" i="19"/>
  <c r="J316" i="19"/>
  <c r="K316" i="19"/>
  <c r="L316" i="19"/>
  <c r="M316" i="19"/>
  <c r="P316" i="19"/>
  <c r="Q316" i="19"/>
  <c r="S316" i="19"/>
  <c r="T316" i="19"/>
  <c r="U316" i="19"/>
  <c r="V316" i="19"/>
  <c r="W316" i="19"/>
  <c r="X316" i="19"/>
  <c r="J317" i="19"/>
  <c r="K317" i="19"/>
  <c r="L317" i="19"/>
  <c r="M317" i="19"/>
  <c r="P317" i="19"/>
  <c r="Q317" i="19"/>
  <c r="S317" i="19"/>
  <c r="T317" i="19"/>
  <c r="U317" i="19"/>
  <c r="V317" i="19"/>
  <c r="W317" i="19"/>
  <c r="X317" i="19"/>
  <c r="J318" i="19"/>
  <c r="K318" i="19"/>
  <c r="L318" i="19"/>
  <c r="M318" i="19"/>
  <c r="P318" i="19"/>
  <c r="Q318" i="19"/>
  <c r="S318" i="19"/>
  <c r="T318" i="19"/>
  <c r="U318" i="19"/>
  <c r="V318" i="19"/>
  <c r="W318" i="19"/>
  <c r="X318" i="19"/>
  <c r="J319" i="19"/>
  <c r="K319" i="19"/>
  <c r="L319" i="19"/>
  <c r="M319" i="19"/>
  <c r="P319" i="19"/>
  <c r="Q319" i="19"/>
  <c r="S319" i="19"/>
  <c r="T319" i="19"/>
  <c r="U319" i="19"/>
  <c r="V319" i="19"/>
  <c r="W319" i="19"/>
  <c r="X319" i="19"/>
  <c r="J320" i="19"/>
  <c r="K320" i="19"/>
  <c r="L320" i="19"/>
  <c r="M320" i="19"/>
  <c r="P320" i="19"/>
  <c r="Q320" i="19"/>
  <c r="S320" i="19"/>
  <c r="T320" i="19"/>
  <c r="U320" i="19"/>
  <c r="V320" i="19"/>
  <c r="W320" i="19"/>
  <c r="X320" i="19"/>
  <c r="J321" i="19"/>
  <c r="K321" i="19"/>
  <c r="M321" i="19"/>
  <c r="P321" i="19"/>
  <c r="Q321" i="19"/>
  <c r="S321" i="19"/>
  <c r="T321" i="19"/>
  <c r="U321" i="19"/>
  <c r="V321" i="19"/>
  <c r="W321" i="19"/>
  <c r="X321" i="19"/>
  <c r="J322" i="19"/>
  <c r="K322" i="19"/>
  <c r="M322" i="19"/>
  <c r="P322" i="19"/>
  <c r="Q322" i="19"/>
  <c r="S322" i="19"/>
  <c r="T322" i="19"/>
  <c r="U322" i="19"/>
  <c r="V322" i="19"/>
  <c r="W322" i="19"/>
  <c r="X322" i="19"/>
  <c r="J323" i="19"/>
  <c r="K323" i="19"/>
  <c r="M323" i="19"/>
  <c r="P323" i="19"/>
  <c r="Q323" i="19"/>
  <c r="S323" i="19"/>
  <c r="T323" i="19"/>
  <c r="U323" i="19"/>
  <c r="V323" i="19"/>
  <c r="W323" i="19"/>
  <c r="X323" i="19"/>
  <c r="J324" i="19"/>
  <c r="K324" i="19"/>
  <c r="M324" i="19"/>
  <c r="P324" i="19"/>
  <c r="Q324" i="19"/>
  <c r="S324" i="19"/>
  <c r="T324" i="19"/>
  <c r="U324" i="19"/>
  <c r="V324" i="19"/>
  <c r="W324" i="19"/>
  <c r="X324" i="19"/>
  <c r="J325" i="19"/>
  <c r="K325" i="19"/>
  <c r="M325" i="19"/>
  <c r="P325" i="19"/>
  <c r="Q325" i="19"/>
  <c r="S325" i="19"/>
  <c r="T325" i="19"/>
  <c r="U325" i="19"/>
  <c r="V325" i="19"/>
  <c r="W325" i="19"/>
  <c r="X325" i="19"/>
  <c r="J326" i="19"/>
  <c r="K326" i="19"/>
  <c r="M326" i="19"/>
  <c r="P326" i="19"/>
  <c r="Q326" i="19"/>
  <c r="S326" i="19"/>
  <c r="T326" i="19"/>
  <c r="U326" i="19"/>
  <c r="V326" i="19"/>
  <c r="W326" i="19"/>
  <c r="X326" i="19"/>
  <c r="J327" i="19"/>
  <c r="K327" i="19"/>
  <c r="L327" i="19"/>
  <c r="M327" i="19"/>
  <c r="P327" i="19"/>
  <c r="Q327" i="19"/>
  <c r="S327" i="19"/>
  <c r="T327" i="19"/>
  <c r="U327" i="19"/>
  <c r="V327" i="19"/>
  <c r="W327" i="19"/>
  <c r="X327" i="19"/>
  <c r="J328" i="19"/>
  <c r="K328" i="19"/>
  <c r="L328" i="19"/>
  <c r="M328" i="19"/>
  <c r="P328" i="19"/>
  <c r="Q328" i="19"/>
  <c r="S328" i="19"/>
  <c r="T328" i="19"/>
  <c r="U328" i="19"/>
  <c r="V328" i="19"/>
  <c r="W328" i="19"/>
  <c r="X328" i="19"/>
  <c r="J329" i="19"/>
  <c r="K329" i="19"/>
  <c r="L329" i="19"/>
  <c r="M329" i="19"/>
  <c r="P329" i="19"/>
  <c r="Q329" i="19"/>
  <c r="S329" i="19"/>
  <c r="T329" i="19"/>
  <c r="U329" i="19"/>
  <c r="V329" i="19"/>
  <c r="W329" i="19"/>
  <c r="X329" i="19"/>
  <c r="J330" i="19"/>
  <c r="K330" i="19"/>
  <c r="L330" i="19"/>
  <c r="M330" i="19"/>
  <c r="P330" i="19"/>
  <c r="Q330" i="19"/>
  <c r="S330" i="19"/>
  <c r="T330" i="19"/>
  <c r="U330" i="19"/>
  <c r="V330" i="19"/>
  <c r="W330" i="19"/>
  <c r="X330" i="19"/>
  <c r="J331" i="19"/>
  <c r="K331" i="19"/>
  <c r="L331" i="19"/>
  <c r="M331" i="19"/>
  <c r="P331" i="19"/>
  <c r="Q331" i="19"/>
  <c r="S331" i="19"/>
  <c r="T331" i="19"/>
  <c r="U331" i="19"/>
  <c r="V331" i="19"/>
  <c r="W331" i="19"/>
  <c r="X331" i="19"/>
  <c r="K333" i="19"/>
  <c r="M333" i="19"/>
  <c r="Q333" i="19"/>
  <c r="S333" i="19"/>
  <c r="T333" i="19"/>
  <c r="U333" i="19"/>
  <c r="V333" i="19"/>
  <c r="X333" i="19"/>
  <c r="Q334" i="19"/>
  <c r="S335" i="19"/>
  <c r="T335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B2" i="30"/>
  <c r="E2" i="30"/>
  <c r="F2" i="30"/>
  <c r="B3" i="30"/>
  <c r="E3" i="30"/>
  <c r="F3" i="30"/>
  <c r="B4" i="30"/>
  <c r="E4" i="30"/>
  <c r="F4" i="30"/>
  <c r="B5" i="30"/>
  <c r="E5" i="30"/>
  <c r="F5" i="30"/>
  <c r="B6" i="30"/>
  <c r="E6" i="30"/>
  <c r="F6" i="30"/>
  <c r="B7" i="30"/>
  <c r="E7" i="30"/>
  <c r="F7" i="30"/>
  <c r="B8" i="30"/>
  <c r="E8" i="30"/>
  <c r="F8" i="30"/>
  <c r="B9" i="30"/>
  <c r="E9" i="30"/>
  <c r="F9" i="30"/>
  <c r="B10" i="30"/>
  <c r="E10" i="30"/>
  <c r="F10" i="30"/>
  <c r="B11" i="30"/>
  <c r="E11" i="30"/>
  <c r="F11" i="30"/>
  <c r="B12" i="30"/>
  <c r="E12" i="30"/>
  <c r="F12" i="30"/>
  <c r="B13" i="30"/>
  <c r="E13" i="30"/>
  <c r="F13" i="30"/>
  <c r="B14" i="30"/>
  <c r="E14" i="30"/>
  <c r="F14" i="30"/>
  <c r="B15" i="30"/>
  <c r="E15" i="30"/>
  <c r="F15" i="30"/>
  <c r="B16" i="30"/>
  <c r="E16" i="30"/>
  <c r="F16" i="30"/>
  <c r="B17" i="30"/>
  <c r="E17" i="30"/>
  <c r="F17" i="30"/>
  <c r="B18" i="30"/>
  <c r="E18" i="30"/>
  <c r="F18" i="30"/>
  <c r="B19" i="30"/>
  <c r="E19" i="30"/>
  <c r="F19" i="30"/>
  <c r="B20" i="30"/>
  <c r="E20" i="30"/>
  <c r="F20" i="30"/>
  <c r="B21" i="30"/>
  <c r="E21" i="30"/>
  <c r="F21" i="30"/>
  <c r="B22" i="30"/>
  <c r="E22" i="30"/>
  <c r="F22" i="30"/>
  <c r="B23" i="30"/>
  <c r="E23" i="30"/>
  <c r="F23" i="30"/>
  <c r="B24" i="30"/>
  <c r="E24" i="30"/>
  <c r="F24" i="30"/>
  <c r="B25" i="30"/>
  <c r="E25" i="30"/>
  <c r="F25" i="30"/>
  <c r="B26" i="30"/>
  <c r="E26" i="30"/>
  <c r="F26" i="30"/>
  <c r="B27" i="30"/>
  <c r="E27" i="30"/>
  <c r="F27" i="30"/>
  <c r="B28" i="30"/>
  <c r="E28" i="30"/>
  <c r="F28" i="30"/>
  <c r="B29" i="30"/>
  <c r="E29" i="30"/>
  <c r="F29" i="30"/>
  <c r="B30" i="30"/>
  <c r="E30" i="30"/>
  <c r="F30" i="30"/>
  <c r="B31" i="30"/>
  <c r="E31" i="30"/>
  <c r="F31" i="30"/>
  <c r="B32" i="30"/>
  <c r="E32" i="30"/>
  <c r="F32" i="30"/>
  <c r="B33" i="30"/>
  <c r="E33" i="30"/>
  <c r="F33" i="30"/>
  <c r="B34" i="30"/>
  <c r="E34" i="30"/>
  <c r="F34" i="30"/>
  <c r="B35" i="30"/>
  <c r="E35" i="30"/>
  <c r="F35" i="30"/>
  <c r="B36" i="30"/>
  <c r="E36" i="30"/>
  <c r="F36" i="30"/>
  <c r="B37" i="30"/>
  <c r="E37" i="30"/>
  <c r="F37" i="30"/>
  <c r="B38" i="30"/>
  <c r="E38" i="30"/>
  <c r="F38" i="30"/>
  <c r="B39" i="30"/>
  <c r="E39" i="30"/>
  <c r="F39" i="30"/>
  <c r="B40" i="30"/>
  <c r="E40" i="30"/>
  <c r="F40" i="30"/>
  <c r="B41" i="30"/>
  <c r="E41" i="30"/>
  <c r="F41" i="30"/>
  <c r="B42" i="30"/>
  <c r="E42" i="30"/>
  <c r="F42" i="30"/>
  <c r="B43" i="30"/>
  <c r="E43" i="30"/>
  <c r="F43" i="30"/>
  <c r="B44" i="30"/>
  <c r="E44" i="30"/>
  <c r="F44" i="30"/>
  <c r="B45" i="30"/>
  <c r="E45" i="30"/>
  <c r="F45" i="30"/>
  <c r="B46" i="30"/>
  <c r="E46" i="30"/>
  <c r="F46" i="30"/>
  <c r="B47" i="30"/>
  <c r="E47" i="30"/>
  <c r="F47" i="30"/>
  <c r="B48" i="30"/>
  <c r="E48" i="30"/>
  <c r="F48" i="30"/>
  <c r="B49" i="30"/>
  <c r="E49" i="30"/>
  <c r="F49" i="30"/>
  <c r="B50" i="30"/>
  <c r="E50" i="30"/>
  <c r="F50" i="30"/>
  <c r="B51" i="30"/>
  <c r="E51" i="30"/>
  <c r="F51" i="30"/>
  <c r="B52" i="30"/>
  <c r="E52" i="30"/>
  <c r="F52" i="30"/>
  <c r="B53" i="30"/>
  <c r="E53" i="30"/>
  <c r="F53" i="30"/>
  <c r="B54" i="30"/>
  <c r="E54" i="30"/>
  <c r="F54" i="30"/>
  <c r="B55" i="30"/>
  <c r="E55" i="30"/>
  <c r="F55" i="30"/>
  <c r="B56" i="30"/>
  <c r="E56" i="30"/>
  <c r="F56" i="30"/>
  <c r="B57" i="30"/>
  <c r="E57" i="30"/>
  <c r="F57" i="30"/>
  <c r="B58" i="30"/>
  <c r="E58" i="30"/>
  <c r="F58" i="30"/>
  <c r="B59" i="30"/>
  <c r="E59" i="30"/>
  <c r="F59" i="30"/>
  <c r="B60" i="30"/>
  <c r="E60" i="30"/>
  <c r="F60" i="30"/>
  <c r="B61" i="30"/>
  <c r="E61" i="30"/>
  <c r="F61" i="30"/>
  <c r="B62" i="30"/>
  <c r="E62" i="30"/>
  <c r="F62" i="30"/>
  <c r="B63" i="30"/>
  <c r="E63" i="30"/>
  <c r="F63" i="30"/>
  <c r="B64" i="30"/>
  <c r="E64" i="30"/>
  <c r="F64" i="30"/>
  <c r="B65" i="30"/>
  <c r="E65" i="30"/>
  <c r="F65" i="30"/>
  <c r="B66" i="30"/>
  <c r="E66" i="30"/>
  <c r="F66" i="30"/>
  <c r="B67" i="30"/>
  <c r="E67" i="30"/>
  <c r="F67" i="30"/>
  <c r="B68" i="30"/>
  <c r="E68" i="30"/>
  <c r="F68" i="30"/>
  <c r="B69" i="30"/>
  <c r="E69" i="30"/>
  <c r="F69" i="30"/>
  <c r="B70" i="30"/>
  <c r="E70" i="30"/>
  <c r="F70" i="30"/>
  <c r="B71" i="30"/>
  <c r="E71" i="30"/>
  <c r="F71" i="30"/>
  <c r="B72" i="30"/>
  <c r="E72" i="30"/>
  <c r="F72" i="30"/>
  <c r="B73" i="30"/>
  <c r="E73" i="30"/>
  <c r="F73" i="30"/>
  <c r="B74" i="30"/>
  <c r="E74" i="30"/>
  <c r="F74" i="30"/>
  <c r="B75" i="30"/>
  <c r="E75" i="30"/>
  <c r="F75" i="30"/>
  <c r="B76" i="30"/>
  <c r="E76" i="30"/>
  <c r="F76" i="30"/>
  <c r="B77" i="30"/>
  <c r="E77" i="30"/>
  <c r="F77" i="30"/>
  <c r="B78" i="30"/>
  <c r="E78" i="30"/>
  <c r="F78" i="30"/>
  <c r="B79" i="30"/>
  <c r="E79" i="30"/>
  <c r="F79" i="30"/>
  <c r="B80" i="30"/>
  <c r="E80" i="30"/>
  <c r="F80" i="30"/>
  <c r="B81" i="30"/>
  <c r="E81" i="30"/>
  <c r="F81" i="30"/>
  <c r="B82" i="30"/>
  <c r="E82" i="30"/>
  <c r="F82" i="30"/>
  <c r="B83" i="30"/>
  <c r="E83" i="30"/>
  <c r="F83" i="30"/>
  <c r="B84" i="30"/>
  <c r="E84" i="30"/>
  <c r="F84" i="30"/>
  <c r="B85" i="30"/>
  <c r="E85" i="30"/>
  <c r="F85" i="30"/>
  <c r="B86" i="30"/>
  <c r="E86" i="30"/>
  <c r="F86" i="30"/>
  <c r="B87" i="30"/>
  <c r="E87" i="30"/>
  <c r="F87" i="30"/>
  <c r="B88" i="30"/>
  <c r="E88" i="30"/>
  <c r="F88" i="30"/>
  <c r="B89" i="30"/>
  <c r="E89" i="30"/>
  <c r="F89" i="30"/>
  <c r="B90" i="30"/>
  <c r="E90" i="30"/>
  <c r="F90" i="30"/>
  <c r="B91" i="30"/>
  <c r="E91" i="30"/>
  <c r="F91" i="30"/>
  <c r="B92" i="30"/>
  <c r="E92" i="30"/>
  <c r="F92" i="30"/>
  <c r="B93" i="30"/>
  <c r="E93" i="30"/>
  <c r="F93" i="30"/>
  <c r="B94" i="30"/>
  <c r="E94" i="30"/>
  <c r="F94" i="30"/>
  <c r="B95" i="30"/>
  <c r="E95" i="30"/>
  <c r="F95" i="30"/>
  <c r="B96" i="30"/>
  <c r="E96" i="30"/>
  <c r="F96" i="30"/>
  <c r="B97" i="30"/>
  <c r="E97" i="30"/>
  <c r="F97" i="30"/>
  <c r="B98" i="30"/>
  <c r="E98" i="30"/>
  <c r="F98" i="30"/>
  <c r="B99" i="30"/>
  <c r="E99" i="30"/>
  <c r="F99" i="30"/>
  <c r="B100" i="30"/>
  <c r="E100" i="30"/>
  <c r="F100" i="30"/>
  <c r="B101" i="30"/>
  <c r="E101" i="30"/>
  <c r="F101" i="30"/>
  <c r="B102" i="30"/>
  <c r="E102" i="30"/>
  <c r="F102" i="30"/>
  <c r="B103" i="30"/>
  <c r="E103" i="30"/>
  <c r="F103" i="30"/>
  <c r="B104" i="30"/>
  <c r="E104" i="30"/>
  <c r="F104" i="30"/>
  <c r="B105" i="30"/>
  <c r="E105" i="30"/>
  <c r="F105" i="30"/>
  <c r="B106" i="30"/>
  <c r="E106" i="30"/>
  <c r="F106" i="30"/>
  <c r="B107" i="30"/>
  <c r="E107" i="30"/>
  <c r="F107" i="30"/>
  <c r="B108" i="30"/>
  <c r="E108" i="30"/>
  <c r="F108" i="30"/>
  <c r="B109" i="30"/>
  <c r="E109" i="30"/>
  <c r="F109" i="30"/>
  <c r="B110" i="30"/>
  <c r="E110" i="30"/>
  <c r="F110" i="30"/>
  <c r="B111" i="30"/>
  <c r="E111" i="30"/>
  <c r="F111" i="30"/>
  <c r="B112" i="30"/>
  <c r="E112" i="30"/>
  <c r="F112" i="30"/>
  <c r="B113" i="30"/>
  <c r="E113" i="30"/>
  <c r="F113" i="30"/>
  <c r="B114" i="30"/>
  <c r="E114" i="30"/>
  <c r="F114" i="30"/>
  <c r="B115" i="30"/>
  <c r="E115" i="30"/>
  <c r="F115" i="30"/>
  <c r="B116" i="30"/>
  <c r="E116" i="30"/>
  <c r="F116" i="30"/>
  <c r="B117" i="30"/>
  <c r="E117" i="30"/>
  <c r="F117" i="30"/>
  <c r="B118" i="30"/>
  <c r="E118" i="30"/>
  <c r="F118" i="30"/>
  <c r="B119" i="30"/>
  <c r="E119" i="30"/>
  <c r="F119" i="30"/>
  <c r="B120" i="30"/>
  <c r="E120" i="30"/>
  <c r="F120" i="30"/>
  <c r="B121" i="30"/>
  <c r="E121" i="30"/>
  <c r="F121" i="30"/>
  <c r="B122" i="30"/>
  <c r="E122" i="30"/>
  <c r="F122" i="30"/>
  <c r="B123" i="30"/>
  <c r="E123" i="30"/>
  <c r="F123" i="30"/>
  <c r="B124" i="30"/>
  <c r="E124" i="30"/>
  <c r="F124" i="30"/>
  <c r="B125" i="30"/>
  <c r="E125" i="30"/>
  <c r="F125" i="30"/>
  <c r="B126" i="30"/>
  <c r="E126" i="30"/>
  <c r="F126" i="30"/>
  <c r="B127" i="30"/>
  <c r="E127" i="30"/>
  <c r="F127" i="30"/>
  <c r="B128" i="30"/>
  <c r="E128" i="30"/>
  <c r="F128" i="30"/>
  <c r="B129" i="30"/>
  <c r="E129" i="30"/>
  <c r="F129" i="30"/>
  <c r="B130" i="30"/>
  <c r="E130" i="30"/>
  <c r="F130" i="30"/>
  <c r="B131" i="30"/>
  <c r="E131" i="30"/>
  <c r="F131" i="30"/>
  <c r="B132" i="30"/>
  <c r="E132" i="30"/>
  <c r="F132" i="30"/>
  <c r="B133" i="30"/>
  <c r="E133" i="30"/>
  <c r="F133" i="30"/>
  <c r="B134" i="30"/>
  <c r="E134" i="30"/>
  <c r="F134" i="30"/>
  <c r="B135" i="30"/>
  <c r="E135" i="30"/>
  <c r="F135" i="30"/>
  <c r="B136" i="30"/>
  <c r="E136" i="30"/>
  <c r="F136" i="30"/>
  <c r="B137" i="30"/>
  <c r="E137" i="30"/>
  <c r="F137" i="30"/>
  <c r="B138" i="30"/>
  <c r="E138" i="30"/>
  <c r="F138" i="30"/>
  <c r="B139" i="30"/>
  <c r="E139" i="30"/>
  <c r="F139" i="30"/>
  <c r="B140" i="30"/>
  <c r="E140" i="30"/>
  <c r="F140" i="30"/>
  <c r="B141" i="30"/>
  <c r="E141" i="30"/>
  <c r="F141" i="30"/>
  <c r="B142" i="30"/>
  <c r="E142" i="30"/>
  <c r="F142" i="30"/>
  <c r="B143" i="30"/>
  <c r="E143" i="30"/>
  <c r="F143" i="30"/>
  <c r="B144" i="30"/>
  <c r="E144" i="30"/>
  <c r="F144" i="30"/>
  <c r="B145" i="30"/>
  <c r="E145" i="30"/>
  <c r="F145" i="30"/>
  <c r="B146" i="30"/>
  <c r="E146" i="30"/>
  <c r="F146" i="30"/>
  <c r="B147" i="30"/>
  <c r="E147" i="30"/>
  <c r="F147" i="30"/>
  <c r="B148" i="30"/>
  <c r="E148" i="30"/>
  <c r="F148" i="30"/>
  <c r="B149" i="30"/>
  <c r="E149" i="30"/>
  <c r="F149" i="30"/>
  <c r="B150" i="30"/>
  <c r="E150" i="30"/>
  <c r="F150" i="30"/>
  <c r="B151" i="30"/>
  <c r="E151" i="30"/>
  <c r="F151" i="30"/>
  <c r="B152" i="30"/>
  <c r="E152" i="30"/>
  <c r="F152" i="30"/>
  <c r="B153" i="30"/>
  <c r="E153" i="30"/>
  <c r="F153" i="30"/>
  <c r="B154" i="30"/>
  <c r="E154" i="30"/>
  <c r="F154" i="30"/>
  <c r="B155" i="30"/>
  <c r="E155" i="30"/>
  <c r="F155" i="30"/>
  <c r="B156" i="30"/>
  <c r="E156" i="30"/>
  <c r="F156" i="30"/>
  <c r="B157" i="30"/>
  <c r="E157" i="30"/>
  <c r="F157" i="30"/>
  <c r="B158" i="30"/>
  <c r="E158" i="30"/>
  <c r="F158" i="30"/>
  <c r="B159" i="30"/>
  <c r="E159" i="30"/>
  <c r="F159" i="30"/>
  <c r="B160" i="30"/>
  <c r="E160" i="30"/>
  <c r="F160" i="30"/>
  <c r="B161" i="30"/>
  <c r="E161" i="30"/>
  <c r="F161" i="30"/>
  <c r="B162" i="30"/>
  <c r="E162" i="30"/>
  <c r="F162" i="30"/>
  <c r="B163" i="30"/>
  <c r="E163" i="30"/>
  <c r="F163" i="30"/>
  <c r="B164" i="30"/>
  <c r="E164" i="30"/>
  <c r="F164" i="30"/>
  <c r="B165" i="30"/>
  <c r="E165" i="30"/>
  <c r="F165" i="30"/>
  <c r="B166" i="30"/>
  <c r="E166" i="30"/>
  <c r="F166" i="30"/>
  <c r="B167" i="30"/>
  <c r="E167" i="30"/>
  <c r="F167" i="30"/>
  <c r="B168" i="30"/>
  <c r="E168" i="30"/>
  <c r="F168" i="30"/>
  <c r="B169" i="30"/>
  <c r="E169" i="30"/>
  <c r="F169" i="30"/>
  <c r="B170" i="30"/>
  <c r="E170" i="30"/>
  <c r="F170" i="30"/>
  <c r="B171" i="30"/>
  <c r="E171" i="30"/>
  <c r="F171" i="30"/>
  <c r="B172" i="30"/>
  <c r="E172" i="30"/>
  <c r="F172" i="30"/>
  <c r="B173" i="30"/>
  <c r="E173" i="30"/>
  <c r="F173" i="30"/>
  <c r="B174" i="30"/>
  <c r="E174" i="30"/>
  <c r="F174" i="30"/>
  <c r="B175" i="30"/>
  <c r="E175" i="30"/>
  <c r="F175" i="30"/>
  <c r="B176" i="30"/>
  <c r="E176" i="30"/>
  <c r="F176" i="30"/>
  <c r="B177" i="30"/>
  <c r="E177" i="30"/>
  <c r="F177" i="30"/>
  <c r="B178" i="30"/>
  <c r="E178" i="30"/>
  <c r="F178" i="30"/>
  <c r="B179" i="30"/>
  <c r="E179" i="30"/>
  <c r="F179" i="30"/>
  <c r="B180" i="30"/>
  <c r="E180" i="30"/>
  <c r="F180" i="30"/>
  <c r="B181" i="30"/>
  <c r="E181" i="30"/>
  <c r="F181" i="30"/>
  <c r="B182" i="30"/>
  <c r="E182" i="30"/>
  <c r="F182" i="30"/>
  <c r="B183" i="30"/>
  <c r="E183" i="30"/>
  <c r="F183" i="30"/>
  <c r="B184" i="30"/>
  <c r="E184" i="30"/>
  <c r="F184" i="30"/>
  <c r="B185" i="30"/>
  <c r="E185" i="30"/>
  <c r="F185" i="30"/>
  <c r="B186" i="30"/>
  <c r="E186" i="30"/>
  <c r="F186" i="30"/>
  <c r="B187" i="30"/>
  <c r="E187" i="30"/>
  <c r="F187" i="30"/>
  <c r="B188" i="30"/>
  <c r="E188" i="30"/>
  <c r="F188" i="30"/>
  <c r="B189" i="30"/>
  <c r="E189" i="30"/>
  <c r="F189" i="30"/>
  <c r="B190" i="30"/>
  <c r="E190" i="30"/>
  <c r="F190" i="30"/>
  <c r="B191" i="30"/>
  <c r="E191" i="30"/>
  <c r="F191" i="30"/>
  <c r="B192" i="30"/>
  <c r="E192" i="30"/>
  <c r="F192" i="30"/>
  <c r="B193" i="30"/>
  <c r="E193" i="30"/>
  <c r="F193" i="30"/>
  <c r="B194" i="30"/>
  <c r="E194" i="30"/>
  <c r="F194" i="30"/>
  <c r="B195" i="30"/>
  <c r="E195" i="30"/>
  <c r="F195" i="30"/>
  <c r="B196" i="30"/>
  <c r="E196" i="30"/>
  <c r="F196" i="30"/>
  <c r="B197" i="30"/>
  <c r="E197" i="30"/>
  <c r="F197" i="30"/>
  <c r="B198" i="30"/>
  <c r="E198" i="30"/>
  <c r="F198" i="30"/>
  <c r="B199" i="30"/>
  <c r="E199" i="30"/>
  <c r="F199" i="30"/>
  <c r="B200" i="30"/>
  <c r="E200" i="30"/>
  <c r="F200" i="30"/>
  <c r="B201" i="30"/>
  <c r="E201" i="30"/>
  <c r="F201" i="30"/>
  <c r="B202" i="30"/>
  <c r="E202" i="30"/>
  <c r="F202" i="30"/>
  <c r="B203" i="30"/>
  <c r="E203" i="30"/>
  <c r="F203" i="30"/>
  <c r="B204" i="30"/>
  <c r="E204" i="30"/>
  <c r="F204" i="30"/>
  <c r="B205" i="30"/>
  <c r="E205" i="30"/>
  <c r="F205" i="30"/>
  <c r="B206" i="30"/>
  <c r="E206" i="30"/>
  <c r="F206" i="30"/>
  <c r="B207" i="30"/>
  <c r="E207" i="30"/>
  <c r="F207" i="30"/>
  <c r="B208" i="30"/>
  <c r="E208" i="30"/>
  <c r="F208" i="30"/>
  <c r="B209" i="30"/>
  <c r="E209" i="30"/>
  <c r="F209" i="30"/>
  <c r="B210" i="30"/>
  <c r="E210" i="30"/>
  <c r="F210" i="30"/>
  <c r="B211" i="30"/>
  <c r="E211" i="30"/>
  <c r="F211" i="30"/>
  <c r="B212" i="30"/>
  <c r="E212" i="30"/>
  <c r="F212" i="30"/>
  <c r="B213" i="30"/>
  <c r="E213" i="30"/>
  <c r="F213" i="30"/>
  <c r="B214" i="30"/>
  <c r="E214" i="30"/>
  <c r="F214" i="30"/>
  <c r="B215" i="30"/>
  <c r="E215" i="30"/>
  <c r="F215" i="30"/>
  <c r="B216" i="30"/>
  <c r="E216" i="30"/>
  <c r="F216" i="30"/>
  <c r="B217" i="30"/>
  <c r="E217" i="30"/>
  <c r="F217" i="30"/>
  <c r="B218" i="30"/>
  <c r="E218" i="30"/>
  <c r="F218" i="30"/>
  <c r="B219" i="30"/>
  <c r="E219" i="30"/>
  <c r="F219" i="30"/>
  <c r="B220" i="30"/>
  <c r="E220" i="30"/>
  <c r="F220" i="30"/>
  <c r="B221" i="30"/>
  <c r="E221" i="30"/>
  <c r="F221" i="30"/>
  <c r="B222" i="30"/>
  <c r="E222" i="30"/>
  <c r="F222" i="30"/>
  <c r="B223" i="30"/>
  <c r="E223" i="30"/>
  <c r="F223" i="30"/>
  <c r="B224" i="30"/>
  <c r="E224" i="30"/>
  <c r="F224" i="30"/>
  <c r="B225" i="30"/>
  <c r="E225" i="30"/>
  <c r="F225" i="30"/>
  <c r="B226" i="30"/>
  <c r="E226" i="30"/>
  <c r="F226" i="30"/>
  <c r="B227" i="30"/>
  <c r="E227" i="30"/>
  <c r="F227" i="30"/>
  <c r="B228" i="30"/>
  <c r="E228" i="30"/>
  <c r="F228" i="30"/>
  <c r="B229" i="30"/>
  <c r="E229" i="30"/>
  <c r="F229" i="30"/>
  <c r="B230" i="30"/>
  <c r="E230" i="30"/>
  <c r="F230" i="30"/>
  <c r="B231" i="30"/>
  <c r="E231" i="30"/>
  <c r="F231" i="30"/>
  <c r="B232" i="30"/>
  <c r="E232" i="30"/>
  <c r="F232" i="30"/>
  <c r="B233" i="30"/>
  <c r="E233" i="30"/>
  <c r="F233" i="30"/>
  <c r="B234" i="30"/>
  <c r="E234" i="30"/>
  <c r="F234" i="30"/>
  <c r="B235" i="30"/>
  <c r="E235" i="30"/>
  <c r="F235" i="30"/>
  <c r="B236" i="30"/>
  <c r="E236" i="30"/>
  <c r="F236" i="30"/>
  <c r="B237" i="30"/>
  <c r="E237" i="30"/>
  <c r="F237" i="30"/>
  <c r="B238" i="30"/>
  <c r="E238" i="30"/>
  <c r="F238" i="30"/>
  <c r="B239" i="30"/>
  <c r="E239" i="30"/>
  <c r="F239" i="30"/>
  <c r="B240" i="30"/>
  <c r="E240" i="30"/>
  <c r="F240" i="30"/>
  <c r="B241" i="30"/>
  <c r="E241" i="30"/>
  <c r="F241" i="30"/>
  <c r="B242" i="30"/>
  <c r="E242" i="30"/>
  <c r="F242" i="30"/>
  <c r="B243" i="30"/>
  <c r="E243" i="30"/>
  <c r="F243" i="30"/>
  <c r="B244" i="30"/>
  <c r="E244" i="30"/>
  <c r="F244" i="30"/>
  <c r="C245" i="30"/>
  <c r="D245" i="30"/>
  <c r="E245" i="30"/>
  <c r="F245" i="30"/>
</calcChain>
</file>

<file path=xl/comments1.xml><?xml version="1.0" encoding="utf-8"?>
<comments xmlns="http://schemas.openxmlformats.org/spreadsheetml/2006/main">
  <authors>
    <author>plee</author>
    <author>chantelle james</author>
  </authors>
  <commentList>
    <comment ref="D15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3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4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6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</commentList>
</comments>
</file>

<file path=xl/comments2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sharedStrings.xml><?xml version="1.0" encoding="utf-8"?>
<sst xmlns="http://schemas.openxmlformats.org/spreadsheetml/2006/main" count="5695" uniqueCount="692">
  <si>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</si>
  <si>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</si>
  <si>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</si>
  <si>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</si>
  <si>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</si>
  <si>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</si>
  <si>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</si>
  <si>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</si>
  <si>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</si>
  <si>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</si>
  <si>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</si>
  <si>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</si>
  <si>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</si>
  <si>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</si>
  <si>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</si>
  <si>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</si>
  <si>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</si>
  <si>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</si>
  <si>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</si>
  <si>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</si>
  <si>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</si>
  <si>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</si>
  <si>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</si>
  <si>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</si>
  <si>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</si>
  <si>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</si>
  <si>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</si>
  <si>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</si>
  <si>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</si>
  <si>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</si>
  <si>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</si>
  <si>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</si>
  <si>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</si>
  <si>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</si>
  <si>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</si>
  <si>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</si>
  <si>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</si>
  <si>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</si>
  <si>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</si>
  <si>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</si>
  <si>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</si>
  <si>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</si>
  <si>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</si>
  <si>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</si>
  <si>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POCONO ENERGY (BLAZER ENERGY)</t>
  </si>
  <si>
    <t>016-70303-01-001</t>
  </si>
  <si>
    <t>(W) IFERC + .01 (S) 100% IFERC</t>
  </si>
  <si>
    <t>016-70649-01-001</t>
  </si>
  <si>
    <t>RP1800604</t>
  </si>
  <si>
    <t>AT4371701</t>
  </si>
  <si>
    <t>AT3585801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</si>
  <si>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</si>
  <si>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</si>
  <si>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</si>
  <si>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</si>
  <si>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</si>
  <si>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</si>
  <si>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</si>
  <si>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</si>
  <si>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</si>
  <si>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</si>
  <si>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</si>
  <si>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</si>
  <si>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</si>
  <si>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</si>
  <si>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</si>
  <si>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</si>
  <si>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</si>
  <si>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</si>
  <si>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</si>
  <si>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</si>
  <si>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</si>
  <si>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</si>
  <si>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</si>
  <si>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</si>
  <si>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</si>
  <si>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</si>
  <si>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</si>
  <si>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</si>
  <si>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</si>
  <si>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</si>
  <si>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</si>
  <si>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</si>
  <si>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</si>
  <si>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</si>
  <si>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</si>
  <si>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</si>
  <si>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</si>
  <si>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</si>
  <si>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AT5168301</t>
  </si>
  <si>
    <t>AT5167701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</si>
  <si>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</si>
  <si>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</si>
  <si>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</si>
  <si>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</si>
  <si>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</si>
  <si>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</si>
  <si>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</si>
  <si>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</si>
  <si>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</si>
  <si>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EXPIRED</t>
  </si>
  <si>
    <t>Contract ends 1-31-02, Megan not renewing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</si>
  <si>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</si>
  <si>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</si>
  <si>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</si>
  <si>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</si>
  <si>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</si>
  <si>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</si>
  <si>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</si>
  <si>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</si>
  <si>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</si>
  <si>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Base Petroleum</t>
  </si>
  <si>
    <t xml:space="preserve">15000 @ 3.16 11/01/00 to 03/31/01  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</si>
  <si>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</si>
  <si>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</si>
  <si>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</si>
  <si>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</si>
  <si>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</si>
  <si>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</si>
  <si>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</si>
  <si>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</si>
  <si>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</si>
  <si>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</si>
  <si>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</si>
  <si>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</si>
  <si>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</si>
  <si>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</si>
  <si>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</si>
  <si>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</si>
  <si>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</si>
  <si>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</si>
  <si>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</si>
  <si>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</si>
  <si>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</si>
  <si>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</si>
  <si>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</si>
  <si>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</si>
  <si>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</si>
  <si>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</si>
  <si>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</si>
  <si>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</si>
  <si>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</si>
  <si>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</si>
  <si>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</si>
  <si>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</si>
  <si>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</si>
  <si>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</si>
  <si>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</si>
  <si>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</si>
  <si>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</si>
  <si>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</si>
  <si>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</si>
  <si>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</si>
  <si>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</si>
  <si>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</si>
  <si>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</si>
  <si>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</si>
  <si>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</si>
  <si>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</si>
  <si>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</si>
  <si>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</si>
  <si>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</si>
  <si>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</si>
  <si>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</si>
  <si>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</si>
  <si>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</si>
  <si>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</si>
  <si>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</si>
  <si>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</si>
  <si>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</si>
  <si>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</si>
  <si>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</si>
  <si>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</si>
  <si>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</si>
  <si>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</si>
  <si>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</si>
  <si>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AT3573701</t>
  </si>
  <si>
    <t>AT4333501</t>
  </si>
  <si>
    <t>AT4336901</t>
  </si>
  <si>
    <t>AT4341201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</si>
  <si>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</si>
  <si>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</si>
  <si>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</si>
  <si>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</si>
  <si>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</si>
  <si>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</si>
  <si>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</si>
  <si>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</si>
  <si>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</si>
  <si>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</si>
  <si>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</si>
  <si>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</si>
  <si>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</si>
  <si>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</si>
  <si>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</si>
  <si>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</si>
  <si>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</si>
  <si>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</si>
  <si>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</si>
  <si>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</si>
  <si>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</si>
  <si>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</si>
  <si>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</si>
  <si>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</si>
  <si>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</si>
  <si>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</si>
  <si>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</si>
  <si>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RP1034808</t>
  </si>
  <si>
    <t>RP1034907</t>
  </si>
  <si>
    <t>RP1039301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</si>
  <si>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</si>
  <si>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</si>
  <si>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</si>
  <si>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</si>
  <si>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</si>
  <si>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</si>
  <si>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</si>
  <si>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</si>
  <si>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</si>
  <si>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</si>
  <si>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</si>
  <si>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</si>
  <si>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</si>
  <si>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</si>
  <si>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</si>
  <si>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</si>
  <si>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</si>
  <si>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</si>
  <si>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</si>
  <si>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</si>
  <si>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</si>
  <si>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</si>
  <si>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</si>
  <si>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</si>
  <si>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</si>
  <si>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</si>
  <si>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RP1157910</t>
  </si>
  <si>
    <t>RP1157922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</si>
  <si>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</si>
  <si>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</si>
  <si>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</si>
  <si>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</si>
  <si>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</si>
  <si>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</si>
  <si>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</si>
  <si>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</si>
  <si>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</si>
  <si>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</si>
  <si>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</si>
  <si>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</si>
  <si>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</si>
  <si>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</si>
  <si>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</si>
  <si>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</si>
  <si>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</si>
  <si>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</si>
  <si>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</si>
  <si>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</si>
  <si>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</si>
  <si>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</si>
  <si>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</si>
  <si>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</si>
  <si>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</si>
  <si>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</si>
  <si>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</si>
  <si>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</si>
  <si>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</si>
  <si>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</si>
  <si>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</si>
  <si>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</si>
  <si>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</si>
  <si>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</si>
  <si>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</si>
  <si>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</si>
  <si>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</si>
  <si>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</si>
  <si>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</si>
  <si>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</si>
  <si>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</si>
  <si>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</si>
  <si>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</si>
  <si>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</si>
  <si>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</si>
  <si>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</si>
  <si>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</si>
  <si>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</si>
  <si>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</si>
  <si>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</si>
  <si>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</si>
  <si>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</si>
  <si>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</si>
  <si>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</si>
  <si>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</si>
  <si>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</si>
  <si>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</si>
  <si>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</si>
  <si>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</si>
  <si>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</si>
  <si>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</si>
  <si>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</si>
  <si>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</si>
  <si>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</si>
  <si>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</si>
  <si>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</si>
  <si>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</si>
  <si>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</si>
  <si>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</si>
  <si>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</si>
  <si>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</si>
  <si>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</si>
  <si>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</si>
  <si>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</si>
  <si>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10000 per confirmation, 11000 per heidi</t>
  </si>
  <si>
    <t>Pentex</t>
  </si>
  <si>
    <t>98% IF</t>
  </si>
  <si>
    <t>7500/mo @ 2.875  remainder @</t>
  </si>
  <si>
    <t>Combining MID numbers</t>
  </si>
  <si>
    <t xml:space="preserve"> </t>
  </si>
  <si>
    <t>NGI</t>
  </si>
  <si>
    <t>PRICE</t>
  </si>
  <si>
    <t>MCF</t>
  </si>
  <si>
    <t>MMBTU</t>
  </si>
  <si>
    <t>97% IFERC</t>
  </si>
  <si>
    <t>99% IFERC</t>
  </si>
  <si>
    <t>100% IFERC</t>
  </si>
  <si>
    <t>98% IFERC</t>
  </si>
  <si>
    <t>IFERC</t>
  </si>
  <si>
    <t>Contract</t>
  </si>
  <si>
    <t>verified 6/6</t>
  </si>
  <si>
    <t>RUSH-COOK GAS COMPANY</t>
  </si>
  <si>
    <t>Price</t>
  </si>
  <si>
    <t>Dth</t>
  </si>
  <si>
    <t>95% IFERC</t>
  </si>
  <si>
    <t>SARDIS E,LLC</t>
  </si>
  <si>
    <t>NO</t>
  </si>
  <si>
    <t>Total Dth</t>
  </si>
  <si>
    <t>99% OF IFER</t>
  </si>
  <si>
    <t>Weighted Average</t>
  </si>
  <si>
    <t>6000/mo @</t>
  </si>
  <si>
    <t>Mcf Fuel</t>
  </si>
  <si>
    <t>Net Dth</t>
  </si>
  <si>
    <t>Dth Fuel</t>
  </si>
  <si>
    <t>11/1/00 to 3/31/01</t>
  </si>
  <si>
    <t>expired</t>
  </si>
  <si>
    <t>100% IF-.02</t>
  </si>
  <si>
    <t>PROCESS PRIOR MISSING CHART</t>
  </si>
  <si>
    <t>METER TEST ADJUSTMENT</t>
  </si>
  <si>
    <t>from AMERICAN ENERGY CORP</t>
  </si>
  <si>
    <t>AcctID</t>
  </si>
  <si>
    <t>Dec1-2Dth</t>
  </si>
  <si>
    <t>Dec3-31Dth</t>
  </si>
  <si>
    <t>Dec1-2 Dth</t>
  </si>
  <si>
    <t>Dec1-2 Amt</t>
  </si>
  <si>
    <t>Dec3-31 Dth</t>
  </si>
  <si>
    <t>Dec3-31 Amt</t>
  </si>
  <si>
    <t>AT3576601</t>
  </si>
  <si>
    <t>AT3584401</t>
  </si>
  <si>
    <t>AT3587701</t>
  </si>
  <si>
    <t>1/1/01 to 12/31/01</t>
  </si>
  <si>
    <t>100% IF + .01</t>
  </si>
  <si>
    <t>AT3584101</t>
  </si>
  <si>
    <t>GAINS PERRY</t>
  </si>
  <si>
    <t>AT3584201</t>
  </si>
  <si>
    <t>RPH208506</t>
  </si>
  <si>
    <t>12/01/00-3/31/2001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</si>
  <si>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</si>
  <si>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</si>
  <si>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</si>
  <si>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</si>
  <si>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</si>
  <si>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</si>
  <si>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</si>
  <si>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</si>
  <si>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AT4374001</t>
  </si>
  <si>
    <t>2.79 till 03/01</t>
  </si>
  <si>
    <t>Tier 5.80- old 98% IFERC</t>
  </si>
  <si>
    <t xml:space="preserve">Tier 5.80 </t>
  </si>
  <si>
    <t>Contract ends 1-1-02</t>
  </si>
  <si>
    <t>Cedar Resources</t>
  </si>
  <si>
    <t>Tier</t>
  </si>
  <si>
    <t>to Charity Gas 8/1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</si>
  <si>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</si>
  <si>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</si>
  <si>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</si>
  <si>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</si>
  <si>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</si>
  <si>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</si>
  <si>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</si>
  <si>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</si>
  <si>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</si>
  <si>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</si>
  <si>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</si>
  <si>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</si>
  <si>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</si>
  <si>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</si>
  <si>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</si>
  <si>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</si>
  <si>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</si>
  <si>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</si>
  <si>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</si>
  <si>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</si>
  <si>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</si>
  <si>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</si>
  <si>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</si>
  <si>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</si>
  <si>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</si>
  <si>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confirmed 10/1</t>
  </si>
  <si>
    <t>AT4371201</t>
  </si>
  <si>
    <t>AT001MA</t>
  </si>
  <si>
    <t>QA001MA</t>
  </si>
  <si>
    <t>ENRON CAPITAL &amp; TRADE RESOURCES</t>
  </si>
  <si>
    <t>1/1/00 to 3/31/00</t>
  </si>
  <si>
    <t>11/1/00-10/31/01</t>
  </si>
  <si>
    <t>Pool Id</t>
  </si>
  <si>
    <t>Acct Id</t>
  </si>
  <si>
    <t>Mid</t>
  </si>
  <si>
    <t>Producer Name</t>
  </si>
  <si>
    <t>Mcf</t>
  </si>
  <si>
    <t>T106HGW</t>
  </si>
  <si>
    <t>AT1055201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</si>
  <si>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</si>
  <si>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</si>
  <si>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</si>
  <si>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</si>
  <si>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</si>
  <si>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</si>
  <si>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</si>
  <si>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</si>
  <si>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</si>
  <si>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</si>
  <si>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</si>
  <si>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</si>
  <si>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</si>
  <si>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</si>
  <si>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</si>
  <si>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</si>
  <si>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</si>
  <si>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</si>
  <si>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</si>
  <si>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</si>
  <si>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</si>
  <si>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</si>
  <si>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</si>
  <si>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</si>
  <si>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</si>
  <si>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</si>
  <si>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</si>
  <si>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</si>
  <si>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</si>
  <si>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</si>
  <si>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</si>
  <si>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</si>
  <si>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</si>
  <si>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</si>
  <si>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</si>
  <si>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</si>
  <si>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</si>
  <si>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</si>
  <si>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</si>
  <si>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</si>
  <si>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</si>
  <si>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</si>
  <si>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</si>
  <si>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</si>
  <si>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</si>
  <si>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</si>
  <si>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</si>
  <si>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</si>
  <si>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</si>
  <si>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</si>
  <si>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</si>
  <si>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</si>
  <si>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</si>
  <si>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</si>
  <si>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</si>
  <si>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</si>
  <si>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</si>
  <si>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</si>
  <si>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</si>
  <si>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</si>
  <si>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</si>
  <si>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</si>
  <si>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</si>
  <si>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</si>
  <si>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</si>
  <si>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</si>
  <si>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</si>
  <si>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</si>
  <si>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</si>
  <si>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</si>
  <si>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</si>
  <si>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</si>
  <si>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</si>
  <si>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</si>
  <si>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</si>
  <si>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</si>
  <si>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</si>
  <si>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</si>
  <si>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</si>
  <si>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</si>
  <si>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</si>
  <si>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</si>
  <si>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</si>
  <si>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</si>
  <si>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</si>
  <si>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</si>
  <si>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</si>
  <si>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</si>
  <si>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</si>
  <si>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</si>
  <si>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</si>
  <si>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</si>
  <si>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</si>
  <si>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</si>
  <si>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</si>
  <si>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</si>
  <si>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</si>
  <si>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</si>
  <si>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</si>
  <si>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</si>
  <si>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</si>
  <si>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</si>
  <si>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</si>
  <si>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RP1206915</t>
  </si>
  <si>
    <t>AT4333601</t>
  </si>
  <si>
    <t>AT4335601</t>
  </si>
  <si>
    <t>AT4336401</t>
  </si>
  <si>
    <t>AT4338501</t>
  </si>
  <si>
    <t>AT4339701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</si>
  <si>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</si>
  <si>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</si>
  <si>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</si>
  <si>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</si>
  <si>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</si>
  <si>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</si>
  <si>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</si>
  <si>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</si>
  <si>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</si>
  <si>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</si>
  <si>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</si>
  <si>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</si>
  <si>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</si>
  <si>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</si>
  <si>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</si>
  <si>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</si>
  <si>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</si>
  <si>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</si>
  <si>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</si>
  <si>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</si>
  <si>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</si>
  <si>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</si>
  <si>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</si>
  <si>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</si>
  <si>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</si>
  <si>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200110</t>
  </si>
  <si>
    <t>B &amp; J GAS &amp; OIL</t>
  </si>
  <si>
    <t>COLUMBIA NATURAL RESOURCES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</si>
  <si>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</si>
  <si>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</si>
  <si>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</si>
  <si>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</si>
  <si>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</si>
  <si>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</si>
  <si>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</si>
  <si>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</si>
  <si>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</si>
  <si>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10/1/00 to 9/30/01</t>
  </si>
  <si>
    <t>remaining price at index</t>
  </si>
  <si>
    <t>OLD</t>
  </si>
  <si>
    <t>ILA POWELL AGENT</t>
  </si>
  <si>
    <t>CNG</t>
  </si>
  <si>
    <t>Ritchie GAS</t>
  </si>
  <si>
    <t>4/1/00 to 03/31/01</t>
  </si>
  <si>
    <t>Tier 3000 @ 3.16</t>
  </si>
  <si>
    <t>TRIAD ENERGY CORP OF WV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</si>
  <si>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</si>
  <si>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</si>
  <si>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</si>
  <si>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</si>
  <si>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</si>
  <si>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</si>
  <si>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</si>
  <si>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</si>
  <si>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</si>
  <si>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AT2159601</t>
  </si>
  <si>
    <t>IFERC - $.08</t>
  </si>
  <si>
    <t>C.I.McKOWN &amp; Sons</t>
  </si>
  <si>
    <t>04/1/00 to  3/31/01</t>
  </si>
  <si>
    <t>Tier 3.11 Bal IF</t>
  </si>
  <si>
    <t>T Date</t>
  </si>
  <si>
    <t>12/103/01</t>
  </si>
  <si>
    <t>6/1/00 to 05/31/01</t>
  </si>
  <si>
    <t>016-14385-01-002</t>
  </si>
  <si>
    <t>016-15062-01-001</t>
  </si>
  <si>
    <t>POCONO ENERGY</t>
  </si>
  <si>
    <t>016-37148-01-001</t>
  </si>
  <si>
    <t>016-66919-01-001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</si>
  <si>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</si>
  <si>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</si>
  <si>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</si>
  <si>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96% IFERC</t>
  </si>
  <si>
    <t>PRIVATE STOCK</t>
  </si>
  <si>
    <t>016-71375-01-001</t>
  </si>
  <si>
    <t>CHECK 100% IFERC</t>
  </si>
  <si>
    <t>016-82500-01-001</t>
  </si>
  <si>
    <t>016-91923-01-001</t>
  </si>
  <si>
    <t>NEW</t>
  </si>
  <si>
    <t>BILL KENNEDY</t>
  </si>
  <si>
    <t>HANEY D G INC</t>
  </si>
  <si>
    <t>NO DEDUCTIONS AS OF JAN 01 PRODUCTION</t>
  </si>
  <si>
    <t>98% NGI</t>
  </si>
  <si>
    <t>99% NGI</t>
  </si>
  <si>
    <t>VIKING RESOURCES CORP</t>
  </si>
  <si>
    <t>COMMONWEALTH ENERGY INC</t>
  </si>
  <si>
    <t>AT4371101</t>
  </si>
  <si>
    <t>AT4373001</t>
  </si>
  <si>
    <t>CENTRAL PACIFIC</t>
  </si>
  <si>
    <t>Eastern States Exploration</t>
  </si>
  <si>
    <t>A26</t>
  </si>
  <si>
    <t>M01</t>
  </si>
  <si>
    <t>A40</t>
  </si>
  <si>
    <t>QTY Change - Prior Per Qids</t>
  </si>
  <si>
    <t>The McIntosh</t>
  </si>
  <si>
    <t>10,000/mo @</t>
  </si>
  <si>
    <t>Net Mcf</t>
  </si>
  <si>
    <t>016-76053-01-001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</si>
  <si>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</si>
  <si>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</si>
  <si>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</si>
  <si>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</si>
  <si>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</si>
  <si>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</si>
  <si>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</si>
  <si>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</si>
  <si>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</si>
  <si>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</si>
  <si>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</si>
  <si>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</si>
  <si>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</si>
  <si>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</si>
  <si>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</si>
  <si>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</si>
  <si>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</si>
  <si>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</si>
  <si>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</si>
  <si>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</si>
  <si>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</si>
  <si>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</si>
  <si>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</si>
  <si>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</si>
  <si>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</si>
  <si>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</si>
  <si>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</si>
  <si>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</si>
  <si>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</si>
  <si>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</si>
  <si>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</si>
  <si>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</si>
  <si>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</si>
  <si>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</si>
  <si>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</si>
  <si>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</si>
  <si>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</si>
  <si>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</si>
  <si>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</si>
  <si>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</si>
  <si>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</si>
  <si>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</si>
  <si>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</si>
  <si>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</si>
  <si>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</si>
  <si>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</si>
  <si>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</si>
  <si>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</si>
  <si>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</si>
  <si>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</si>
  <si>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</si>
  <si>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</si>
  <si>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</si>
  <si>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</si>
  <si>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</si>
  <si>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NA</t>
  </si>
  <si>
    <t>DTI Eff Date</t>
  </si>
  <si>
    <t>STEPHEN GAS COMPANY (Allied Natural)</t>
  </si>
  <si>
    <t>DENVER SISSON (D G Haney Inc)</t>
  </si>
  <si>
    <t>EXPLORATION PARTNERS was Gas Marketing Inc</t>
  </si>
  <si>
    <t>JAY-BEE OIL &amp; GAS  (PAC ATL)</t>
  </si>
  <si>
    <t>EffDate</t>
  </si>
  <si>
    <t>MARANATHA ENERGY CORP.</t>
  </si>
  <si>
    <t>KENNEDY GAS &amp; OIL</t>
  </si>
  <si>
    <t>***</t>
  </si>
  <si>
    <t>GARNET VIELERS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</si>
</sst>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3" formatCode="_(* #,##0.00_);_(* \(#,##0.00\);_(* &quot;-&quot;??_);_(@_)"/>
    <numFmt numFmtId="168" formatCode="&quot;$&quot;#,##0.0000_);\(&quot;$&quot;#,##0.0000\)"/>
    <numFmt numFmtId="171" formatCode="0.0000"/>
    <numFmt numFmtId="173" formatCode="#,##0.0000"/>
    <numFmt numFmtId="184" formatCode="0.000"/>
    <numFmt numFmtId="185" formatCode="0.00000"/>
    <numFmt numFmtId="196" formatCode="_(* #,##0.0000_);_(* \(#,##0.0000\);_(* &quot;-&quot;??_);_(@_)"/>
    <numFmt numFmtId="213" formatCode="mm/dd/yy"/>
  </numFmts>
  <fonts count="16" x14ac:knownFonts="1">
    <font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sz val="10"/>
      <color indexed="81"/>
      <name val="Tahoma"/>
    </font>
    <font>
      <b/>
      <sz val="10"/>
      <color indexed="81"/>
      <name val="Tahoma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2" fillId="0" borderId="1" applyFill="0" applyAlignment="0" applyProtection="0">
      <alignment horizontal="center"/>
    </xf>
  </cellStyleXfs>
  <cellXfs count="22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3" fillId="0" borderId="2" xfId="0" applyFont="1" applyFill="1" applyBorder="1"/>
    <xf numFmtId="171" fontId="3" fillId="0" borderId="2" xfId="0" applyNumberFormat="1" applyFont="1" applyFill="1" applyBorder="1"/>
    <xf numFmtId="0" fontId="7" fillId="0" borderId="0" xfId="0" applyFont="1"/>
    <xf numFmtId="0" fontId="7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171" fontId="0" fillId="0" borderId="0" xfId="0" applyNumberFormat="1"/>
    <xf numFmtId="0" fontId="7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1" fontId="0" fillId="0" borderId="0" xfId="0" applyNumberFormat="1"/>
    <xf numFmtId="0" fontId="3" fillId="0" borderId="2" xfId="0" applyFont="1" applyFill="1" applyBorder="1" applyAlignment="1"/>
    <xf numFmtId="0" fontId="0" fillId="2" borderId="0" xfId="0" applyFill="1"/>
    <xf numFmtId="0" fontId="7" fillId="2" borderId="0" xfId="0" applyFont="1" applyFill="1"/>
    <xf numFmtId="0" fontId="0" fillId="2" borderId="0" xfId="0" applyFill="1" applyBorder="1"/>
    <xf numFmtId="0" fontId="8" fillId="0" borderId="0" xfId="0" applyFont="1"/>
    <xf numFmtId="0" fontId="0" fillId="0" borderId="0" xfId="0" applyFill="1"/>
    <xf numFmtId="43" fontId="0" fillId="0" borderId="0" xfId="1" applyFon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0" fontId="0" fillId="3" borderId="0" xfId="0" applyFill="1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7" fillId="2" borderId="2" xfId="0" applyFont="1" applyFill="1" applyBorder="1"/>
    <xf numFmtId="2" fontId="4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0" fontId="0" fillId="2" borderId="2" xfId="0" applyFill="1" applyBorder="1" applyAlignment="1">
      <alignment horizontal="center"/>
    </xf>
    <xf numFmtId="43" fontId="0" fillId="0" borderId="0" xfId="1" applyFont="1" applyBorder="1"/>
    <xf numFmtId="2" fontId="8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7" fillId="5" borderId="0" xfId="0" applyFont="1" applyFill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/>
    <xf numFmtId="0" fontId="8" fillId="2" borderId="2" xfId="0" applyFon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196" fontId="8" fillId="2" borderId="2" xfId="1" applyNumberFormat="1" applyFont="1" applyFill="1" applyBorder="1"/>
    <xf numFmtId="0" fontId="0" fillId="5" borderId="2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2" borderId="2" xfId="0" applyFill="1" applyBorder="1"/>
    <xf numFmtId="3" fontId="0" fillId="0" borderId="2" xfId="0" applyNumberFormat="1" applyFill="1" applyBorder="1"/>
    <xf numFmtId="196" fontId="0" fillId="2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7" xfId="0" applyBorder="1"/>
    <xf numFmtId="43" fontId="0" fillId="0" borderId="7" xfId="1" applyFont="1" applyBorder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1" fillId="0" borderId="2" xfId="0" applyFont="1" applyFill="1" applyBorder="1"/>
    <xf numFmtId="0" fontId="5" fillId="0" borderId="2" xfId="0" applyFont="1" applyFill="1" applyBorder="1"/>
    <xf numFmtId="0" fontId="0" fillId="3" borderId="2" xfId="0" applyFill="1" applyBorder="1" applyAlignment="1">
      <alignment horizontal="center"/>
    </xf>
    <xf numFmtId="0" fontId="3" fillId="0" borderId="2" xfId="0" applyFont="1" applyBorder="1"/>
    <xf numFmtId="0" fontId="3" fillId="2" borderId="2" xfId="0" applyFont="1" applyFill="1" applyBorder="1"/>
    <xf numFmtId="0" fontId="3" fillId="4" borderId="2" xfId="0" applyFont="1" applyFill="1" applyBorder="1"/>
    <xf numFmtId="0" fontId="1" fillId="0" borderId="2" xfId="0" applyFont="1" applyBorder="1"/>
    <xf numFmtId="4" fontId="3" fillId="0" borderId="2" xfId="0" applyNumberFormat="1" applyFont="1" applyFill="1" applyBorder="1"/>
    <xf numFmtId="196" fontId="3" fillId="0" borderId="2" xfId="1" applyNumberFormat="1" applyFont="1" applyFill="1" applyBorder="1"/>
    <xf numFmtId="171" fontId="3" fillId="0" borderId="2" xfId="0" applyNumberFormat="1" applyFont="1" applyBorder="1"/>
    <xf numFmtId="4" fontId="3" fillId="0" borderId="2" xfId="0" applyNumberFormat="1" applyFont="1" applyBorder="1"/>
    <xf numFmtId="196" fontId="3" fillId="8" borderId="2" xfId="1" applyNumberFormat="1" applyFont="1" applyFill="1" applyBorder="1"/>
    <xf numFmtId="0" fontId="7" fillId="0" borderId="2" xfId="0" applyFont="1" applyFill="1" applyBorder="1"/>
    <xf numFmtId="196" fontId="3" fillId="0" borderId="2" xfId="1" applyNumberFormat="1" applyFont="1" applyBorder="1"/>
    <xf numFmtId="0" fontId="12" fillId="0" borderId="2" xfId="0" applyFont="1" applyBorder="1"/>
    <xf numFmtId="171" fontId="7" fillId="0" borderId="2" xfId="0" applyNumberFormat="1" applyFont="1" applyBorder="1"/>
    <xf numFmtId="4" fontId="7" fillId="0" borderId="2" xfId="0" applyNumberFormat="1" applyFont="1" applyBorder="1"/>
    <xf numFmtId="7" fontId="13" fillId="0" borderId="2" xfId="0" applyNumberFormat="1" applyFont="1" applyBorder="1" applyAlignment="1">
      <alignment horizontal="center"/>
    </xf>
    <xf numFmtId="196" fontId="5" fillId="0" borderId="2" xfId="1" applyNumberFormat="1" applyFont="1" applyBorder="1"/>
    <xf numFmtId="0" fontId="0" fillId="6" borderId="0" xfId="0" applyFill="1"/>
    <xf numFmtId="2" fontId="0" fillId="2" borderId="0" xfId="0" applyNumberFormat="1" applyFill="1"/>
    <xf numFmtId="0" fontId="0" fillId="3" borderId="0" xfId="0" applyFill="1" applyBorder="1"/>
    <xf numFmtId="196" fontId="0" fillId="8" borderId="0" xfId="1" applyNumberFormat="1" applyFont="1" applyFill="1"/>
    <xf numFmtId="196" fontId="0" fillId="8" borderId="2" xfId="1" applyNumberFormat="1" applyFont="1" applyFill="1" applyBorder="1"/>
    <xf numFmtId="0" fontId="0" fillId="0" borderId="5" xfId="0" applyBorder="1"/>
    <xf numFmtId="171" fontId="0" fillId="0" borderId="3" xfId="0" applyNumberFormat="1" applyBorder="1"/>
    <xf numFmtId="171" fontId="0" fillId="8" borderId="0" xfId="0" applyNumberFormat="1" applyFill="1"/>
    <xf numFmtId="185" fontId="0" fillId="8" borderId="0" xfId="0" applyNumberFormat="1" applyFill="1"/>
    <xf numFmtId="4" fontId="0" fillId="0" borderId="7" xfId="0" applyNumberFormat="1" applyBorder="1"/>
    <xf numFmtId="3" fontId="0" fillId="4" borderId="2" xfId="0" applyNumberFormat="1" applyFill="1" applyBorder="1"/>
    <xf numFmtId="0" fontId="7" fillId="0" borderId="0" xfId="0" applyFont="1" applyBorder="1"/>
    <xf numFmtId="2" fontId="0" fillId="0" borderId="7" xfId="0" applyNumberFormat="1" applyBorder="1"/>
    <xf numFmtId="0" fontId="3" fillId="9" borderId="2" xfId="0" applyFont="1" applyFill="1" applyBorder="1"/>
    <xf numFmtId="0" fontId="11" fillId="9" borderId="2" xfId="0" applyFont="1" applyFill="1" applyBorder="1"/>
    <xf numFmtId="196" fontId="3" fillId="9" borderId="2" xfId="1" applyNumberFormat="1" applyFont="1" applyFill="1" applyBorder="1"/>
    <xf numFmtId="3" fontId="0" fillId="0" borderId="0" xfId="0" applyNumberFormat="1" applyBorder="1"/>
    <xf numFmtId="2" fontId="4" fillId="0" borderId="0" xfId="0" applyNumberFormat="1" applyFont="1" applyBorder="1"/>
    <xf numFmtId="185" fontId="0" fillId="0" borderId="0" xfId="0" applyNumberFormat="1" applyBorder="1"/>
    <xf numFmtId="0" fontId="7" fillId="10" borderId="0" xfId="0" applyFont="1" applyFill="1"/>
    <xf numFmtId="17" fontId="8" fillId="2" borderId="2" xfId="0" applyNumberFormat="1" applyFont="1" applyFill="1" applyBorder="1"/>
    <xf numFmtId="0" fontId="0" fillId="11" borderId="0" xfId="0" applyFill="1"/>
    <xf numFmtId="16" fontId="0" fillId="0" borderId="0" xfId="0" applyNumberFormat="1"/>
    <xf numFmtId="0" fontId="0" fillId="0" borderId="0" xfId="0" applyAlignment="1"/>
    <xf numFmtId="0" fontId="0" fillId="8" borderId="0" xfId="0" applyFill="1"/>
    <xf numFmtId="0" fontId="7" fillId="8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1" fillId="7" borderId="2" xfId="0" applyFont="1" applyFill="1" applyBorder="1"/>
    <xf numFmtId="3" fontId="0" fillId="12" borderId="2" xfId="0" applyNumberFormat="1" applyFill="1" applyBorder="1"/>
    <xf numFmtId="0" fontId="7" fillId="11" borderId="0" xfId="0" applyFont="1" applyFill="1"/>
    <xf numFmtId="0" fontId="4" fillId="2" borderId="5" xfId="0" applyFont="1" applyFill="1" applyBorder="1"/>
    <xf numFmtId="171" fontId="4" fillId="0" borderId="6" xfId="0" applyNumberFormat="1" applyFont="1" applyFill="1" applyBorder="1"/>
    <xf numFmtId="0" fontId="0" fillId="13" borderId="0" xfId="0" applyFill="1"/>
    <xf numFmtId="3" fontId="0" fillId="8" borderId="2" xfId="0" applyNumberFormat="1" applyFill="1" applyBorder="1"/>
    <xf numFmtId="0" fontId="0" fillId="14" borderId="2" xfId="0" applyFill="1" applyBorder="1"/>
    <xf numFmtId="196" fontId="0" fillId="14" borderId="2" xfId="1" applyNumberFormat="1" applyFont="1" applyFill="1" applyBorder="1"/>
    <xf numFmtId="0" fontId="3" fillId="14" borderId="2" xfId="0" applyFont="1" applyFill="1" applyBorder="1"/>
    <xf numFmtId="2" fontId="4" fillId="0" borderId="6" xfId="0" applyNumberFormat="1" applyFont="1" applyFill="1" applyBorder="1"/>
    <xf numFmtId="196" fontId="0" fillId="4" borderId="2" xfId="1" applyNumberFormat="1" applyFont="1" applyFill="1" applyBorder="1"/>
    <xf numFmtId="0" fontId="0" fillId="2" borderId="0" xfId="0" applyFill="1" applyAlignment="1">
      <alignment horizontal="center"/>
    </xf>
    <xf numFmtId="171" fontId="0" fillId="0" borderId="0" xfId="0" applyNumberFormat="1" applyBorder="1"/>
    <xf numFmtId="0" fontId="0" fillId="0" borderId="8" xfId="0" applyFill="1" applyBorder="1"/>
    <xf numFmtId="0" fontId="0" fillId="0" borderId="8" xfId="0" applyBorder="1"/>
    <xf numFmtId="1" fontId="4" fillId="0" borderId="0" xfId="0" applyNumberFormat="1" applyFont="1"/>
    <xf numFmtId="0" fontId="0" fillId="4" borderId="0" xfId="0" applyFill="1"/>
    <xf numFmtId="185" fontId="0" fillId="2" borderId="2" xfId="0" applyNumberFormat="1" applyFill="1" applyBorder="1"/>
    <xf numFmtId="17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/>
    <xf numFmtId="1" fontId="0" fillId="6" borderId="0" xfId="0" applyNumberFormat="1" applyFill="1"/>
    <xf numFmtId="0" fontId="5" fillId="3" borderId="2" xfId="0" applyFont="1" applyFill="1" applyBorder="1"/>
    <xf numFmtId="0" fontId="1" fillId="8" borderId="2" xfId="0" applyFont="1" applyFill="1" applyBorder="1"/>
    <xf numFmtId="0" fontId="0" fillId="9" borderId="2" xfId="0" applyFill="1" applyBorder="1"/>
    <xf numFmtId="0" fontId="7" fillId="5" borderId="2" xfId="0" applyFont="1" applyFill="1" applyBorder="1"/>
    <xf numFmtId="14" fontId="8" fillId="2" borderId="0" xfId="0" applyNumberFormat="1" applyFont="1" applyFill="1"/>
    <xf numFmtId="0" fontId="4" fillId="2" borderId="0" xfId="0" applyFont="1" applyFill="1"/>
    <xf numFmtId="0" fontId="0" fillId="9" borderId="0" xfId="0" applyFill="1"/>
    <xf numFmtId="0" fontId="0" fillId="10" borderId="0" xfId="0" applyFill="1" applyBorder="1"/>
    <xf numFmtId="171" fontId="3" fillId="4" borderId="2" xfId="0" applyNumberFormat="1" applyFont="1" applyFill="1" applyBorder="1"/>
    <xf numFmtId="0" fontId="0" fillId="15" borderId="0" xfId="0" applyFill="1"/>
    <xf numFmtId="3" fontId="0" fillId="0" borderId="7" xfId="0" applyNumberFormat="1" applyBorder="1"/>
    <xf numFmtId="4" fontId="0" fillId="16" borderId="2" xfId="0" applyNumberFormat="1" applyFill="1" applyBorder="1"/>
    <xf numFmtId="0" fontId="7" fillId="10" borderId="0" xfId="0" applyNumberFormat="1" applyFont="1" applyFill="1"/>
    <xf numFmtId="0" fontId="7" fillId="15" borderId="0" xfId="0" applyFont="1" applyFill="1"/>
    <xf numFmtId="0" fontId="3" fillId="8" borderId="2" xfId="0" applyFont="1" applyFill="1" applyBorder="1"/>
    <xf numFmtId="0" fontId="0" fillId="0" borderId="0" xfId="0" applyProtection="1">
      <protection locked="0"/>
    </xf>
    <xf numFmtId="0" fontId="3" fillId="3" borderId="2" xfId="0" applyFont="1" applyFill="1" applyBorder="1"/>
    <xf numFmtId="3" fontId="0" fillId="3" borderId="2" xfId="0" applyNumberFormat="1" applyFill="1" applyBorder="1"/>
    <xf numFmtId="196" fontId="0" fillId="3" borderId="2" xfId="1" applyNumberFormat="1" applyFont="1" applyFill="1" applyBorder="1"/>
    <xf numFmtId="171" fontId="0" fillId="3" borderId="2" xfId="0" applyNumberFormat="1" applyFill="1" applyBorder="1"/>
    <xf numFmtId="4" fontId="0" fillId="3" borderId="2" xfId="0" applyNumberFormat="1" applyFill="1" applyBorder="1"/>
    <xf numFmtId="171" fontId="0" fillId="4" borderId="2" xfId="0" applyNumberFormat="1" applyFill="1" applyBorder="1"/>
    <xf numFmtId="4" fontId="0" fillId="4" borderId="2" xfId="0" applyNumberFormat="1" applyFill="1" applyBorder="1"/>
    <xf numFmtId="4" fontId="3" fillId="4" borderId="2" xfId="0" applyNumberFormat="1" applyFont="1" applyFill="1" applyBorder="1"/>
    <xf numFmtId="22" fontId="0" fillId="0" borderId="0" xfId="0" applyNumberFormat="1"/>
    <xf numFmtId="1" fontId="0" fillId="2" borderId="2" xfId="0" applyNumberFormat="1" applyFill="1" applyBorder="1" applyAlignment="1"/>
    <xf numFmtId="1" fontId="0" fillId="2" borderId="0" xfId="0" applyNumberFormat="1" applyFill="1"/>
    <xf numFmtId="0" fontId="0" fillId="2" borderId="0" xfId="0" applyFill="1" applyProtection="1">
      <protection locked="0"/>
    </xf>
    <xf numFmtId="0" fontId="3" fillId="17" borderId="2" xfId="0" applyFont="1" applyFill="1" applyBorder="1"/>
    <xf numFmtId="0" fontId="9" fillId="3" borderId="0" xfId="0" applyFont="1" applyFill="1" applyBorder="1"/>
    <xf numFmtId="0" fontId="0" fillId="0" borderId="0" xfId="0" quotePrefix="1"/>
    <xf numFmtId="0" fontId="0" fillId="0" borderId="2" xfId="0" quotePrefix="1" applyFill="1" applyBorder="1" applyAlignment="1">
      <alignment horizontal="center"/>
    </xf>
    <xf numFmtId="0" fontId="8" fillId="0" borderId="2" xfId="0" applyFont="1" applyFill="1" applyBorder="1"/>
    <xf numFmtId="0" fontId="0" fillId="0" borderId="6" xfId="0" applyBorder="1"/>
    <xf numFmtId="213" fontId="0" fillId="5" borderId="0" xfId="0" applyNumberFormat="1" applyFill="1"/>
    <xf numFmtId="213" fontId="4" fillId="2" borderId="0" xfId="0" applyNumberFormat="1" applyFont="1" applyFill="1"/>
    <xf numFmtId="213" fontId="0" fillId="0" borderId="9" xfId="0" applyNumberFormat="1" applyFill="1" applyBorder="1"/>
    <xf numFmtId="213" fontId="0" fillId="0" borderId="0" xfId="0" applyNumberFormat="1" applyFill="1"/>
    <xf numFmtId="213" fontId="0" fillId="14" borderId="9" xfId="0" applyNumberFormat="1" applyFill="1" applyBorder="1"/>
    <xf numFmtId="0" fontId="0" fillId="17" borderId="2" xfId="0" applyFill="1" applyBorder="1"/>
    <xf numFmtId="213" fontId="0" fillId="17" borderId="9" xfId="0" applyNumberFormat="1" applyFill="1" applyBorder="1"/>
    <xf numFmtId="0" fontId="7" fillId="14" borderId="2" xfId="0" applyFont="1" applyFill="1" applyBorder="1"/>
    <xf numFmtId="213" fontId="0" fillId="13" borderId="9" xfId="0" applyNumberFormat="1" applyFill="1" applyBorder="1"/>
    <xf numFmtId="0" fontId="0" fillId="13" borderId="2" xfId="0" applyFill="1" applyBorder="1"/>
    <xf numFmtId="173" fontId="0" fillId="0" borderId="0" xfId="0" applyNumberFormat="1"/>
    <xf numFmtId="4" fontId="0" fillId="5" borderId="0" xfId="0" applyNumberFormat="1" applyFill="1" applyBorder="1"/>
    <xf numFmtId="0" fontId="0" fillId="4" borderId="2" xfId="0" quotePrefix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213" fontId="0" fillId="5" borderId="0" xfId="0" applyNumberFormat="1" applyFill="1" applyBorder="1"/>
    <xf numFmtId="213" fontId="0" fillId="0" borderId="2" xfId="0" applyNumberFormat="1" applyFill="1" applyBorder="1"/>
    <xf numFmtId="213" fontId="0" fillId="0" borderId="0" xfId="0" applyNumberFormat="1"/>
    <xf numFmtId="213" fontId="0" fillId="5" borderId="2" xfId="0" applyNumberFormat="1" applyFill="1" applyBorder="1"/>
    <xf numFmtId="4" fontId="7" fillId="5" borderId="0" xfId="0" applyNumberFormat="1" applyFont="1" applyFill="1" applyBorder="1"/>
    <xf numFmtId="4" fontId="7" fillId="5" borderId="2" xfId="0" applyNumberFormat="1" applyFont="1" applyFill="1" applyBorder="1"/>
    <xf numFmtId="4" fontId="7" fillId="0" borderId="0" xfId="0" applyNumberFormat="1" applyFont="1"/>
    <xf numFmtId="173" fontId="7" fillId="0" borderId="0" xfId="0" applyNumberFormat="1" applyFont="1"/>
    <xf numFmtId="4" fontId="0" fillId="18" borderId="2" xfId="0" applyNumberFormat="1" applyFill="1" applyBorder="1"/>
    <xf numFmtId="4" fontId="3" fillId="18" borderId="2" xfId="0" applyNumberFormat="1" applyFont="1" applyFill="1" applyBorder="1"/>
    <xf numFmtId="4" fontId="7" fillId="18" borderId="2" xfId="0" applyNumberFormat="1" applyFont="1" applyFill="1" applyBorder="1"/>
    <xf numFmtId="4" fontId="0" fillId="18" borderId="0" xfId="0" applyNumberFormat="1" applyFill="1"/>
    <xf numFmtId="173" fontId="0" fillId="18" borderId="0" xfId="0" applyNumberFormat="1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3">
    <cellStyle name="Comma" xfId="1" builtinId="3"/>
    <cellStyle name="headings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0"/>
  <sheetViews>
    <sheetView tabSelected="1" topLeftCell="A198" workbookViewId="0">
      <selection activeCell="D212" sqref="D212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9.5703125" bestFit="1" customWidth="1"/>
    <col min="4" max="4" width="45" bestFit="1" customWidth="1"/>
    <col min="5" max="5" width="10.85546875" style="31" bestFit="1" customWidth="1"/>
    <col min="6" max="6" width="10.140625" bestFit="1" customWidth="1"/>
  </cols>
  <sheetData>
    <row r="1" spans="1:6" x14ac:dyDescent="0.2">
      <c r="A1" s="33" t="s">
        <v>413</v>
      </c>
      <c r="B1" s="199" t="s">
        <v>414</v>
      </c>
      <c r="C1" s="33" t="s">
        <v>415</v>
      </c>
      <c r="D1" s="199" t="s">
        <v>416</v>
      </c>
      <c r="E1" s="206" t="s">
        <v>682</v>
      </c>
    </row>
    <row r="2" spans="1:6" x14ac:dyDescent="0.2">
      <c r="A2" s="3" t="s">
        <v>141</v>
      </c>
      <c r="B2" s="200" t="s">
        <v>258</v>
      </c>
      <c r="C2" s="4">
        <v>3326301</v>
      </c>
      <c r="D2" s="3" t="s">
        <v>259</v>
      </c>
      <c r="E2" s="201"/>
    </row>
    <row r="3" spans="1:6" x14ac:dyDescent="0.2">
      <c r="A3" s="3" t="s">
        <v>418</v>
      </c>
      <c r="B3" s="4" t="s">
        <v>477</v>
      </c>
      <c r="C3" s="4">
        <v>3505301</v>
      </c>
      <c r="D3" s="3" t="s">
        <v>478</v>
      </c>
      <c r="E3" s="201">
        <v>37257</v>
      </c>
      <c r="F3" s="201">
        <v>37257</v>
      </c>
    </row>
    <row r="4" spans="1:6" x14ac:dyDescent="0.2">
      <c r="A4" s="3" t="s">
        <v>418</v>
      </c>
      <c r="B4" s="4" t="s">
        <v>480</v>
      </c>
      <c r="C4" s="4">
        <v>3511801</v>
      </c>
      <c r="D4" s="3" t="s">
        <v>478</v>
      </c>
      <c r="E4" s="201">
        <v>37257</v>
      </c>
      <c r="F4" s="201">
        <v>37257</v>
      </c>
    </row>
    <row r="5" spans="1:6" x14ac:dyDescent="0.2">
      <c r="A5" s="3" t="s">
        <v>418</v>
      </c>
      <c r="B5" s="4" t="s">
        <v>481</v>
      </c>
      <c r="C5" s="4">
        <v>3516301</v>
      </c>
      <c r="D5" s="3" t="s">
        <v>478</v>
      </c>
      <c r="E5" s="201">
        <v>37257</v>
      </c>
      <c r="F5" s="201">
        <v>37257</v>
      </c>
    </row>
    <row r="6" spans="1:6" x14ac:dyDescent="0.2">
      <c r="A6" s="3" t="s">
        <v>418</v>
      </c>
      <c r="B6" s="4" t="s">
        <v>482</v>
      </c>
      <c r="C6" s="4">
        <v>3517001</v>
      </c>
      <c r="D6" s="3" t="s">
        <v>478</v>
      </c>
      <c r="E6" s="201">
        <v>37257</v>
      </c>
      <c r="F6" s="201">
        <v>37257</v>
      </c>
    </row>
    <row r="7" spans="1:6" x14ac:dyDescent="0.2">
      <c r="A7" s="3" t="s">
        <v>418</v>
      </c>
      <c r="B7" s="4" t="s">
        <v>483</v>
      </c>
      <c r="C7" s="4">
        <v>3522201</v>
      </c>
      <c r="D7" s="3" t="s">
        <v>478</v>
      </c>
      <c r="E7" s="201">
        <v>37257</v>
      </c>
      <c r="F7" s="201">
        <v>37257</v>
      </c>
    </row>
    <row r="8" spans="1:6" x14ac:dyDescent="0.2">
      <c r="A8" s="3" t="s">
        <v>418</v>
      </c>
      <c r="B8" s="4" t="s">
        <v>484</v>
      </c>
      <c r="C8" s="4">
        <v>3522901</v>
      </c>
      <c r="D8" s="3" t="s">
        <v>478</v>
      </c>
      <c r="E8" s="201">
        <v>37257</v>
      </c>
      <c r="F8" s="201">
        <v>37257</v>
      </c>
    </row>
    <row r="9" spans="1:6" x14ac:dyDescent="0.2">
      <c r="A9" s="3" t="s">
        <v>418</v>
      </c>
      <c r="B9" s="4" t="s">
        <v>485</v>
      </c>
      <c r="C9" s="4">
        <v>3528901</v>
      </c>
      <c r="D9" s="3" t="s">
        <v>478</v>
      </c>
      <c r="E9" s="201">
        <v>37257</v>
      </c>
      <c r="F9" s="201">
        <v>37257</v>
      </c>
    </row>
    <row r="10" spans="1:6" x14ac:dyDescent="0.2">
      <c r="A10" s="3" t="s">
        <v>418</v>
      </c>
      <c r="B10" s="4" t="s">
        <v>486</v>
      </c>
      <c r="C10" s="4">
        <v>3529001</v>
      </c>
      <c r="D10" s="3" t="s">
        <v>478</v>
      </c>
      <c r="E10" s="201">
        <v>37257</v>
      </c>
      <c r="F10" s="201">
        <v>37257</v>
      </c>
    </row>
    <row r="11" spans="1:6" x14ac:dyDescent="0.2">
      <c r="A11" s="3" t="s">
        <v>418</v>
      </c>
      <c r="B11" s="4" t="s">
        <v>487</v>
      </c>
      <c r="C11" s="4">
        <v>3529101</v>
      </c>
      <c r="D11" s="3" t="s">
        <v>478</v>
      </c>
      <c r="E11" s="201">
        <v>37257</v>
      </c>
      <c r="F11" s="201">
        <v>37257</v>
      </c>
    </row>
    <row r="12" spans="1:6" x14ac:dyDescent="0.2">
      <c r="A12" s="3" t="s">
        <v>418</v>
      </c>
      <c r="B12" s="4" t="s">
        <v>488</v>
      </c>
      <c r="C12" s="4">
        <v>3532301</v>
      </c>
      <c r="D12" s="3" t="s">
        <v>478</v>
      </c>
      <c r="E12" s="201">
        <v>37257</v>
      </c>
      <c r="F12" s="201">
        <v>37257</v>
      </c>
    </row>
    <row r="13" spans="1:6" x14ac:dyDescent="0.2">
      <c r="A13" s="3" t="s">
        <v>418</v>
      </c>
      <c r="B13" s="4" t="s">
        <v>490</v>
      </c>
      <c r="C13" s="4">
        <v>3540501</v>
      </c>
      <c r="D13" s="3" t="s">
        <v>478</v>
      </c>
      <c r="E13" s="201">
        <v>37257</v>
      </c>
      <c r="F13" s="201">
        <v>37257</v>
      </c>
    </row>
    <row r="14" spans="1:6" x14ac:dyDescent="0.2">
      <c r="A14" s="3" t="s">
        <v>418</v>
      </c>
      <c r="B14" s="4" t="s">
        <v>491</v>
      </c>
      <c r="C14" s="4">
        <v>3542401</v>
      </c>
      <c r="D14" s="3" t="s">
        <v>478</v>
      </c>
      <c r="E14" s="201">
        <v>37257</v>
      </c>
      <c r="F14" s="201">
        <v>37257</v>
      </c>
    </row>
    <row r="15" spans="1:6" x14ac:dyDescent="0.2">
      <c r="A15" s="3" t="s">
        <v>141</v>
      </c>
      <c r="B15" s="200" t="s">
        <v>219</v>
      </c>
      <c r="C15" s="4">
        <v>4044401</v>
      </c>
      <c r="D15" s="6" t="s">
        <v>26</v>
      </c>
      <c r="E15" s="203"/>
    </row>
    <row r="16" spans="1:6" x14ac:dyDescent="0.2">
      <c r="A16" s="3" t="s">
        <v>418</v>
      </c>
      <c r="B16" s="4" t="s">
        <v>497</v>
      </c>
      <c r="C16" s="4">
        <v>3559801</v>
      </c>
      <c r="D16" s="3" t="s">
        <v>111</v>
      </c>
      <c r="E16" s="201"/>
    </row>
    <row r="17" spans="1:5" x14ac:dyDescent="0.2">
      <c r="A17" s="3" t="s">
        <v>629</v>
      </c>
      <c r="B17" s="200" t="s">
        <v>630</v>
      </c>
      <c r="C17" s="4" t="s">
        <v>629</v>
      </c>
      <c r="D17" s="3" t="s">
        <v>631</v>
      </c>
      <c r="E17" s="201"/>
    </row>
    <row r="18" spans="1:5" x14ac:dyDescent="0.2">
      <c r="A18" s="3" t="s">
        <v>418</v>
      </c>
      <c r="B18" s="4" t="s">
        <v>430</v>
      </c>
      <c r="C18" s="4">
        <v>3008001</v>
      </c>
      <c r="D18" s="3" t="s">
        <v>607</v>
      </c>
      <c r="E18" s="201">
        <v>37257</v>
      </c>
    </row>
    <row r="19" spans="1:5" x14ac:dyDescent="0.2">
      <c r="A19" s="3" t="s">
        <v>418</v>
      </c>
      <c r="B19" s="4" t="s">
        <v>434</v>
      </c>
      <c r="C19" s="4">
        <v>3015901</v>
      </c>
      <c r="D19" s="3" t="s">
        <v>607</v>
      </c>
      <c r="E19" s="201">
        <v>37257</v>
      </c>
    </row>
    <row r="20" spans="1:5" x14ac:dyDescent="0.2">
      <c r="A20" s="3" t="s">
        <v>418</v>
      </c>
      <c r="B20" s="4" t="s">
        <v>492</v>
      </c>
      <c r="C20" s="4">
        <v>3543801</v>
      </c>
      <c r="D20" s="3" t="s">
        <v>607</v>
      </c>
      <c r="E20" s="201">
        <v>37257</v>
      </c>
    </row>
    <row r="21" spans="1:5" x14ac:dyDescent="0.2">
      <c r="A21" s="3" t="s">
        <v>418</v>
      </c>
      <c r="B21" s="4" t="s">
        <v>499</v>
      </c>
      <c r="C21" s="4">
        <v>3562701</v>
      </c>
      <c r="D21" s="3" t="s">
        <v>551</v>
      </c>
      <c r="E21" s="201"/>
    </row>
    <row r="22" spans="1:5" x14ac:dyDescent="0.2">
      <c r="A22" s="3" t="s">
        <v>141</v>
      </c>
      <c r="B22" s="200" t="s">
        <v>163</v>
      </c>
      <c r="C22" s="4">
        <v>3545501</v>
      </c>
      <c r="D22" s="3" t="s">
        <v>164</v>
      </c>
      <c r="E22" s="201"/>
    </row>
    <row r="23" spans="1:5" x14ac:dyDescent="0.2">
      <c r="A23" s="3" t="s">
        <v>141</v>
      </c>
      <c r="B23" s="200" t="s">
        <v>202</v>
      </c>
      <c r="C23" s="4">
        <v>4006101</v>
      </c>
      <c r="D23" s="3" t="s">
        <v>164</v>
      </c>
      <c r="E23" s="201"/>
    </row>
    <row r="24" spans="1:5" x14ac:dyDescent="0.2">
      <c r="A24" s="3" t="s">
        <v>141</v>
      </c>
      <c r="B24" s="200" t="s">
        <v>292</v>
      </c>
      <c r="C24" s="4">
        <v>4354601</v>
      </c>
      <c r="D24" s="3" t="s">
        <v>164</v>
      </c>
      <c r="E24" s="201"/>
    </row>
    <row r="25" spans="1:5" x14ac:dyDescent="0.2">
      <c r="A25" s="3" t="s">
        <v>141</v>
      </c>
      <c r="B25" s="200" t="s">
        <v>186</v>
      </c>
      <c r="C25" s="4">
        <v>4357101</v>
      </c>
      <c r="D25" s="3" t="s">
        <v>164</v>
      </c>
      <c r="E25" s="201"/>
    </row>
    <row r="26" spans="1:5" x14ac:dyDescent="0.2">
      <c r="A26" s="3" t="s">
        <v>141</v>
      </c>
      <c r="B26" s="200" t="s">
        <v>188</v>
      </c>
      <c r="C26" s="4">
        <v>4362701</v>
      </c>
      <c r="D26" s="3" t="s">
        <v>164</v>
      </c>
      <c r="E26" s="201"/>
    </row>
    <row r="27" spans="1:5" x14ac:dyDescent="0.2">
      <c r="A27" s="3" t="s">
        <v>141</v>
      </c>
      <c r="B27" s="200" t="s">
        <v>192</v>
      </c>
      <c r="C27" s="4">
        <v>4366601</v>
      </c>
      <c r="D27" s="3" t="s">
        <v>164</v>
      </c>
      <c r="E27" s="201"/>
    </row>
    <row r="28" spans="1:5" x14ac:dyDescent="0.2">
      <c r="A28" s="3" t="s">
        <v>629</v>
      </c>
      <c r="B28" s="200" t="s">
        <v>637</v>
      </c>
      <c r="C28" s="4" t="s">
        <v>629</v>
      </c>
      <c r="D28" s="3" t="s">
        <v>164</v>
      </c>
      <c r="E28" s="201"/>
    </row>
    <row r="29" spans="1:5" x14ac:dyDescent="0.2">
      <c r="A29" s="3" t="s">
        <v>141</v>
      </c>
      <c r="B29" s="200" t="s">
        <v>173</v>
      </c>
      <c r="C29" s="4">
        <v>3565301</v>
      </c>
      <c r="D29" s="3" t="s">
        <v>638</v>
      </c>
      <c r="E29" s="201"/>
    </row>
    <row r="30" spans="1:5" x14ac:dyDescent="0.2">
      <c r="A30" s="3" t="s">
        <v>418</v>
      </c>
      <c r="B30" s="4" t="s">
        <v>419</v>
      </c>
      <c r="C30" s="4">
        <v>1055201</v>
      </c>
      <c r="D30" s="3" t="s">
        <v>420</v>
      </c>
      <c r="E30" s="201">
        <v>37228</v>
      </c>
    </row>
    <row r="31" spans="1:5" x14ac:dyDescent="0.2">
      <c r="A31" s="3" t="s">
        <v>418</v>
      </c>
      <c r="B31" s="4" t="s">
        <v>421</v>
      </c>
      <c r="C31" s="4">
        <v>1058501</v>
      </c>
      <c r="D31" s="3" t="s">
        <v>420</v>
      </c>
      <c r="E31" s="201">
        <v>37228</v>
      </c>
    </row>
    <row r="32" spans="1:5" x14ac:dyDescent="0.2">
      <c r="A32" s="3" t="s">
        <v>418</v>
      </c>
      <c r="B32" s="4" t="s">
        <v>422</v>
      </c>
      <c r="C32" s="4">
        <v>1059901</v>
      </c>
      <c r="D32" s="3" t="s">
        <v>420</v>
      </c>
      <c r="E32" s="201">
        <v>37228</v>
      </c>
    </row>
    <row r="33" spans="1:5" x14ac:dyDescent="0.2">
      <c r="A33" s="3" t="s">
        <v>418</v>
      </c>
      <c r="B33" s="4" t="s">
        <v>423</v>
      </c>
      <c r="C33" s="4">
        <v>1063501</v>
      </c>
      <c r="D33" s="3" t="s">
        <v>420</v>
      </c>
      <c r="E33" s="201">
        <v>37228</v>
      </c>
    </row>
    <row r="34" spans="1:5" x14ac:dyDescent="0.2">
      <c r="A34" s="3" t="s">
        <v>418</v>
      </c>
      <c r="B34" s="4" t="s">
        <v>433</v>
      </c>
      <c r="C34" s="4">
        <v>3014901</v>
      </c>
      <c r="D34" s="3" t="s">
        <v>420</v>
      </c>
      <c r="E34" s="201">
        <v>37228</v>
      </c>
    </row>
    <row r="35" spans="1:5" x14ac:dyDescent="0.2">
      <c r="A35" s="3" t="s">
        <v>438</v>
      </c>
      <c r="B35" s="4" t="s">
        <v>439</v>
      </c>
      <c r="C35" s="4">
        <v>3021701</v>
      </c>
      <c r="D35" s="3" t="s">
        <v>420</v>
      </c>
      <c r="E35" s="201">
        <v>37228</v>
      </c>
    </row>
    <row r="36" spans="1:5" x14ac:dyDescent="0.2">
      <c r="A36" s="3" t="s">
        <v>438</v>
      </c>
      <c r="B36" s="4" t="s">
        <v>440</v>
      </c>
      <c r="C36" s="4">
        <v>3023201</v>
      </c>
      <c r="D36" s="3" t="s">
        <v>420</v>
      </c>
      <c r="E36" s="201">
        <v>37228</v>
      </c>
    </row>
    <row r="37" spans="1:5" x14ac:dyDescent="0.2">
      <c r="A37" s="3" t="s">
        <v>418</v>
      </c>
      <c r="B37" s="4" t="s">
        <v>441</v>
      </c>
      <c r="C37" s="4">
        <v>3023401</v>
      </c>
      <c r="D37" s="3" t="s">
        <v>420</v>
      </c>
      <c r="E37" s="201">
        <v>37228</v>
      </c>
    </row>
    <row r="38" spans="1:5" x14ac:dyDescent="0.2">
      <c r="A38" s="3" t="s">
        <v>418</v>
      </c>
      <c r="B38" s="4" t="s">
        <v>442</v>
      </c>
      <c r="C38" s="4">
        <v>3024701</v>
      </c>
      <c r="D38" s="3" t="s">
        <v>420</v>
      </c>
      <c r="E38" s="201">
        <v>37228</v>
      </c>
    </row>
    <row r="39" spans="1:5" x14ac:dyDescent="0.2">
      <c r="A39" s="3" t="s">
        <v>418</v>
      </c>
      <c r="B39" s="4" t="s">
        <v>443</v>
      </c>
      <c r="C39" s="4">
        <v>3024901</v>
      </c>
      <c r="D39" s="3" t="s">
        <v>420</v>
      </c>
      <c r="E39" s="201">
        <v>37228</v>
      </c>
    </row>
    <row r="40" spans="1:5" x14ac:dyDescent="0.2">
      <c r="A40" s="3" t="s">
        <v>418</v>
      </c>
      <c r="B40" s="4" t="s">
        <v>444</v>
      </c>
      <c r="C40" s="4">
        <v>3025701</v>
      </c>
      <c r="D40" s="3" t="s">
        <v>420</v>
      </c>
      <c r="E40" s="201">
        <v>37228</v>
      </c>
    </row>
    <row r="41" spans="1:5" x14ac:dyDescent="0.2">
      <c r="A41" s="3" t="s">
        <v>418</v>
      </c>
      <c r="B41" s="4" t="s">
        <v>581</v>
      </c>
      <c r="C41" s="4">
        <v>3026101</v>
      </c>
      <c r="D41" s="3" t="s">
        <v>420</v>
      </c>
      <c r="E41" s="201">
        <v>37228</v>
      </c>
    </row>
    <row r="42" spans="1:5" x14ac:dyDescent="0.2">
      <c r="A42" s="3" t="s">
        <v>418</v>
      </c>
      <c r="B42" s="4" t="s">
        <v>445</v>
      </c>
      <c r="C42" s="4">
        <v>3026401</v>
      </c>
      <c r="D42" s="3" t="s">
        <v>420</v>
      </c>
      <c r="E42" s="201">
        <v>37228</v>
      </c>
    </row>
    <row r="43" spans="1:5" x14ac:dyDescent="0.2">
      <c r="A43" s="3" t="s">
        <v>418</v>
      </c>
      <c r="B43" s="4" t="s">
        <v>446</v>
      </c>
      <c r="C43" s="4">
        <v>3026601</v>
      </c>
      <c r="D43" s="3" t="s">
        <v>420</v>
      </c>
      <c r="E43" s="201">
        <v>37228</v>
      </c>
    </row>
    <row r="44" spans="1:5" x14ac:dyDescent="0.2">
      <c r="A44" s="3" t="s">
        <v>418</v>
      </c>
      <c r="B44" s="4" t="s">
        <v>447</v>
      </c>
      <c r="C44" s="4">
        <v>3029601</v>
      </c>
      <c r="D44" s="3" t="s">
        <v>420</v>
      </c>
      <c r="E44" s="201">
        <v>37228</v>
      </c>
    </row>
    <row r="45" spans="1:5" x14ac:dyDescent="0.2">
      <c r="A45" s="3" t="s">
        <v>418</v>
      </c>
      <c r="B45" s="4" t="s">
        <v>448</v>
      </c>
      <c r="C45" s="4">
        <v>3029801</v>
      </c>
      <c r="D45" s="3" t="s">
        <v>420</v>
      </c>
      <c r="E45" s="201">
        <v>37228</v>
      </c>
    </row>
    <row r="46" spans="1:5" x14ac:dyDescent="0.2">
      <c r="A46" s="3" t="s">
        <v>418</v>
      </c>
      <c r="B46" s="4" t="s">
        <v>449</v>
      </c>
      <c r="C46" s="4">
        <v>3031301</v>
      </c>
      <c r="D46" s="3" t="s">
        <v>420</v>
      </c>
      <c r="E46" s="201">
        <v>37228</v>
      </c>
    </row>
    <row r="47" spans="1:5" x14ac:dyDescent="0.2">
      <c r="A47" s="3" t="s">
        <v>418</v>
      </c>
      <c r="B47" s="4" t="s">
        <v>450</v>
      </c>
      <c r="C47" s="4">
        <v>3031701</v>
      </c>
      <c r="D47" s="3" t="s">
        <v>420</v>
      </c>
      <c r="E47" s="201">
        <v>37228</v>
      </c>
    </row>
    <row r="48" spans="1:5" x14ac:dyDescent="0.2">
      <c r="A48" s="3" t="s">
        <v>418</v>
      </c>
      <c r="B48" s="4" t="s">
        <v>451</v>
      </c>
      <c r="C48" s="4">
        <v>3033601</v>
      </c>
      <c r="D48" s="3" t="s">
        <v>420</v>
      </c>
      <c r="E48" s="201">
        <v>37228</v>
      </c>
    </row>
    <row r="49" spans="1:6" x14ac:dyDescent="0.2">
      <c r="A49" s="3" t="s">
        <v>418</v>
      </c>
      <c r="B49" s="4" t="s">
        <v>452</v>
      </c>
      <c r="C49" s="4">
        <v>3034501</v>
      </c>
      <c r="D49" s="3" t="s">
        <v>420</v>
      </c>
      <c r="E49" s="201">
        <v>37228</v>
      </c>
    </row>
    <row r="50" spans="1:6" x14ac:dyDescent="0.2">
      <c r="A50" s="3" t="s">
        <v>418</v>
      </c>
      <c r="B50" s="4" t="s">
        <v>453</v>
      </c>
      <c r="C50" s="4">
        <v>3038001</v>
      </c>
      <c r="D50" s="3" t="s">
        <v>420</v>
      </c>
      <c r="E50" s="201">
        <v>37228</v>
      </c>
    </row>
    <row r="51" spans="1:6" x14ac:dyDescent="0.2">
      <c r="A51" s="3" t="s">
        <v>418</v>
      </c>
      <c r="B51" s="4" t="s">
        <v>463</v>
      </c>
      <c r="C51" s="4">
        <v>3209901</v>
      </c>
      <c r="D51" s="3" t="s">
        <v>420</v>
      </c>
      <c r="E51" s="201">
        <v>37228</v>
      </c>
    </row>
    <row r="52" spans="1:6" x14ac:dyDescent="0.2">
      <c r="A52" s="3" t="s">
        <v>418</v>
      </c>
      <c r="B52" s="4" t="s">
        <v>466</v>
      </c>
      <c r="C52" s="4">
        <v>3297001</v>
      </c>
      <c r="D52" s="3" t="s">
        <v>420</v>
      </c>
      <c r="E52" s="201">
        <v>37228</v>
      </c>
    </row>
    <row r="53" spans="1:6" x14ac:dyDescent="0.2">
      <c r="A53" s="3" t="s">
        <v>418</v>
      </c>
      <c r="B53" s="4" t="s">
        <v>467</v>
      </c>
      <c r="C53" s="4">
        <v>3297001</v>
      </c>
      <c r="D53" s="3" t="s">
        <v>420</v>
      </c>
      <c r="E53" s="201">
        <v>37228</v>
      </c>
    </row>
    <row r="54" spans="1:6" x14ac:dyDescent="0.2">
      <c r="A54" s="3" t="s">
        <v>418</v>
      </c>
      <c r="B54" s="4" t="s">
        <v>582</v>
      </c>
      <c r="C54" s="4">
        <v>3312501</v>
      </c>
      <c r="D54" s="3" t="s">
        <v>420</v>
      </c>
      <c r="E54" s="201">
        <v>37228</v>
      </c>
    </row>
    <row r="55" spans="1:6" x14ac:dyDescent="0.2">
      <c r="A55" s="3" t="s">
        <v>418</v>
      </c>
      <c r="B55" s="4" t="s">
        <v>469</v>
      </c>
      <c r="C55" s="4">
        <v>3313401</v>
      </c>
      <c r="D55" s="3" t="s">
        <v>420</v>
      </c>
      <c r="E55" s="201">
        <v>37228</v>
      </c>
    </row>
    <row r="56" spans="1:6" x14ac:dyDescent="0.2">
      <c r="A56" s="3" t="s">
        <v>418</v>
      </c>
      <c r="B56" s="4" t="s">
        <v>494</v>
      </c>
      <c r="C56" s="4">
        <v>3549701</v>
      </c>
      <c r="D56" s="3" t="s">
        <v>420</v>
      </c>
      <c r="E56" s="201">
        <v>37228</v>
      </c>
    </row>
    <row r="57" spans="1:6" x14ac:dyDescent="0.2">
      <c r="A57" s="3" t="s">
        <v>418</v>
      </c>
      <c r="B57" s="4" t="s">
        <v>495</v>
      </c>
      <c r="C57" s="4">
        <v>3552201</v>
      </c>
      <c r="D57" s="3" t="s">
        <v>420</v>
      </c>
      <c r="E57" s="201">
        <v>37228</v>
      </c>
    </row>
    <row r="58" spans="1:6" x14ac:dyDescent="0.2">
      <c r="A58" s="3" t="s">
        <v>418</v>
      </c>
      <c r="B58" s="4" t="s">
        <v>496</v>
      </c>
      <c r="C58" s="4">
        <v>3557101</v>
      </c>
      <c r="D58" s="3" t="s">
        <v>420</v>
      </c>
      <c r="E58" s="201">
        <v>37228</v>
      </c>
    </row>
    <row r="59" spans="1:6" x14ac:dyDescent="0.2">
      <c r="A59" s="3" t="s">
        <v>418</v>
      </c>
      <c r="B59" s="4" t="s">
        <v>432</v>
      </c>
      <c r="C59" s="4">
        <v>3013701</v>
      </c>
      <c r="D59" s="3" t="s">
        <v>553</v>
      </c>
      <c r="E59" s="201">
        <v>37228</v>
      </c>
      <c r="F59" s="31">
        <v>37228</v>
      </c>
    </row>
    <row r="60" spans="1:6" x14ac:dyDescent="0.2">
      <c r="A60" s="3" t="s">
        <v>418</v>
      </c>
      <c r="B60" s="4" t="s">
        <v>456</v>
      </c>
      <c r="C60" s="4">
        <v>3095101</v>
      </c>
      <c r="D60" s="3" t="s">
        <v>553</v>
      </c>
      <c r="E60" s="201">
        <v>37228</v>
      </c>
      <c r="F60" s="31">
        <v>37228</v>
      </c>
    </row>
    <row r="61" spans="1:6" x14ac:dyDescent="0.2">
      <c r="A61" s="3" t="s">
        <v>418</v>
      </c>
      <c r="B61" s="4" t="s">
        <v>458</v>
      </c>
      <c r="C61" s="4">
        <v>3130501</v>
      </c>
      <c r="D61" s="3" t="s">
        <v>553</v>
      </c>
      <c r="E61" s="201">
        <v>37228</v>
      </c>
      <c r="F61" s="31">
        <v>37228</v>
      </c>
    </row>
    <row r="62" spans="1:6" x14ac:dyDescent="0.2">
      <c r="A62" s="3" t="s">
        <v>418</v>
      </c>
      <c r="B62" s="4" t="s">
        <v>460</v>
      </c>
      <c r="C62" s="4">
        <v>3141701</v>
      </c>
      <c r="D62" s="3" t="s">
        <v>553</v>
      </c>
      <c r="E62" s="201">
        <v>37228</v>
      </c>
      <c r="F62" s="31">
        <v>37228</v>
      </c>
    </row>
    <row r="63" spans="1:6" x14ac:dyDescent="0.2">
      <c r="A63" s="3" t="s">
        <v>438</v>
      </c>
      <c r="B63" s="4" t="s">
        <v>470</v>
      </c>
      <c r="C63" s="4">
        <v>3421301</v>
      </c>
      <c r="D63" s="3" t="s">
        <v>553</v>
      </c>
      <c r="E63" s="201">
        <v>37228</v>
      </c>
      <c r="F63" s="31">
        <v>37228</v>
      </c>
    </row>
    <row r="64" spans="1:6" x14ac:dyDescent="0.2">
      <c r="A64" s="3" t="s">
        <v>438</v>
      </c>
      <c r="B64" s="4" t="s">
        <v>471</v>
      </c>
      <c r="C64" s="4">
        <v>3421301</v>
      </c>
      <c r="D64" s="3" t="s">
        <v>553</v>
      </c>
      <c r="E64" s="201"/>
      <c r="F64" s="31">
        <v>37228</v>
      </c>
    </row>
    <row r="65" spans="1:6" x14ac:dyDescent="0.2">
      <c r="A65" s="3" t="s">
        <v>418</v>
      </c>
      <c r="B65" s="4" t="s">
        <v>472</v>
      </c>
      <c r="C65" s="4">
        <v>3425201</v>
      </c>
      <c r="D65" s="3" t="s">
        <v>553</v>
      </c>
      <c r="E65" s="201">
        <v>37228</v>
      </c>
      <c r="F65" s="31">
        <v>37228</v>
      </c>
    </row>
    <row r="66" spans="1:6" x14ac:dyDescent="0.2">
      <c r="A66" s="3" t="s">
        <v>418</v>
      </c>
      <c r="B66" s="4" t="s">
        <v>473</v>
      </c>
      <c r="C66" s="4">
        <v>3425201</v>
      </c>
      <c r="D66" s="3" t="s">
        <v>553</v>
      </c>
      <c r="E66" s="201"/>
      <c r="F66" s="31">
        <v>37228</v>
      </c>
    </row>
    <row r="67" spans="1:6" x14ac:dyDescent="0.2">
      <c r="A67" s="3" t="s">
        <v>438</v>
      </c>
      <c r="B67" s="4" t="s">
        <v>474</v>
      </c>
      <c r="C67" s="4">
        <v>3425901</v>
      </c>
      <c r="D67" s="3" t="s">
        <v>553</v>
      </c>
      <c r="E67" s="201">
        <v>37228</v>
      </c>
      <c r="F67" s="31">
        <v>37228</v>
      </c>
    </row>
    <row r="68" spans="1:6" x14ac:dyDescent="0.2">
      <c r="A68" s="3" t="s">
        <v>418</v>
      </c>
      <c r="B68" s="4" t="s">
        <v>475</v>
      </c>
      <c r="C68" s="4">
        <v>3472501</v>
      </c>
      <c r="D68" s="3" t="s">
        <v>553</v>
      </c>
      <c r="E68" s="201">
        <v>37228</v>
      </c>
      <c r="F68" s="31">
        <v>37228</v>
      </c>
    </row>
    <row r="69" spans="1:6" x14ac:dyDescent="0.2">
      <c r="A69" s="3" t="s">
        <v>418</v>
      </c>
      <c r="B69" s="4" t="s">
        <v>476</v>
      </c>
      <c r="C69" s="4">
        <v>3472501</v>
      </c>
      <c r="D69" s="3" t="s">
        <v>553</v>
      </c>
      <c r="E69" s="201"/>
      <c r="F69" s="31">
        <v>37228</v>
      </c>
    </row>
    <row r="70" spans="1:6" x14ac:dyDescent="0.2">
      <c r="A70" s="3" t="s">
        <v>418</v>
      </c>
      <c r="B70" s="4" t="s">
        <v>489</v>
      </c>
      <c r="C70" s="4">
        <v>3539901</v>
      </c>
      <c r="D70" s="3" t="s">
        <v>553</v>
      </c>
      <c r="E70" s="201">
        <v>37228</v>
      </c>
      <c r="F70" s="31">
        <v>37228</v>
      </c>
    </row>
    <row r="71" spans="1:6" x14ac:dyDescent="0.2">
      <c r="A71" s="3" t="s">
        <v>141</v>
      </c>
      <c r="B71" s="200" t="s">
        <v>142</v>
      </c>
      <c r="C71" s="4">
        <v>2150501</v>
      </c>
      <c r="D71" s="3" t="s">
        <v>143</v>
      </c>
      <c r="E71" s="201">
        <v>37256</v>
      </c>
      <c r="F71" s="31">
        <v>37256</v>
      </c>
    </row>
    <row r="72" spans="1:6" x14ac:dyDescent="0.2">
      <c r="A72" s="3" t="s">
        <v>122</v>
      </c>
      <c r="B72" s="200" t="s">
        <v>123</v>
      </c>
      <c r="C72" s="4">
        <v>4092601</v>
      </c>
      <c r="D72" s="3" t="s">
        <v>119</v>
      </c>
      <c r="E72" s="201">
        <v>37257</v>
      </c>
    </row>
    <row r="73" spans="1:6" x14ac:dyDescent="0.2">
      <c r="A73" s="3" t="s">
        <v>113</v>
      </c>
      <c r="B73" s="200" t="s">
        <v>118</v>
      </c>
      <c r="C73" s="4">
        <v>4133001</v>
      </c>
      <c r="D73" s="3" t="s">
        <v>119</v>
      </c>
      <c r="E73" s="201">
        <v>37257</v>
      </c>
    </row>
    <row r="74" spans="1:6" x14ac:dyDescent="0.2">
      <c r="A74" s="3" t="s">
        <v>141</v>
      </c>
      <c r="B74" s="200" t="s">
        <v>241</v>
      </c>
      <c r="C74" s="4">
        <v>3290902</v>
      </c>
      <c r="D74" s="3" t="s">
        <v>242</v>
      </c>
      <c r="E74" s="201">
        <v>37228</v>
      </c>
      <c r="F74" s="31">
        <v>37228</v>
      </c>
    </row>
    <row r="75" spans="1:6" x14ac:dyDescent="0.2">
      <c r="A75" s="3" t="s">
        <v>141</v>
      </c>
      <c r="B75" s="200" t="s">
        <v>150</v>
      </c>
      <c r="C75" s="4">
        <v>3423501</v>
      </c>
      <c r="D75" s="3" t="s">
        <v>616</v>
      </c>
      <c r="E75" s="201"/>
    </row>
    <row r="76" spans="1:6" x14ac:dyDescent="0.2">
      <c r="A76" s="3" t="s">
        <v>141</v>
      </c>
      <c r="B76" s="200" t="s">
        <v>152</v>
      </c>
      <c r="C76" s="4">
        <v>3423601</v>
      </c>
      <c r="D76" s="3" t="s">
        <v>616</v>
      </c>
      <c r="E76" s="201"/>
    </row>
    <row r="77" spans="1:6" x14ac:dyDescent="0.2">
      <c r="A77" s="3" t="s">
        <v>141</v>
      </c>
      <c r="B77" s="200" t="s">
        <v>153</v>
      </c>
      <c r="C77" s="4">
        <v>3423701</v>
      </c>
      <c r="D77" s="3" t="s">
        <v>616</v>
      </c>
      <c r="E77" s="201"/>
    </row>
    <row r="78" spans="1:6" x14ac:dyDescent="0.2">
      <c r="A78" s="3" t="s">
        <v>141</v>
      </c>
      <c r="B78" s="200" t="s">
        <v>154</v>
      </c>
      <c r="C78" s="4">
        <v>3423801</v>
      </c>
      <c r="D78" s="3" t="s">
        <v>616</v>
      </c>
      <c r="E78" s="201"/>
    </row>
    <row r="79" spans="1:6" x14ac:dyDescent="0.2">
      <c r="A79" s="3" t="s">
        <v>141</v>
      </c>
      <c r="B79" s="200" t="s">
        <v>157</v>
      </c>
      <c r="C79" s="4">
        <v>3429601</v>
      </c>
      <c r="D79" s="3" t="s">
        <v>616</v>
      </c>
      <c r="E79" s="201"/>
    </row>
    <row r="80" spans="1:6" x14ac:dyDescent="0.2">
      <c r="A80" s="3" t="s">
        <v>296</v>
      </c>
      <c r="B80" s="200" t="s">
        <v>299</v>
      </c>
      <c r="C80" s="4">
        <v>3478201</v>
      </c>
      <c r="D80" s="3" t="s">
        <v>616</v>
      </c>
      <c r="E80" s="201"/>
    </row>
    <row r="81" spans="1:6" x14ac:dyDescent="0.2">
      <c r="A81" s="3" t="s">
        <v>141</v>
      </c>
      <c r="B81" s="200" t="s">
        <v>158</v>
      </c>
      <c r="C81" s="4">
        <v>3502801</v>
      </c>
      <c r="D81" s="3" t="s">
        <v>616</v>
      </c>
      <c r="E81" s="201"/>
    </row>
    <row r="82" spans="1:6" x14ac:dyDescent="0.2">
      <c r="A82" s="3" t="s">
        <v>141</v>
      </c>
      <c r="B82" s="200" t="s">
        <v>155</v>
      </c>
      <c r="C82" s="4">
        <v>3428401</v>
      </c>
      <c r="D82" s="3" t="s">
        <v>642</v>
      </c>
      <c r="E82" s="201"/>
    </row>
    <row r="83" spans="1:6" x14ac:dyDescent="0.2">
      <c r="A83" s="3" t="s">
        <v>141</v>
      </c>
      <c r="B83" s="200" t="s">
        <v>156</v>
      </c>
      <c r="C83" s="4">
        <v>3429001</v>
      </c>
      <c r="D83" s="3" t="s">
        <v>642</v>
      </c>
      <c r="E83" s="201"/>
    </row>
    <row r="84" spans="1:6" x14ac:dyDescent="0.2">
      <c r="A84" s="3" t="s">
        <v>141</v>
      </c>
      <c r="B84" s="200" t="s">
        <v>270</v>
      </c>
      <c r="C84" s="4">
        <v>3284701</v>
      </c>
      <c r="D84" s="3" t="s">
        <v>24</v>
      </c>
      <c r="E84" s="201"/>
    </row>
    <row r="85" spans="1:6" x14ac:dyDescent="0.2">
      <c r="A85" s="3" t="s">
        <v>427</v>
      </c>
      <c r="B85" s="4" t="s">
        <v>428</v>
      </c>
      <c r="C85" s="4">
        <v>2096101</v>
      </c>
      <c r="D85" s="3" t="s">
        <v>429</v>
      </c>
      <c r="E85" s="201"/>
    </row>
    <row r="86" spans="1:6" x14ac:dyDescent="0.2">
      <c r="A86" s="3" t="s">
        <v>427</v>
      </c>
      <c r="B86" s="4" t="s">
        <v>584</v>
      </c>
      <c r="C86" s="4">
        <v>2159601</v>
      </c>
      <c r="D86" s="3" t="s">
        <v>429</v>
      </c>
      <c r="E86" s="201"/>
    </row>
    <row r="87" spans="1:6" x14ac:dyDescent="0.2">
      <c r="A87" s="3" t="s">
        <v>418</v>
      </c>
      <c r="B87" s="4" t="s">
        <v>524</v>
      </c>
      <c r="C87" s="4">
        <v>4333601</v>
      </c>
      <c r="D87" s="3" t="s">
        <v>557</v>
      </c>
      <c r="E87" s="201"/>
    </row>
    <row r="88" spans="1:6" x14ac:dyDescent="0.2">
      <c r="A88" s="3" t="s">
        <v>435</v>
      </c>
      <c r="B88" s="202" t="s">
        <v>436</v>
      </c>
      <c r="C88" s="202">
        <v>3017201</v>
      </c>
      <c r="D88" s="3" t="s">
        <v>556</v>
      </c>
      <c r="E88" s="201">
        <v>37228</v>
      </c>
    </row>
    <row r="89" spans="1:6" x14ac:dyDescent="0.2">
      <c r="A89" s="3" t="s">
        <v>435</v>
      </c>
      <c r="B89" s="4" t="s">
        <v>459</v>
      </c>
      <c r="C89" s="4">
        <v>3139001</v>
      </c>
      <c r="D89" s="3" t="s">
        <v>556</v>
      </c>
      <c r="E89" s="201">
        <v>37228</v>
      </c>
    </row>
    <row r="90" spans="1:6" x14ac:dyDescent="0.2">
      <c r="A90" s="3" t="s">
        <v>514</v>
      </c>
      <c r="B90" s="4" t="s">
        <v>515</v>
      </c>
      <c r="C90" s="4">
        <v>4085901</v>
      </c>
      <c r="D90" s="3" t="s">
        <v>556</v>
      </c>
      <c r="E90" s="201">
        <v>37228</v>
      </c>
    </row>
    <row r="91" spans="1:6" x14ac:dyDescent="0.2">
      <c r="A91" s="3" t="s">
        <v>310</v>
      </c>
      <c r="B91" s="200" t="s">
        <v>311</v>
      </c>
      <c r="C91" s="4">
        <v>3134901</v>
      </c>
      <c r="D91" s="3" t="s">
        <v>366</v>
      </c>
      <c r="E91" s="201">
        <v>37256</v>
      </c>
      <c r="F91" s="201">
        <v>37256</v>
      </c>
    </row>
    <row r="92" spans="1:6" x14ac:dyDescent="0.2">
      <c r="A92" s="3" t="s">
        <v>113</v>
      </c>
      <c r="B92" s="4" t="s">
        <v>365</v>
      </c>
      <c r="C92" s="4">
        <v>4132101</v>
      </c>
      <c r="D92" s="3" t="s">
        <v>366</v>
      </c>
      <c r="E92" s="201">
        <v>37256</v>
      </c>
      <c r="F92" s="201">
        <v>37256</v>
      </c>
    </row>
    <row r="93" spans="1:6" x14ac:dyDescent="0.2">
      <c r="A93" s="3" t="s">
        <v>113</v>
      </c>
      <c r="B93" s="4" t="s">
        <v>367</v>
      </c>
      <c r="C93" s="4">
        <v>4132201</v>
      </c>
      <c r="D93" s="3" t="s">
        <v>366</v>
      </c>
      <c r="E93" s="201">
        <v>37256</v>
      </c>
      <c r="F93" s="201">
        <v>37256</v>
      </c>
    </row>
    <row r="94" spans="1:6" x14ac:dyDescent="0.2">
      <c r="A94" s="3" t="s">
        <v>113</v>
      </c>
      <c r="B94" s="4" t="s">
        <v>368</v>
      </c>
      <c r="C94" s="4">
        <v>4134301</v>
      </c>
      <c r="D94" s="3" t="s">
        <v>366</v>
      </c>
      <c r="E94" s="201">
        <v>37256</v>
      </c>
      <c r="F94" s="201">
        <v>37256</v>
      </c>
    </row>
    <row r="95" spans="1:6" x14ac:dyDescent="0.2">
      <c r="A95" s="3" t="s">
        <v>113</v>
      </c>
      <c r="B95" s="4" t="s">
        <v>369</v>
      </c>
      <c r="C95" s="4">
        <v>4137901</v>
      </c>
      <c r="D95" s="3" t="s">
        <v>366</v>
      </c>
      <c r="E95" s="201">
        <v>37256</v>
      </c>
      <c r="F95" s="201">
        <v>37256</v>
      </c>
    </row>
    <row r="96" spans="1:6" x14ac:dyDescent="0.2">
      <c r="A96" s="3" t="s">
        <v>113</v>
      </c>
      <c r="B96" s="4" t="s">
        <v>370</v>
      </c>
      <c r="C96" s="4">
        <v>4235001</v>
      </c>
      <c r="D96" s="3" t="s">
        <v>366</v>
      </c>
      <c r="E96" s="201">
        <v>37256</v>
      </c>
      <c r="F96" s="201">
        <v>37256</v>
      </c>
    </row>
    <row r="97" spans="1:6" x14ac:dyDescent="0.2">
      <c r="A97" s="3" t="s">
        <v>113</v>
      </c>
      <c r="B97" s="4" t="s">
        <v>19</v>
      </c>
      <c r="C97" s="4">
        <v>4370801</v>
      </c>
      <c r="D97" s="3" t="s">
        <v>366</v>
      </c>
      <c r="E97" s="201">
        <v>37256</v>
      </c>
      <c r="F97" s="201">
        <v>37256</v>
      </c>
    </row>
    <row r="98" spans="1:6" x14ac:dyDescent="0.2">
      <c r="A98" s="3" t="s">
        <v>122</v>
      </c>
      <c r="B98" s="4" t="s">
        <v>20</v>
      </c>
      <c r="C98" s="4">
        <v>4370901</v>
      </c>
      <c r="D98" s="3" t="s">
        <v>366</v>
      </c>
      <c r="E98" s="201">
        <v>37256</v>
      </c>
      <c r="F98" s="201">
        <v>37256</v>
      </c>
    </row>
    <row r="99" spans="1:6" x14ac:dyDescent="0.2">
      <c r="A99" s="3" t="s">
        <v>113</v>
      </c>
      <c r="B99" s="4" t="s">
        <v>407</v>
      </c>
      <c r="C99" s="4">
        <v>4371201</v>
      </c>
      <c r="D99" s="3" t="s">
        <v>366</v>
      </c>
      <c r="E99" s="201">
        <v>37256</v>
      </c>
      <c r="F99" s="201">
        <v>37256</v>
      </c>
    </row>
    <row r="100" spans="1:6" x14ac:dyDescent="0.2">
      <c r="A100" s="3" t="s">
        <v>113</v>
      </c>
      <c r="B100" s="4" t="s">
        <v>49</v>
      </c>
      <c r="C100" s="4">
        <v>4371701</v>
      </c>
      <c r="D100" s="3" t="s">
        <v>366</v>
      </c>
      <c r="E100" s="201">
        <v>37256</v>
      </c>
      <c r="F100" s="201">
        <v>37256</v>
      </c>
    </row>
    <row r="101" spans="1:6" x14ac:dyDescent="0.2">
      <c r="A101" s="3" t="s">
        <v>388</v>
      </c>
      <c r="B101" s="4" t="s">
        <v>615</v>
      </c>
      <c r="C101" s="4">
        <v>4373001</v>
      </c>
      <c r="D101" s="3" t="s">
        <v>366</v>
      </c>
      <c r="E101" s="201">
        <v>37256</v>
      </c>
      <c r="F101" s="201">
        <v>37256</v>
      </c>
    </row>
    <row r="102" spans="1:6" x14ac:dyDescent="0.2">
      <c r="A102" s="3"/>
      <c r="B102" s="4"/>
      <c r="C102" s="4">
        <v>4078701</v>
      </c>
      <c r="D102" s="3" t="s">
        <v>366</v>
      </c>
      <c r="E102" s="201"/>
      <c r="F102" s="201">
        <v>37256</v>
      </c>
    </row>
    <row r="103" spans="1:6" x14ac:dyDescent="0.2">
      <c r="A103" s="3" t="s">
        <v>141</v>
      </c>
      <c r="B103" s="200" t="s">
        <v>222</v>
      </c>
      <c r="C103" s="4">
        <v>3050201</v>
      </c>
      <c r="D103" s="3" t="s">
        <v>644</v>
      </c>
      <c r="E103" s="201">
        <v>37255</v>
      </c>
      <c r="F103" s="201">
        <v>37255</v>
      </c>
    </row>
    <row r="104" spans="1:6" x14ac:dyDescent="0.2">
      <c r="A104" s="3" t="s">
        <v>141</v>
      </c>
      <c r="B104" s="200" t="s">
        <v>224</v>
      </c>
      <c r="C104" s="4">
        <v>3053201</v>
      </c>
      <c r="D104" s="3" t="s">
        <v>644</v>
      </c>
      <c r="E104" s="201">
        <v>37255</v>
      </c>
      <c r="F104" s="201">
        <v>37255</v>
      </c>
    </row>
    <row r="105" spans="1:6" x14ac:dyDescent="0.2">
      <c r="A105" s="3" t="s">
        <v>141</v>
      </c>
      <c r="B105" s="200" t="s">
        <v>225</v>
      </c>
      <c r="C105" s="4">
        <v>3329801</v>
      </c>
      <c r="D105" s="3" t="s">
        <v>646</v>
      </c>
      <c r="E105" s="201">
        <v>37255</v>
      </c>
      <c r="F105" s="201">
        <v>37255</v>
      </c>
    </row>
    <row r="106" spans="1:6" x14ac:dyDescent="0.2">
      <c r="A106" s="3"/>
      <c r="B106" s="200"/>
      <c r="C106" s="4">
        <v>3329701</v>
      </c>
      <c r="D106" s="3" t="s">
        <v>646</v>
      </c>
      <c r="E106" s="201"/>
      <c r="F106" s="201">
        <v>37255</v>
      </c>
    </row>
    <row r="107" spans="1:6" x14ac:dyDescent="0.2">
      <c r="A107" s="3"/>
      <c r="B107" s="200"/>
      <c r="C107" s="4">
        <v>3053001</v>
      </c>
      <c r="D107" s="3" t="s">
        <v>646</v>
      </c>
      <c r="E107" s="201"/>
      <c r="F107" s="201">
        <v>37255</v>
      </c>
    </row>
    <row r="108" spans="1:6" ht="12" customHeight="1" x14ac:dyDescent="0.2">
      <c r="A108" s="3" t="s">
        <v>629</v>
      </c>
      <c r="B108" s="200" t="s">
        <v>647</v>
      </c>
      <c r="C108" s="4" t="s">
        <v>629</v>
      </c>
      <c r="D108" s="3" t="s">
        <v>648</v>
      </c>
      <c r="E108" s="201"/>
    </row>
    <row r="109" spans="1:6" x14ac:dyDescent="0.2">
      <c r="A109" s="3" t="s">
        <v>629</v>
      </c>
      <c r="B109" s="200" t="s">
        <v>650</v>
      </c>
      <c r="C109" s="4" t="s">
        <v>629</v>
      </c>
      <c r="D109" s="3" t="s">
        <v>648</v>
      </c>
      <c r="E109" s="201"/>
    </row>
    <row r="110" spans="1:6" x14ac:dyDescent="0.2">
      <c r="A110" s="3" t="s">
        <v>141</v>
      </c>
      <c r="B110" s="200" t="s">
        <v>195</v>
      </c>
      <c r="C110" s="4" t="s">
        <v>196</v>
      </c>
      <c r="D110" s="3" t="s">
        <v>684</v>
      </c>
      <c r="E110" s="201">
        <v>37256</v>
      </c>
    </row>
    <row r="111" spans="1:6" x14ac:dyDescent="0.2">
      <c r="A111" s="3" t="s">
        <v>530</v>
      </c>
      <c r="B111" s="4" t="s">
        <v>531</v>
      </c>
      <c r="C111" s="4">
        <v>5089201</v>
      </c>
      <c r="D111" s="3" t="s">
        <v>532</v>
      </c>
      <c r="E111" s="201"/>
    </row>
    <row r="112" spans="1:6" x14ac:dyDescent="0.2">
      <c r="A112" s="3" t="s">
        <v>139</v>
      </c>
      <c r="B112" s="200" t="s">
        <v>140</v>
      </c>
      <c r="C112" s="4">
        <v>5100601</v>
      </c>
      <c r="D112" s="3" t="s">
        <v>532</v>
      </c>
      <c r="E112" s="201"/>
    </row>
    <row r="113" spans="1:7" x14ac:dyDescent="0.2">
      <c r="A113" s="3" t="s">
        <v>530</v>
      </c>
      <c r="B113" s="4" t="s">
        <v>533</v>
      </c>
      <c r="C113" s="4">
        <v>5105901</v>
      </c>
      <c r="D113" s="3" t="s">
        <v>532</v>
      </c>
      <c r="E113" s="201"/>
    </row>
    <row r="114" spans="1:7" x14ac:dyDescent="0.2">
      <c r="A114" s="3" t="s">
        <v>530</v>
      </c>
      <c r="B114" s="4" t="s">
        <v>534</v>
      </c>
      <c r="C114" s="4">
        <v>5118301</v>
      </c>
      <c r="D114" s="3" t="s">
        <v>532</v>
      </c>
      <c r="E114" s="201"/>
    </row>
    <row r="115" spans="1:7" x14ac:dyDescent="0.2">
      <c r="A115" s="3" t="s">
        <v>629</v>
      </c>
      <c r="B115" s="200" t="s">
        <v>654</v>
      </c>
      <c r="C115" s="4" t="s">
        <v>629</v>
      </c>
      <c r="D115" s="3" t="s">
        <v>532</v>
      </c>
      <c r="E115" s="201"/>
    </row>
    <row r="116" spans="1:7" x14ac:dyDescent="0.2">
      <c r="A116" s="3" t="s">
        <v>629</v>
      </c>
      <c r="B116" s="200" t="s">
        <v>655</v>
      </c>
      <c r="C116" s="4" t="s">
        <v>629</v>
      </c>
      <c r="D116" s="3" t="s">
        <v>532</v>
      </c>
      <c r="E116" s="201"/>
    </row>
    <row r="117" spans="1:7" x14ac:dyDescent="0.2">
      <c r="A117" s="3" t="s">
        <v>141</v>
      </c>
      <c r="B117" s="200" t="s">
        <v>253</v>
      </c>
      <c r="C117" s="4">
        <v>3120601</v>
      </c>
      <c r="D117" s="3" t="s">
        <v>254</v>
      </c>
      <c r="E117" s="201">
        <v>37228</v>
      </c>
    </row>
    <row r="118" spans="1:7" x14ac:dyDescent="0.2">
      <c r="A118" s="3" t="s">
        <v>537</v>
      </c>
      <c r="B118" s="4" t="s">
        <v>538</v>
      </c>
      <c r="C118" s="4" t="s">
        <v>539</v>
      </c>
      <c r="D118" s="3" t="s">
        <v>617</v>
      </c>
      <c r="E118" s="201"/>
    </row>
    <row r="119" spans="1:7" x14ac:dyDescent="0.2">
      <c r="A119" s="3" t="s">
        <v>438</v>
      </c>
      <c r="B119" s="4" t="s">
        <v>541</v>
      </c>
      <c r="C119" s="4" t="s">
        <v>542</v>
      </c>
      <c r="D119" s="3" t="s">
        <v>617</v>
      </c>
      <c r="E119" s="201"/>
    </row>
    <row r="120" spans="1:7" x14ac:dyDescent="0.2">
      <c r="A120" s="3" t="s">
        <v>141</v>
      </c>
      <c r="B120" s="200" t="s">
        <v>285</v>
      </c>
      <c r="C120" s="4">
        <v>2041001</v>
      </c>
      <c r="D120" s="3" t="s">
        <v>210</v>
      </c>
      <c r="E120" s="201">
        <v>37228</v>
      </c>
    </row>
    <row r="121" spans="1:7" x14ac:dyDescent="0.2">
      <c r="A121" s="3" t="s">
        <v>141</v>
      </c>
      <c r="B121" s="200" t="s">
        <v>209</v>
      </c>
      <c r="C121" s="4">
        <v>3294701</v>
      </c>
      <c r="D121" s="3" t="s">
        <v>210</v>
      </c>
      <c r="E121" s="201">
        <v>37228</v>
      </c>
    </row>
    <row r="122" spans="1:7" x14ac:dyDescent="0.2">
      <c r="A122" s="3" t="s">
        <v>113</v>
      </c>
      <c r="B122" s="4" t="s">
        <v>371</v>
      </c>
      <c r="C122" s="4">
        <v>4281001</v>
      </c>
      <c r="D122" s="3" t="s">
        <v>372</v>
      </c>
      <c r="E122" s="201">
        <v>37228</v>
      </c>
      <c r="F122" s="31">
        <v>37288</v>
      </c>
      <c r="G122" t="s">
        <v>690</v>
      </c>
    </row>
    <row r="123" spans="1:7" x14ac:dyDescent="0.2">
      <c r="A123" s="3" t="s">
        <v>388</v>
      </c>
      <c r="B123" s="4" t="s">
        <v>614</v>
      </c>
      <c r="C123" s="4">
        <v>4371101</v>
      </c>
      <c r="D123" s="3" t="s">
        <v>372</v>
      </c>
      <c r="E123" s="201">
        <v>37228</v>
      </c>
      <c r="F123" s="31">
        <v>37288</v>
      </c>
      <c r="G123" t="s">
        <v>690</v>
      </c>
    </row>
    <row r="124" spans="1:7" x14ac:dyDescent="0.2">
      <c r="A124" s="3" t="s">
        <v>388</v>
      </c>
      <c r="B124" s="4" t="s">
        <v>391</v>
      </c>
      <c r="C124" s="4">
        <v>1062901</v>
      </c>
      <c r="D124" s="3" t="s">
        <v>392</v>
      </c>
      <c r="E124" s="201"/>
    </row>
    <row r="125" spans="1:7" x14ac:dyDescent="0.2">
      <c r="A125" s="3" t="s">
        <v>388</v>
      </c>
      <c r="B125" s="4" t="s">
        <v>393</v>
      </c>
      <c r="C125" s="4">
        <v>1063001</v>
      </c>
      <c r="D125" s="3" t="s">
        <v>392</v>
      </c>
      <c r="E125" s="201"/>
    </row>
    <row r="126" spans="1:7" x14ac:dyDescent="0.2">
      <c r="A126" s="3" t="s">
        <v>388</v>
      </c>
      <c r="B126" s="4" t="s">
        <v>396</v>
      </c>
      <c r="C126" s="4">
        <v>2052901</v>
      </c>
      <c r="D126" s="3" t="s">
        <v>392</v>
      </c>
      <c r="E126" s="201"/>
    </row>
    <row r="127" spans="1:7" x14ac:dyDescent="0.2">
      <c r="A127" s="3" t="s">
        <v>388</v>
      </c>
      <c r="B127" s="4" t="s">
        <v>395</v>
      </c>
      <c r="C127" s="4">
        <v>2053201</v>
      </c>
      <c r="D127" s="3" t="s">
        <v>392</v>
      </c>
      <c r="E127" s="201"/>
    </row>
    <row r="128" spans="1:7" x14ac:dyDescent="0.2">
      <c r="A128" s="3" t="s">
        <v>388</v>
      </c>
      <c r="B128" s="4" t="s">
        <v>394</v>
      </c>
      <c r="C128" s="4">
        <v>2151401</v>
      </c>
      <c r="D128" s="3" t="s">
        <v>392</v>
      </c>
      <c r="E128" s="201"/>
    </row>
    <row r="129" spans="1:5" x14ac:dyDescent="0.2">
      <c r="A129" s="3" t="s">
        <v>629</v>
      </c>
      <c r="B129" s="200" t="s">
        <v>658</v>
      </c>
      <c r="C129" s="4" t="s">
        <v>629</v>
      </c>
      <c r="D129" s="3" t="s">
        <v>138</v>
      </c>
      <c r="E129" s="201"/>
    </row>
    <row r="130" spans="1:5" x14ac:dyDescent="0.2">
      <c r="A130" s="3" t="s">
        <v>296</v>
      </c>
      <c r="B130" s="200" t="s">
        <v>297</v>
      </c>
      <c r="C130" s="4" t="s">
        <v>298</v>
      </c>
      <c r="D130" s="3" t="s">
        <v>138</v>
      </c>
      <c r="E130" s="201"/>
    </row>
    <row r="131" spans="1:5" x14ac:dyDescent="0.2">
      <c r="A131" s="3" t="s">
        <v>133</v>
      </c>
      <c r="B131" s="200" t="s">
        <v>134</v>
      </c>
      <c r="C131" s="4" t="s">
        <v>135</v>
      </c>
      <c r="D131" s="3" t="s">
        <v>138</v>
      </c>
      <c r="E131" s="201"/>
    </row>
    <row r="132" spans="1:5" x14ac:dyDescent="0.2">
      <c r="A132" s="3" t="s">
        <v>629</v>
      </c>
      <c r="B132" s="200" t="s">
        <v>408</v>
      </c>
      <c r="C132" s="4" t="s">
        <v>629</v>
      </c>
      <c r="D132" s="3" t="s">
        <v>659</v>
      </c>
      <c r="E132" s="201"/>
    </row>
    <row r="133" spans="1:5" x14ac:dyDescent="0.2">
      <c r="A133" s="3" t="s">
        <v>629</v>
      </c>
      <c r="B133" s="200" t="s">
        <v>660</v>
      </c>
      <c r="C133" s="4" t="s">
        <v>629</v>
      </c>
      <c r="D133" s="6" t="s">
        <v>661</v>
      </c>
      <c r="E133" s="203"/>
    </row>
    <row r="134" spans="1:5" x14ac:dyDescent="0.2">
      <c r="A134" s="3" t="s">
        <v>629</v>
      </c>
      <c r="B134" s="200" t="s">
        <v>664</v>
      </c>
      <c r="C134" s="4" t="s">
        <v>629</v>
      </c>
      <c r="D134" s="6" t="s">
        <v>661</v>
      </c>
      <c r="E134" s="203"/>
    </row>
    <row r="135" spans="1:5" x14ac:dyDescent="0.2">
      <c r="A135" s="3" t="s">
        <v>141</v>
      </c>
      <c r="B135" s="200" t="s">
        <v>291</v>
      </c>
      <c r="C135" s="4">
        <v>1078001</v>
      </c>
      <c r="D135" s="6" t="s">
        <v>665</v>
      </c>
      <c r="E135" s="203">
        <v>37254</v>
      </c>
    </row>
    <row r="136" spans="1:5" x14ac:dyDescent="0.2">
      <c r="A136" s="3" t="s">
        <v>141</v>
      </c>
      <c r="B136" s="200" t="s">
        <v>290</v>
      </c>
      <c r="C136" s="4">
        <v>1091301</v>
      </c>
      <c r="D136" s="6" t="s">
        <v>665</v>
      </c>
      <c r="E136" s="203">
        <v>37254</v>
      </c>
    </row>
    <row r="137" spans="1:5" x14ac:dyDescent="0.2">
      <c r="A137" s="3" t="s">
        <v>141</v>
      </c>
      <c r="B137" s="200" t="s">
        <v>256</v>
      </c>
      <c r="C137" s="4">
        <v>3129101</v>
      </c>
      <c r="D137" s="6" t="s">
        <v>665</v>
      </c>
      <c r="E137" s="203"/>
    </row>
    <row r="138" spans="1:5" x14ac:dyDescent="0.2">
      <c r="A138" s="3" t="s">
        <v>141</v>
      </c>
      <c r="B138" s="200" t="s">
        <v>167</v>
      </c>
      <c r="C138" s="4">
        <v>3552801</v>
      </c>
      <c r="D138" s="6" t="s">
        <v>665</v>
      </c>
      <c r="E138" s="203">
        <v>37254</v>
      </c>
    </row>
    <row r="139" spans="1:5" x14ac:dyDescent="0.2">
      <c r="A139" s="3" t="s">
        <v>141</v>
      </c>
      <c r="B139" s="200" t="s">
        <v>169</v>
      </c>
      <c r="C139" s="4">
        <v>3553701</v>
      </c>
      <c r="D139" s="6" t="s">
        <v>665</v>
      </c>
      <c r="E139" s="203">
        <v>37254</v>
      </c>
    </row>
    <row r="140" spans="1:5" x14ac:dyDescent="0.2">
      <c r="A140" s="3" t="s">
        <v>141</v>
      </c>
      <c r="B140" s="200" t="s">
        <v>170</v>
      </c>
      <c r="C140" s="4">
        <v>3558301</v>
      </c>
      <c r="D140" s="6" t="s">
        <v>665</v>
      </c>
      <c r="E140" s="203">
        <v>37254</v>
      </c>
    </row>
    <row r="141" spans="1:5" x14ac:dyDescent="0.2">
      <c r="A141" s="3" t="s">
        <v>141</v>
      </c>
      <c r="B141" s="200" t="s">
        <v>245</v>
      </c>
      <c r="C141" s="4">
        <v>4023601</v>
      </c>
      <c r="D141" s="6" t="s">
        <v>665</v>
      </c>
      <c r="E141" s="203">
        <v>37254</v>
      </c>
    </row>
    <row r="142" spans="1:5" x14ac:dyDescent="0.2">
      <c r="A142" s="3" t="s">
        <v>141</v>
      </c>
      <c r="B142" s="200" t="s">
        <v>177</v>
      </c>
      <c r="C142" s="4">
        <v>4333501</v>
      </c>
      <c r="D142" s="6" t="s">
        <v>665</v>
      </c>
      <c r="E142" s="203">
        <v>37254</v>
      </c>
    </row>
    <row r="143" spans="1:5" x14ac:dyDescent="0.2">
      <c r="A143" s="3" t="s">
        <v>141</v>
      </c>
      <c r="B143" s="200" t="s">
        <v>255</v>
      </c>
      <c r="C143" s="4">
        <v>4336801</v>
      </c>
      <c r="D143" s="6" t="s">
        <v>665</v>
      </c>
      <c r="E143" s="203">
        <v>37254</v>
      </c>
    </row>
    <row r="144" spans="1:5" x14ac:dyDescent="0.2">
      <c r="A144" s="3" t="s">
        <v>141</v>
      </c>
      <c r="B144" s="200" t="s">
        <v>178</v>
      </c>
      <c r="C144" s="4">
        <v>4336901</v>
      </c>
      <c r="D144" s="6" t="s">
        <v>665</v>
      </c>
      <c r="E144" s="203">
        <v>37254</v>
      </c>
    </row>
    <row r="145" spans="1:6" x14ac:dyDescent="0.2">
      <c r="A145" s="3" t="s">
        <v>141</v>
      </c>
      <c r="B145" s="200" t="s">
        <v>179</v>
      </c>
      <c r="C145" s="4">
        <v>4341201</v>
      </c>
      <c r="D145" s="6" t="s">
        <v>665</v>
      </c>
      <c r="E145" s="203">
        <v>37254</v>
      </c>
    </row>
    <row r="146" spans="1:6" x14ac:dyDescent="0.2">
      <c r="A146" s="3" t="s">
        <v>141</v>
      </c>
      <c r="B146" s="200" t="s">
        <v>182</v>
      </c>
      <c r="C146" s="4">
        <v>4343301</v>
      </c>
      <c r="D146" s="6" t="s">
        <v>665</v>
      </c>
      <c r="E146" s="203">
        <v>37254</v>
      </c>
    </row>
    <row r="147" spans="1:6" x14ac:dyDescent="0.2">
      <c r="A147" s="3" t="s">
        <v>141</v>
      </c>
      <c r="B147" s="200" t="s">
        <v>183</v>
      </c>
      <c r="C147" s="4">
        <v>4345701</v>
      </c>
      <c r="D147" s="6" t="s">
        <v>665</v>
      </c>
      <c r="E147" s="203">
        <v>37254</v>
      </c>
    </row>
    <row r="148" spans="1:6" x14ac:dyDescent="0.2">
      <c r="A148" s="3" t="s">
        <v>141</v>
      </c>
      <c r="B148" s="200" t="s">
        <v>184</v>
      </c>
      <c r="C148" s="4">
        <v>4345801</v>
      </c>
      <c r="D148" s="6" t="s">
        <v>665</v>
      </c>
      <c r="E148" s="203">
        <v>37254</v>
      </c>
    </row>
    <row r="149" spans="1:6" x14ac:dyDescent="0.2">
      <c r="A149" s="3" t="s">
        <v>141</v>
      </c>
      <c r="B149" s="200" t="s">
        <v>185</v>
      </c>
      <c r="C149" s="4">
        <v>4349401</v>
      </c>
      <c r="D149" s="6" t="s">
        <v>665</v>
      </c>
      <c r="E149" s="203">
        <v>37254</v>
      </c>
    </row>
    <row r="150" spans="1:6" x14ac:dyDescent="0.2">
      <c r="A150" s="3" t="s">
        <v>141</v>
      </c>
      <c r="B150" s="200" t="s">
        <v>189</v>
      </c>
      <c r="C150" s="4">
        <v>4362801</v>
      </c>
      <c r="D150" s="6" t="s">
        <v>665</v>
      </c>
      <c r="E150" s="203">
        <v>37254</v>
      </c>
    </row>
    <row r="151" spans="1:6" x14ac:dyDescent="0.2">
      <c r="A151" s="3" t="s">
        <v>141</v>
      </c>
      <c r="B151" s="200" t="s">
        <v>190</v>
      </c>
      <c r="C151" s="4">
        <v>4362901</v>
      </c>
      <c r="D151" s="6" t="s">
        <v>665</v>
      </c>
      <c r="E151" s="203">
        <v>37254</v>
      </c>
    </row>
    <row r="152" spans="1:6" x14ac:dyDescent="0.2">
      <c r="A152" s="3" t="s">
        <v>141</v>
      </c>
      <c r="B152" s="200" t="s">
        <v>191</v>
      </c>
      <c r="C152" s="4">
        <v>4364001</v>
      </c>
      <c r="D152" s="6" t="s">
        <v>665</v>
      </c>
      <c r="E152" s="203">
        <v>37254</v>
      </c>
    </row>
    <row r="153" spans="1:6" x14ac:dyDescent="0.2">
      <c r="A153" s="3" t="s">
        <v>141</v>
      </c>
      <c r="B153" s="200" t="s">
        <v>293</v>
      </c>
      <c r="C153" s="4">
        <v>4354501</v>
      </c>
      <c r="D153" s="6" t="s">
        <v>685</v>
      </c>
      <c r="E153" s="201">
        <v>37257</v>
      </c>
    </row>
    <row r="154" spans="1:6" x14ac:dyDescent="0.2">
      <c r="A154" s="3"/>
      <c r="B154" s="200"/>
      <c r="C154" s="4">
        <v>3190601</v>
      </c>
      <c r="D154" s="6" t="s">
        <v>691</v>
      </c>
      <c r="E154" s="201"/>
      <c r="F154" s="31">
        <v>37228</v>
      </c>
    </row>
    <row r="155" spans="1:6" x14ac:dyDescent="0.2">
      <c r="A155" s="3" t="s">
        <v>124</v>
      </c>
      <c r="B155" s="200" t="s">
        <v>127</v>
      </c>
      <c r="C155" s="4">
        <v>2026901</v>
      </c>
      <c r="D155" s="3" t="s">
        <v>128</v>
      </c>
      <c r="E155" s="201">
        <v>37228</v>
      </c>
      <c r="F155" s="31">
        <v>37228</v>
      </c>
    </row>
    <row r="156" spans="1:6" x14ac:dyDescent="0.2">
      <c r="A156" s="3" t="s">
        <v>124</v>
      </c>
      <c r="B156" s="200" t="s">
        <v>129</v>
      </c>
      <c r="C156" s="4">
        <v>2075601</v>
      </c>
      <c r="D156" s="3" t="s">
        <v>608</v>
      </c>
      <c r="E156" s="201">
        <v>37256</v>
      </c>
      <c r="F156" s="201">
        <v>37256</v>
      </c>
    </row>
    <row r="157" spans="1:6" x14ac:dyDescent="0.2">
      <c r="A157" s="3" t="s">
        <v>141</v>
      </c>
      <c r="B157" s="200" t="s">
        <v>144</v>
      </c>
      <c r="C157" s="4">
        <v>2152501</v>
      </c>
      <c r="D157" s="3" t="s">
        <v>608</v>
      </c>
      <c r="E157" s="201">
        <v>37256</v>
      </c>
      <c r="F157" s="201">
        <v>37256</v>
      </c>
    </row>
    <row r="158" spans="1:6" x14ac:dyDescent="0.2">
      <c r="A158" s="3" t="s">
        <v>141</v>
      </c>
      <c r="B158" s="200" t="s">
        <v>274</v>
      </c>
      <c r="C158" s="4">
        <v>3178601</v>
      </c>
      <c r="D158" s="3" t="s">
        <v>608</v>
      </c>
      <c r="E158" s="201">
        <v>37256</v>
      </c>
      <c r="F158" s="201">
        <v>37256</v>
      </c>
    </row>
    <row r="159" spans="1:6" x14ac:dyDescent="0.2">
      <c r="A159" s="3" t="s">
        <v>141</v>
      </c>
      <c r="B159" s="200" t="s">
        <v>275</v>
      </c>
      <c r="C159" s="4">
        <v>3405301</v>
      </c>
      <c r="D159" s="3" t="s">
        <v>608</v>
      </c>
      <c r="E159" s="201">
        <v>37256</v>
      </c>
      <c r="F159" s="201">
        <v>37256</v>
      </c>
    </row>
    <row r="160" spans="1:6" x14ac:dyDescent="0.2">
      <c r="A160" s="3" t="s">
        <v>141</v>
      </c>
      <c r="B160" s="200" t="s">
        <v>277</v>
      </c>
      <c r="C160" s="4">
        <v>3422901</v>
      </c>
      <c r="D160" s="3" t="s">
        <v>608</v>
      </c>
      <c r="E160" s="201">
        <v>37256</v>
      </c>
      <c r="F160" s="201">
        <v>37256</v>
      </c>
    </row>
    <row r="161" spans="1:6" x14ac:dyDescent="0.2">
      <c r="A161" s="3" t="s">
        <v>141</v>
      </c>
      <c r="B161" s="200" t="s">
        <v>278</v>
      </c>
      <c r="C161" s="4">
        <v>3510601</v>
      </c>
      <c r="D161" s="3" t="s">
        <v>608</v>
      </c>
      <c r="E161" s="201">
        <v>37256</v>
      </c>
      <c r="F161" s="201">
        <v>37256</v>
      </c>
    </row>
    <row r="162" spans="1:6" x14ac:dyDescent="0.2">
      <c r="A162" s="3" t="s">
        <v>141</v>
      </c>
      <c r="B162" s="200" t="s">
        <v>280</v>
      </c>
      <c r="C162" s="4">
        <v>3510801</v>
      </c>
      <c r="D162" s="3" t="s">
        <v>608</v>
      </c>
      <c r="E162" s="201">
        <v>37256</v>
      </c>
      <c r="F162" s="201">
        <v>37256</v>
      </c>
    </row>
    <row r="163" spans="1:6" x14ac:dyDescent="0.2">
      <c r="A163" s="3" t="s">
        <v>141</v>
      </c>
      <c r="B163" s="200" t="s">
        <v>264</v>
      </c>
      <c r="C163" s="4">
        <v>3512101</v>
      </c>
      <c r="D163" s="3" t="s">
        <v>608</v>
      </c>
      <c r="E163" s="201">
        <v>37256</v>
      </c>
      <c r="F163" s="201">
        <v>37256</v>
      </c>
    </row>
    <row r="164" spans="1:6" x14ac:dyDescent="0.2">
      <c r="A164" s="3" t="s">
        <v>141</v>
      </c>
      <c r="B164" s="200" t="s">
        <v>279</v>
      </c>
      <c r="C164" s="4">
        <v>3513301</v>
      </c>
      <c r="D164" s="3" t="s">
        <v>608</v>
      </c>
      <c r="E164" s="201">
        <v>37256</v>
      </c>
      <c r="F164" s="201">
        <v>37256</v>
      </c>
    </row>
    <row r="165" spans="1:6" x14ac:dyDescent="0.2">
      <c r="A165" s="3" t="s">
        <v>141</v>
      </c>
      <c r="B165" s="200" t="s">
        <v>265</v>
      </c>
      <c r="C165" s="4">
        <v>3524201</v>
      </c>
      <c r="D165" s="3" t="s">
        <v>608</v>
      </c>
      <c r="E165" s="201">
        <v>37256</v>
      </c>
      <c r="F165" s="201">
        <v>37256</v>
      </c>
    </row>
    <row r="166" spans="1:6" x14ac:dyDescent="0.2">
      <c r="A166" s="3" t="s">
        <v>308</v>
      </c>
      <c r="B166" s="200" t="s">
        <v>309</v>
      </c>
      <c r="C166" s="4">
        <v>3525501</v>
      </c>
      <c r="D166" s="3" t="s">
        <v>608</v>
      </c>
      <c r="E166" s="201">
        <v>37256</v>
      </c>
      <c r="F166" s="201">
        <v>37256</v>
      </c>
    </row>
    <row r="167" spans="1:6" x14ac:dyDescent="0.2">
      <c r="A167" s="3" t="s">
        <v>141</v>
      </c>
      <c r="B167" s="200" t="s">
        <v>281</v>
      </c>
      <c r="C167" s="4">
        <v>3526101</v>
      </c>
      <c r="D167" s="3" t="s">
        <v>608</v>
      </c>
      <c r="E167" s="201">
        <v>37256</v>
      </c>
      <c r="F167" s="201">
        <v>37256</v>
      </c>
    </row>
    <row r="168" spans="1:6" x14ac:dyDescent="0.2">
      <c r="A168" s="3" t="s">
        <v>141</v>
      </c>
      <c r="B168" s="200" t="s">
        <v>266</v>
      </c>
      <c r="C168" s="4">
        <v>3541601</v>
      </c>
      <c r="D168" s="3" t="s">
        <v>608</v>
      </c>
      <c r="E168" s="201">
        <v>37256</v>
      </c>
      <c r="F168" s="201">
        <v>37256</v>
      </c>
    </row>
    <row r="169" spans="1:6" x14ac:dyDescent="0.2">
      <c r="A169" s="3" t="s">
        <v>141</v>
      </c>
      <c r="B169" s="200" t="s">
        <v>284</v>
      </c>
      <c r="C169" s="4">
        <v>4334701</v>
      </c>
      <c r="D169" s="3" t="s">
        <v>608</v>
      </c>
      <c r="E169" s="201">
        <v>37256</v>
      </c>
      <c r="F169" s="201">
        <v>37256</v>
      </c>
    </row>
    <row r="170" spans="1:6" x14ac:dyDescent="0.2">
      <c r="A170" s="3"/>
      <c r="B170" s="200"/>
      <c r="C170" s="4" t="s">
        <v>196</v>
      </c>
      <c r="D170" s="3" t="s">
        <v>608</v>
      </c>
      <c r="E170" s="201"/>
      <c r="F170" s="201">
        <v>37256</v>
      </c>
    </row>
    <row r="171" spans="1:6" x14ac:dyDescent="0.2">
      <c r="A171" s="3" t="s">
        <v>141</v>
      </c>
      <c r="B171" s="200" t="s">
        <v>246</v>
      </c>
      <c r="C171" s="4">
        <v>3427001</v>
      </c>
      <c r="D171" s="3" t="s">
        <v>160</v>
      </c>
      <c r="E171" s="201">
        <v>37257</v>
      </c>
    </row>
    <row r="172" spans="1:6" x14ac:dyDescent="0.2">
      <c r="A172" s="3" t="s">
        <v>141</v>
      </c>
      <c r="B172" s="200" t="s">
        <v>159</v>
      </c>
      <c r="C172" s="4">
        <v>3507801</v>
      </c>
      <c r="D172" s="3" t="s">
        <v>160</v>
      </c>
      <c r="E172" s="201">
        <v>37257</v>
      </c>
    </row>
    <row r="173" spans="1:6" x14ac:dyDescent="0.2">
      <c r="A173" s="3" t="s">
        <v>141</v>
      </c>
      <c r="B173" s="200" t="s">
        <v>161</v>
      </c>
      <c r="C173" s="4">
        <v>3507901</v>
      </c>
      <c r="D173" s="3" t="s">
        <v>160</v>
      </c>
      <c r="E173" s="201">
        <v>37257</v>
      </c>
    </row>
    <row r="174" spans="1:6" x14ac:dyDescent="0.2">
      <c r="A174" s="3" t="s">
        <v>141</v>
      </c>
      <c r="B174" s="200" t="s">
        <v>162</v>
      </c>
      <c r="C174" s="4">
        <v>3508401</v>
      </c>
      <c r="D174" s="3" t="s">
        <v>160</v>
      </c>
      <c r="E174" s="201">
        <v>37257</v>
      </c>
    </row>
    <row r="175" spans="1:6" x14ac:dyDescent="0.2">
      <c r="A175" s="3" t="s">
        <v>418</v>
      </c>
      <c r="B175" s="4" t="s">
        <v>461</v>
      </c>
      <c r="C175" s="4">
        <v>3153201</v>
      </c>
      <c r="D175" s="3" t="s">
        <v>462</v>
      </c>
      <c r="E175" s="201"/>
    </row>
    <row r="176" spans="1:6" x14ac:dyDescent="0.2">
      <c r="A176" s="3" t="s">
        <v>629</v>
      </c>
      <c r="B176" s="200" t="s">
        <v>675</v>
      </c>
      <c r="C176" s="4" t="s">
        <v>629</v>
      </c>
      <c r="D176" s="3" t="s">
        <v>676</v>
      </c>
      <c r="E176" s="201"/>
    </row>
    <row r="177" spans="1:6" x14ac:dyDescent="0.2">
      <c r="A177" s="3" t="s">
        <v>629</v>
      </c>
      <c r="B177" s="200" t="s">
        <v>678</v>
      </c>
      <c r="C177" s="4" t="s">
        <v>629</v>
      </c>
      <c r="D177" s="3" t="s">
        <v>676</v>
      </c>
      <c r="E177" s="201"/>
    </row>
    <row r="178" spans="1:6" x14ac:dyDescent="0.2">
      <c r="A178" s="3" t="s">
        <v>141</v>
      </c>
      <c r="B178" s="200" t="s">
        <v>218</v>
      </c>
      <c r="C178" s="4">
        <v>4043501</v>
      </c>
      <c r="D178" s="3" t="s">
        <v>569</v>
      </c>
      <c r="E178" s="201">
        <v>37228</v>
      </c>
    </row>
    <row r="179" spans="1:6" x14ac:dyDescent="0.2">
      <c r="A179" s="3" t="s">
        <v>141</v>
      </c>
      <c r="B179" s="200" t="s">
        <v>214</v>
      </c>
      <c r="C179" s="4">
        <v>4058801</v>
      </c>
      <c r="D179" s="3" t="s">
        <v>569</v>
      </c>
      <c r="E179" s="201">
        <v>37228</v>
      </c>
    </row>
    <row r="180" spans="1:6" x14ac:dyDescent="0.2">
      <c r="A180" s="3" t="s">
        <v>141</v>
      </c>
      <c r="B180" s="200" t="s">
        <v>294</v>
      </c>
      <c r="C180" s="4">
        <v>3046501</v>
      </c>
      <c r="D180" s="6" t="s">
        <v>679</v>
      </c>
      <c r="E180" s="201">
        <v>37228</v>
      </c>
      <c r="F180" s="201">
        <v>37228</v>
      </c>
    </row>
    <row r="181" spans="1:6" x14ac:dyDescent="0.2">
      <c r="A181" s="3" t="s">
        <v>141</v>
      </c>
      <c r="B181" s="200" t="s">
        <v>240</v>
      </c>
      <c r="C181" s="4">
        <v>3123401</v>
      </c>
      <c r="D181" s="6" t="s">
        <v>679</v>
      </c>
      <c r="E181" s="201">
        <v>37228</v>
      </c>
      <c r="F181" s="201">
        <v>37228</v>
      </c>
    </row>
    <row r="182" spans="1:6" x14ac:dyDescent="0.2">
      <c r="A182" s="3" t="s">
        <v>141</v>
      </c>
      <c r="B182" s="200" t="s">
        <v>306</v>
      </c>
      <c r="C182" s="4">
        <v>3136601</v>
      </c>
      <c r="D182" s="6" t="s">
        <v>679</v>
      </c>
      <c r="E182" s="201">
        <v>37228</v>
      </c>
      <c r="F182" s="201">
        <v>37228</v>
      </c>
    </row>
    <row r="183" spans="1:6" x14ac:dyDescent="0.2">
      <c r="A183" s="3" t="s">
        <v>141</v>
      </c>
      <c r="B183" s="200" t="s">
        <v>236</v>
      </c>
      <c r="C183" s="4">
        <v>3219301</v>
      </c>
      <c r="D183" s="6" t="s">
        <v>679</v>
      </c>
      <c r="E183" s="201">
        <v>37228</v>
      </c>
      <c r="F183" s="201">
        <v>37228</v>
      </c>
    </row>
    <row r="184" spans="1:6" x14ac:dyDescent="0.2">
      <c r="A184" s="3" t="s">
        <v>141</v>
      </c>
      <c r="B184" s="200" t="s">
        <v>235</v>
      </c>
      <c r="C184" s="4">
        <v>3226701</v>
      </c>
      <c r="D184" s="6" t="s">
        <v>679</v>
      </c>
      <c r="E184" s="201">
        <v>37228</v>
      </c>
      <c r="F184" s="201">
        <v>37228</v>
      </c>
    </row>
    <row r="185" spans="1:6" x14ac:dyDescent="0.2">
      <c r="A185" s="3" t="s">
        <v>141</v>
      </c>
      <c r="B185" s="200" t="s">
        <v>239</v>
      </c>
      <c r="C185" s="4">
        <v>3290201</v>
      </c>
      <c r="D185" s="6" t="s">
        <v>679</v>
      </c>
      <c r="E185" s="201">
        <v>37228</v>
      </c>
      <c r="F185" s="201">
        <v>37228</v>
      </c>
    </row>
    <row r="186" spans="1:6" x14ac:dyDescent="0.2">
      <c r="A186" s="3" t="s">
        <v>141</v>
      </c>
      <c r="B186" s="200" t="s">
        <v>238</v>
      </c>
      <c r="C186" s="4">
        <v>3409901</v>
      </c>
      <c r="D186" s="6" t="s">
        <v>679</v>
      </c>
      <c r="E186" s="201">
        <v>37228</v>
      </c>
      <c r="F186" s="201">
        <v>37228</v>
      </c>
    </row>
    <row r="187" spans="1:6" x14ac:dyDescent="0.2">
      <c r="A187" s="3" t="s">
        <v>141</v>
      </c>
      <c r="B187" s="200" t="s">
        <v>237</v>
      </c>
      <c r="C187" s="4">
        <v>3551401</v>
      </c>
      <c r="D187" s="6" t="s">
        <v>679</v>
      </c>
      <c r="E187" s="201">
        <v>37228</v>
      </c>
      <c r="F187" s="201">
        <v>37228</v>
      </c>
    </row>
    <row r="188" spans="1:6" x14ac:dyDescent="0.2">
      <c r="A188" s="3" t="s">
        <v>296</v>
      </c>
      <c r="B188" s="200" t="s">
        <v>295</v>
      </c>
      <c r="C188" s="4">
        <v>3562001</v>
      </c>
      <c r="D188" s="6" t="s">
        <v>679</v>
      </c>
      <c r="E188" s="201">
        <v>37228</v>
      </c>
      <c r="F188" s="201">
        <v>37228</v>
      </c>
    </row>
    <row r="189" spans="1:6" x14ac:dyDescent="0.2">
      <c r="A189" s="3" t="s">
        <v>141</v>
      </c>
      <c r="B189" s="200" t="s">
        <v>174</v>
      </c>
      <c r="C189" s="4">
        <v>3565501</v>
      </c>
      <c r="D189" s="6" t="s">
        <v>679</v>
      </c>
      <c r="E189" s="201">
        <v>37228</v>
      </c>
      <c r="F189" s="201">
        <v>37228</v>
      </c>
    </row>
    <row r="190" spans="1:6" x14ac:dyDescent="0.2">
      <c r="A190" s="3" t="s">
        <v>141</v>
      </c>
      <c r="B190" s="200" t="s">
        <v>176</v>
      </c>
      <c r="C190" s="4">
        <v>3573701</v>
      </c>
      <c r="D190" s="6" t="s">
        <v>686</v>
      </c>
      <c r="E190" s="201">
        <v>37228</v>
      </c>
      <c r="F190" s="201">
        <v>37228</v>
      </c>
    </row>
    <row r="191" spans="1:6" x14ac:dyDescent="0.2">
      <c r="A191" s="3" t="s">
        <v>141</v>
      </c>
      <c r="B191" s="4" t="s">
        <v>50</v>
      </c>
      <c r="C191" s="4">
        <v>3585801</v>
      </c>
      <c r="D191" s="6" t="s">
        <v>686</v>
      </c>
      <c r="E191" s="201">
        <v>37228</v>
      </c>
      <c r="F191" s="201">
        <v>37228</v>
      </c>
    </row>
    <row r="192" spans="1:6" x14ac:dyDescent="0.2">
      <c r="A192" s="3" t="s">
        <v>141</v>
      </c>
      <c r="B192" s="200" t="s">
        <v>260</v>
      </c>
      <c r="C192" s="4">
        <v>2038501</v>
      </c>
      <c r="D192" s="3" t="s">
        <v>261</v>
      </c>
      <c r="E192" s="201">
        <v>37228</v>
      </c>
    </row>
    <row r="193" spans="1:7" x14ac:dyDescent="0.2">
      <c r="A193" s="221"/>
      <c r="B193" s="222"/>
      <c r="C193" s="223">
        <v>3543801</v>
      </c>
      <c r="D193" s="3" t="s">
        <v>689</v>
      </c>
      <c r="E193" s="201"/>
      <c r="F193" s="31">
        <v>37257</v>
      </c>
    </row>
    <row r="194" spans="1:7" x14ac:dyDescent="0.2">
      <c r="A194" s="221"/>
      <c r="B194" s="222"/>
      <c r="C194" s="223">
        <v>3008001</v>
      </c>
      <c r="D194" s="3" t="s">
        <v>689</v>
      </c>
      <c r="E194" s="201"/>
      <c r="F194" s="31">
        <v>37257</v>
      </c>
    </row>
    <row r="195" spans="1:7" x14ac:dyDescent="0.2">
      <c r="A195" s="221"/>
      <c r="B195" s="222"/>
      <c r="C195" s="223">
        <v>3015901</v>
      </c>
      <c r="D195" s="3" t="s">
        <v>689</v>
      </c>
      <c r="E195" s="201"/>
      <c r="F195" s="31">
        <v>37257</v>
      </c>
    </row>
    <row r="196" spans="1:7" x14ac:dyDescent="0.2">
      <c r="A196" s="24" t="s">
        <v>629</v>
      </c>
      <c r="B196" s="204" t="s">
        <v>1</v>
      </c>
      <c r="C196" s="202" t="s">
        <v>629</v>
      </c>
      <c r="D196" s="6" t="s">
        <v>2</v>
      </c>
      <c r="E196" s="203"/>
    </row>
    <row r="197" spans="1:7" x14ac:dyDescent="0.2">
      <c r="A197" s="3" t="s">
        <v>629</v>
      </c>
      <c r="B197" s="200" t="s">
        <v>5</v>
      </c>
      <c r="C197" s="4" t="s">
        <v>629</v>
      </c>
      <c r="D197" s="6" t="s">
        <v>2</v>
      </c>
      <c r="E197" s="203"/>
    </row>
    <row r="198" spans="1:7" x14ac:dyDescent="0.2">
      <c r="A198" s="3" t="s">
        <v>629</v>
      </c>
      <c r="B198" s="200" t="s">
        <v>6</v>
      </c>
      <c r="C198" s="4" t="s">
        <v>629</v>
      </c>
      <c r="D198" s="6" t="s">
        <v>2</v>
      </c>
      <c r="E198" s="203"/>
    </row>
    <row r="199" spans="1:7" x14ac:dyDescent="0.2">
      <c r="A199" s="3" t="s">
        <v>629</v>
      </c>
      <c r="B199" s="200" t="s">
        <v>7</v>
      </c>
      <c r="C199" s="4" t="s">
        <v>629</v>
      </c>
      <c r="D199" s="6" t="s">
        <v>2</v>
      </c>
      <c r="E199" s="203"/>
    </row>
    <row r="200" spans="1:7" x14ac:dyDescent="0.2">
      <c r="A200" s="3" t="s">
        <v>141</v>
      </c>
      <c r="B200" s="200" t="s">
        <v>180</v>
      </c>
      <c r="C200" s="4">
        <v>4342301</v>
      </c>
      <c r="D200" s="3" t="s">
        <v>8</v>
      </c>
      <c r="E200" s="201"/>
      <c r="G200" s="31">
        <v>37228</v>
      </c>
    </row>
    <row r="201" spans="1:7" x14ac:dyDescent="0.2">
      <c r="A201" s="3" t="s">
        <v>296</v>
      </c>
      <c r="B201" s="200" t="s">
        <v>304</v>
      </c>
      <c r="C201" s="4">
        <v>3124201</v>
      </c>
      <c r="D201" s="3" t="s">
        <v>10</v>
      </c>
      <c r="E201" s="201"/>
      <c r="F201" s="31">
        <v>37257</v>
      </c>
    </row>
    <row r="202" spans="1:7" x14ac:dyDescent="0.2">
      <c r="A202" s="3" t="s">
        <v>141</v>
      </c>
      <c r="B202" s="200" t="s">
        <v>232</v>
      </c>
      <c r="C202" s="4">
        <v>3223401</v>
      </c>
      <c r="D202" s="3" t="s">
        <v>10</v>
      </c>
      <c r="E202" s="201"/>
      <c r="F202" s="31">
        <v>37257</v>
      </c>
    </row>
    <row r="203" spans="1:7" x14ac:dyDescent="0.2">
      <c r="A203" s="3" t="s">
        <v>141</v>
      </c>
      <c r="B203" s="200" t="s">
        <v>233</v>
      </c>
      <c r="C203" s="4">
        <v>3245501</v>
      </c>
      <c r="D203" s="3" t="s">
        <v>10</v>
      </c>
      <c r="E203" s="201"/>
      <c r="F203" s="31">
        <v>37257</v>
      </c>
    </row>
    <row r="204" spans="1:7" x14ac:dyDescent="0.2">
      <c r="A204" s="3" t="s">
        <v>386</v>
      </c>
      <c r="B204" s="4" t="s">
        <v>355</v>
      </c>
      <c r="C204" s="4">
        <v>3576601</v>
      </c>
      <c r="D204" s="3" t="s">
        <v>10</v>
      </c>
      <c r="E204" s="201"/>
      <c r="F204" s="31">
        <v>37257</v>
      </c>
    </row>
    <row r="205" spans="1:7" x14ac:dyDescent="0.2">
      <c r="A205" s="3" t="s">
        <v>386</v>
      </c>
      <c r="B205" s="4" t="s">
        <v>356</v>
      </c>
      <c r="C205" s="4">
        <v>3584401</v>
      </c>
      <c r="D205" s="3" t="s">
        <v>10</v>
      </c>
      <c r="E205" s="201"/>
      <c r="F205" s="31">
        <v>37257</v>
      </c>
    </row>
    <row r="206" spans="1:7" x14ac:dyDescent="0.2">
      <c r="A206" s="3"/>
      <c r="B206" s="4"/>
      <c r="C206" s="4"/>
      <c r="D206" s="3" t="s">
        <v>10</v>
      </c>
      <c r="E206" s="201"/>
      <c r="F206" s="31">
        <v>37257</v>
      </c>
    </row>
    <row r="207" spans="1:7" x14ac:dyDescent="0.2">
      <c r="A207" s="3"/>
      <c r="B207" s="4"/>
      <c r="C207" s="4">
        <v>2160001</v>
      </c>
      <c r="D207" s="3" t="s">
        <v>688</v>
      </c>
      <c r="E207" s="201"/>
      <c r="F207" s="31">
        <v>37228</v>
      </c>
    </row>
    <row r="208" spans="1:7" x14ac:dyDescent="0.2">
      <c r="A208" s="3" t="s">
        <v>141</v>
      </c>
      <c r="B208" s="200" t="s">
        <v>203</v>
      </c>
      <c r="C208" s="4">
        <v>3016301</v>
      </c>
      <c r="D208" s="3" t="s">
        <v>204</v>
      </c>
      <c r="E208" s="201">
        <v>37228</v>
      </c>
      <c r="F208" s="201">
        <v>37228</v>
      </c>
    </row>
    <row r="209" spans="1:6" x14ac:dyDescent="0.2">
      <c r="A209" s="3" t="s">
        <v>141</v>
      </c>
      <c r="B209" s="200" t="s">
        <v>205</v>
      </c>
      <c r="C209" s="4">
        <v>3153701</v>
      </c>
      <c r="D209" s="3" t="s">
        <v>204</v>
      </c>
      <c r="E209" s="201">
        <v>37228</v>
      </c>
      <c r="F209" s="201">
        <v>37228</v>
      </c>
    </row>
    <row r="210" spans="1:6" x14ac:dyDescent="0.2">
      <c r="A210" s="3" t="s">
        <v>141</v>
      </c>
      <c r="B210" s="200" t="s">
        <v>207</v>
      </c>
      <c r="C210" s="4">
        <v>3316501</v>
      </c>
      <c r="D210" s="3" t="s">
        <v>204</v>
      </c>
      <c r="E210" s="201">
        <v>37228</v>
      </c>
      <c r="F210" s="201">
        <v>37228</v>
      </c>
    </row>
    <row r="211" spans="1:6" x14ac:dyDescent="0.2">
      <c r="A211" s="3" t="s">
        <v>141</v>
      </c>
      <c r="B211" s="200" t="s">
        <v>208</v>
      </c>
      <c r="C211" s="4">
        <v>3316601</v>
      </c>
      <c r="D211" s="3" t="s">
        <v>204</v>
      </c>
      <c r="E211" s="201">
        <v>37228</v>
      </c>
      <c r="F211" s="201">
        <v>37228</v>
      </c>
    </row>
    <row r="212" spans="1:6" x14ac:dyDescent="0.2">
      <c r="A212" s="3" t="s">
        <v>418</v>
      </c>
      <c r="B212" s="4" t="s">
        <v>454</v>
      </c>
      <c r="C212" s="4">
        <v>3038601</v>
      </c>
      <c r="D212" s="3" t="s">
        <v>455</v>
      </c>
      <c r="E212" s="201"/>
      <c r="F212" s="31">
        <v>37228</v>
      </c>
    </row>
    <row r="213" spans="1:6" x14ac:dyDescent="0.2">
      <c r="A213" s="3" t="s">
        <v>629</v>
      </c>
      <c r="B213" s="200" t="s">
        <v>12</v>
      </c>
      <c r="C213" s="4" t="s">
        <v>629</v>
      </c>
      <c r="D213" s="3" t="s">
        <v>13</v>
      </c>
      <c r="E213" s="201"/>
    </row>
    <row r="214" spans="1:6" x14ac:dyDescent="0.2">
      <c r="A214" s="3" t="s">
        <v>629</v>
      </c>
      <c r="B214" s="200" t="s">
        <v>16</v>
      </c>
      <c r="C214" s="4" t="s">
        <v>629</v>
      </c>
      <c r="D214" s="3" t="s">
        <v>13</v>
      </c>
      <c r="E214" s="201"/>
    </row>
    <row r="215" spans="1:6" x14ac:dyDescent="0.2">
      <c r="A215" s="3" t="s">
        <v>141</v>
      </c>
      <c r="B215" s="200" t="s">
        <v>171</v>
      </c>
      <c r="C215" s="4">
        <v>3564601</v>
      </c>
      <c r="D215" s="3" t="s">
        <v>17</v>
      </c>
      <c r="E215" s="201">
        <v>37257</v>
      </c>
      <c r="F215" s="31">
        <v>37257</v>
      </c>
    </row>
    <row r="216" spans="1:6" x14ac:dyDescent="0.2">
      <c r="A216" s="3" t="s">
        <v>141</v>
      </c>
      <c r="B216" s="200" t="s">
        <v>211</v>
      </c>
      <c r="C216" s="4">
        <v>4180601</v>
      </c>
      <c r="D216" s="3" t="s">
        <v>21</v>
      </c>
      <c r="E216" s="201"/>
    </row>
    <row r="217" spans="1:6" x14ac:dyDescent="0.2">
      <c r="A217" s="3" t="s">
        <v>141</v>
      </c>
      <c r="B217" s="200" t="s">
        <v>213</v>
      </c>
      <c r="C217" s="4">
        <v>4188401</v>
      </c>
      <c r="D217" s="3" t="s">
        <v>21</v>
      </c>
      <c r="E217" s="201"/>
    </row>
    <row r="218" spans="1:6" x14ac:dyDescent="0.2">
      <c r="A218" s="3" t="s">
        <v>296</v>
      </c>
      <c r="B218" s="200" t="s">
        <v>305</v>
      </c>
      <c r="C218" s="4">
        <v>3405001</v>
      </c>
      <c r="D218" s="3" t="s">
        <v>166</v>
      </c>
      <c r="E218" s="201">
        <v>37228</v>
      </c>
      <c r="F218" s="201">
        <v>37228</v>
      </c>
    </row>
    <row r="219" spans="1:6" x14ac:dyDescent="0.2">
      <c r="A219" s="3" t="s">
        <v>141</v>
      </c>
      <c r="B219" s="200" t="s">
        <v>250</v>
      </c>
      <c r="C219" s="4">
        <v>3420401</v>
      </c>
      <c r="D219" s="3" t="s">
        <v>166</v>
      </c>
      <c r="E219" s="201">
        <v>37228</v>
      </c>
      <c r="F219" s="201">
        <v>37228</v>
      </c>
    </row>
    <row r="220" spans="1:6" x14ac:dyDescent="0.2">
      <c r="A220" s="3" t="s">
        <v>141</v>
      </c>
      <c r="B220" s="4" t="s">
        <v>247</v>
      </c>
      <c r="C220" s="4">
        <v>3426101</v>
      </c>
      <c r="D220" s="3" t="s">
        <v>166</v>
      </c>
      <c r="E220" s="201">
        <v>37228</v>
      </c>
      <c r="F220" s="201">
        <v>37228</v>
      </c>
    </row>
    <row r="221" spans="1:6" x14ac:dyDescent="0.2">
      <c r="A221" s="3" t="s">
        <v>141</v>
      </c>
      <c r="B221" s="204" t="s">
        <v>282</v>
      </c>
      <c r="C221" s="202">
        <v>3475001</v>
      </c>
      <c r="D221" s="3" t="s">
        <v>166</v>
      </c>
      <c r="E221" s="201">
        <v>37228</v>
      </c>
      <c r="F221" s="201">
        <v>37228</v>
      </c>
    </row>
    <row r="222" spans="1:6" x14ac:dyDescent="0.2">
      <c r="A222" s="3" t="s">
        <v>141</v>
      </c>
      <c r="B222" s="200" t="s">
        <v>263</v>
      </c>
      <c r="C222" s="4">
        <v>3506201</v>
      </c>
      <c r="D222" s="3" t="s">
        <v>166</v>
      </c>
      <c r="E222" s="201">
        <v>37228</v>
      </c>
      <c r="F222" s="201">
        <v>37228</v>
      </c>
    </row>
    <row r="223" spans="1:6" x14ac:dyDescent="0.2">
      <c r="A223" s="3" t="s">
        <v>141</v>
      </c>
      <c r="B223" s="200" t="s">
        <v>262</v>
      </c>
      <c r="C223" s="4">
        <v>3509101</v>
      </c>
      <c r="D223" s="3" t="s">
        <v>166</v>
      </c>
      <c r="E223" s="201">
        <v>37228</v>
      </c>
      <c r="F223" s="201">
        <v>37228</v>
      </c>
    </row>
    <row r="224" spans="1:6" x14ac:dyDescent="0.2">
      <c r="A224" s="3" t="s">
        <v>141</v>
      </c>
      <c r="B224" s="200" t="s">
        <v>165</v>
      </c>
      <c r="C224" s="4">
        <v>3549301</v>
      </c>
      <c r="D224" s="3" t="s">
        <v>166</v>
      </c>
      <c r="E224" s="201">
        <v>37228</v>
      </c>
      <c r="F224" s="201">
        <v>37228</v>
      </c>
    </row>
    <row r="225" spans="1:6" x14ac:dyDescent="0.2">
      <c r="A225" s="3" t="s">
        <v>141</v>
      </c>
      <c r="B225" s="4" t="s">
        <v>363</v>
      </c>
      <c r="C225" s="4">
        <v>3571701</v>
      </c>
      <c r="D225" s="3" t="s">
        <v>166</v>
      </c>
      <c r="E225" s="201">
        <v>37228</v>
      </c>
      <c r="F225" s="201">
        <v>37228</v>
      </c>
    </row>
    <row r="226" spans="1:6" x14ac:dyDescent="0.2">
      <c r="A226" s="3" t="s">
        <v>141</v>
      </c>
      <c r="B226" s="200" t="s">
        <v>29</v>
      </c>
      <c r="C226" s="4">
        <v>3573701</v>
      </c>
      <c r="D226" s="3" t="s">
        <v>166</v>
      </c>
      <c r="E226" s="201">
        <v>37228</v>
      </c>
    </row>
    <row r="227" spans="1:6" x14ac:dyDescent="0.2">
      <c r="A227" s="3" t="s">
        <v>296</v>
      </c>
      <c r="B227" s="4" t="s">
        <v>300</v>
      </c>
      <c r="C227" s="4">
        <v>3582101</v>
      </c>
      <c r="D227" s="3" t="s">
        <v>166</v>
      </c>
      <c r="E227" s="201">
        <v>37228</v>
      </c>
      <c r="F227" s="31">
        <v>37228</v>
      </c>
    </row>
    <row r="228" spans="1:6" x14ac:dyDescent="0.2">
      <c r="A228" s="3" t="s">
        <v>418</v>
      </c>
      <c r="B228" s="4" t="s">
        <v>424</v>
      </c>
      <c r="C228" s="4">
        <v>1070001</v>
      </c>
      <c r="D228" s="3" t="s">
        <v>425</v>
      </c>
      <c r="E228" s="201"/>
    </row>
    <row r="229" spans="1:6" x14ac:dyDescent="0.2">
      <c r="A229" s="3" t="s">
        <v>418</v>
      </c>
      <c r="B229" s="4" t="s">
        <v>426</v>
      </c>
      <c r="C229" s="4">
        <v>1077501</v>
      </c>
      <c r="D229" s="3" t="s">
        <v>425</v>
      </c>
      <c r="E229" s="201"/>
    </row>
    <row r="230" spans="1:6" x14ac:dyDescent="0.2">
      <c r="A230" s="3" t="s">
        <v>418</v>
      </c>
      <c r="B230" s="4" t="s">
        <v>479</v>
      </c>
      <c r="C230" s="4">
        <v>3511201</v>
      </c>
      <c r="D230" s="3" t="s">
        <v>425</v>
      </c>
      <c r="E230" s="201"/>
    </row>
    <row r="231" spans="1:6" x14ac:dyDescent="0.2">
      <c r="A231" s="3" t="s">
        <v>418</v>
      </c>
      <c r="B231" s="4" t="s">
        <v>506</v>
      </c>
      <c r="C231" s="4">
        <v>4025301</v>
      </c>
      <c r="D231" s="3" t="s">
        <v>425</v>
      </c>
      <c r="E231" s="201"/>
    </row>
    <row r="232" spans="1:6" x14ac:dyDescent="0.2">
      <c r="A232" s="3" t="s">
        <v>418</v>
      </c>
      <c r="B232" s="4" t="s">
        <v>507</v>
      </c>
      <c r="C232" s="4">
        <v>4026101</v>
      </c>
      <c r="D232" s="3" t="s">
        <v>425</v>
      </c>
      <c r="E232" s="201"/>
    </row>
    <row r="233" spans="1:6" x14ac:dyDescent="0.2">
      <c r="A233" s="3" t="s">
        <v>418</v>
      </c>
      <c r="B233" s="4" t="s">
        <v>523</v>
      </c>
      <c r="C233" s="4">
        <v>4194701</v>
      </c>
      <c r="D233" s="3" t="s">
        <v>425</v>
      </c>
      <c r="E233" s="201"/>
    </row>
    <row r="234" spans="1:6" x14ac:dyDescent="0.2">
      <c r="A234" s="3" t="s">
        <v>418</v>
      </c>
      <c r="B234" s="4" t="s">
        <v>525</v>
      </c>
      <c r="C234" s="4">
        <v>4335601</v>
      </c>
      <c r="D234" s="3" t="s">
        <v>425</v>
      </c>
      <c r="E234" s="201"/>
    </row>
    <row r="235" spans="1:6" x14ac:dyDescent="0.2">
      <c r="A235" s="3" t="s">
        <v>418</v>
      </c>
      <c r="B235" s="4" t="s">
        <v>526</v>
      </c>
      <c r="C235" s="4">
        <v>4336401</v>
      </c>
      <c r="D235" s="3" t="s">
        <v>425</v>
      </c>
      <c r="E235" s="201"/>
    </row>
    <row r="236" spans="1:6" x14ac:dyDescent="0.2">
      <c r="A236" s="3" t="s">
        <v>418</v>
      </c>
      <c r="B236" s="4" t="s">
        <v>527</v>
      </c>
      <c r="C236" s="4">
        <v>4338501</v>
      </c>
      <c r="D236" s="3" t="s">
        <v>425</v>
      </c>
      <c r="E236" s="201"/>
    </row>
    <row r="237" spans="1:6" x14ac:dyDescent="0.2">
      <c r="A237" s="3" t="s">
        <v>418</v>
      </c>
      <c r="B237" s="4" t="s">
        <v>528</v>
      </c>
      <c r="C237" s="4">
        <v>4339701</v>
      </c>
      <c r="D237" s="3" t="s">
        <v>425</v>
      </c>
      <c r="E237" s="201"/>
    </row>
    <row r="238" spans="1:6" x14ac:dyDescent="0.2">
      <c r="A238" s="3" t="s">
        <v>418</v>
      </c>
      <c r="B238" s="4" t="s">
        <v>501</v>
      </c>
      <c r="C238" s="4">
        <v>4004301</v>
      </c>
      <c r="D238" s="3" t="s">
        <v>502</v>
      </c>
      <c r="E238" s="201">
        <v>37256</v>
      </c>
      <c r="F238" s="201">
        <v>37256</v>
      </c>
    </row>
    <row r="239" spans="1:6" x14ac:dyDescent="0.2">
      <c r="A239" s="3" t="s">
        <v>418</v>
      </c>
      <c r="B239" s="4" t="s">
        <v>503</v>
      </c>
      <c r="C239" s="4">
        <v>4004801</v>
      </c>
      <c r="D239" s="3" t="s">
        <v>502</v>
      </c>
      <c r="E239" s="201">
        <v>37256</v>
      </c>
      <c r="F239" s="201">
        <v>37256</v>
      </c>
    </row>
    <row r="240" spans="1:6" x14ac:dyDescent="0.2">
      <c r="A240" s="3" t="s">
        <v>418</v>
      </c>
      <c r="B240" s="4" t="s">
        <v>504</v>
      </c>
      <c r="C240" s="4">
        <v>4017601</v>
      </c>
      <c r="D240" s="3" t="s">
        <v>502</v>
      </c>
      <c r="E240" s="201">
        <v>37256</v>
      </c>
      <c r="F240" s="201">
        <v>37256</v>
      </c>
    </row>
    <row r="241" spans="1:6" x14ac:dyDescent="0.2">
      <c r="A241" s="3" t="s">
        <v>418</v>
      </c>
      <c r="B241" s="4" t="s">
        <v>505</v>
      </c>
      <c r="C241" s="4">
        <v>4023001</v>
      </c>
      <c r="D241" s="3" t="s">
        <v>502</v>
      </c>
      <c r="E241" s="201">
        <v>37256</v>
      </c>
      <c r="F241" s="201">
        <v>37256</v>
      </c>
    </row>
    <row r="242" spans="1:6" x14ac:dyDescent="0.2">
      <c r="A242" s="3" t="s">
        <v>418</v>
      </c>
      <c r="B242" s="4" t="s">
        <v>508</v>
      </c>
      <c r="C242" s="4">
        <v>4036701</v>
      </c>
      <c r="D242" s="3" t="s">
        <v>502</v>
      </c>
      <c r="E242" s="201">
        <v>37256</v>
      </c>
      <c r="F242" s="201">
        <v>37256</v>
      </c>
    </row>
    <row r="243" spans="1:6" x14ac:dyDescent="0.2">
      <c r="A243" s="3" t="s">
        <v>418</v>
      </c>
      <c r="B243" s="4" t="s">
        <v>509</v>
      </c>
      <c r="C243" s="4">
        <v>4037201</v>
      </c>
      <c r="D243" s="3" t="s">
        <v>502</v>
      </c>
      <c r="E243" s="201">
        <v>37256</v>
      </c>
      <c r="F243" s="201">
        <v>37256</v>
      </c>
    </row>
    <row r="244" spans="1:6" x14ac:dyDescent="0.2">
      <c r="A244" s="3" t="s">
        <v>418</v>
      </c>
      <c r="B244" s="4" t="s">
        <v>511</v>
      </c>
      <c r="C244" s="4">
        <v>4051201</v>
      </c>
      <c r="D244" s="3" t="s">
        <v>502</v>
      </c>
      <c r="E244" s="201">
        <v>37256</v>
      </c>
      <c r="F244" s="201">
        <v>37256</v>
      </c>
    </row>
    <row r="245" spans="1:6" x14ac:dyDescent="0.2">
      <c r="A245" s="3" t="s">
        <v>418</v>
      </c>
      <c r="B245" s="4" t="s">
        <v>512</v>
      </c>
      <c r="C245" s="4">
        <v>4065201</v>
      </c>
      <c r="D245" s="3" t="s">
        <v>502</v>
      </c>
      <c r="E245" s="201">
        <v>37256</v>
      </c>
      <c r="F245" s="201">
        <v>37256</v>
      </c>
    </row>
    <row r="246" spans="1:6" x14ac:dyDescent="0.2">
      <c r="A246" s="3" t="s">
        <v>418</v>
      </c>
      <c r="B246" s="4" t="s">
        <v>513</v>
      </c>
      <c r="C246" s="4">
        <v>4075401</v>
      </c>
      <c r="D246" s="3" t="s">
        <v>502</v>
      </c>
      <c r="E246" s="201">
        <v>37256</v>
      </c>
      <c r="F246" s="201">
        <v>37256</v>
      </c>
    </row>
    <row r="247" spans="1:6" x14ac:dyDescent="0.2">
      <c r="A247" s="3" t="s">
        <v>418</v>
      </c>
      <c r="B247" s="4" t="s">
        <v>516</v>
      </c>
      <c r="C247" s="4">
        <v>4098601</v>
      </c>
      <c r="D247" s="3" t="s">
        <v>502</v>
      </c>
      <c r="E247" s="201">
        <v>37256</v>
      </c>
      <c r="F247" s="201">
        <v>37256</v>
      </c>
    </row>
    <row r="248" spans="1:6" x14ac:dyDescent="0.2">
      <c r="A248" s="3" t="s">
        <v>418</v>
      </c>
      <c r="B248" s="4" t="s">
        <v>517</v>
      </c>
      <c r="C248" s="4">
        <v>4099201</v>
      </c>
      <c r="D248" s="3" t="s">
        <v>502</v>
      </c>
      <c r="E248" s="201">
        <v>37256</v>
      </c>
      <c r="F248" s="201">
        <v>37256</v>
      </c>
    </row>
    <row r="249" spans="1:6" x14ac:dyDescent="0.2">
      <c r="A249" s="3" t="s">
        <v>418</v>
      </c>
      <c r="B249" s="4" t="s">
        <v>518</v>
      </c>
      <c r="C249" s="4">
        <v>4110101</v>
      </c>
      <c r="D249" s="3" t="s">
        <v>502</v>
      </c>
      <c r="E249" s="201">
        <v>37256</v>
      </c>
      <c r="F249" s="201">
        <v>37256</v>
      </c>
    </row>
    <row r="250" spans="1:6" x14ac:dyDescent="0.2">
      <c r="A250" s="3" t="s">
        <v>418</v>
      </c>
      <c r="B250" s="4" t="s">
        <v>519</v>
      </c>
      <c r="C250" s="4">
        <v>4110201</v>
      </c>
      <c r="D250" s="3" t="s">
        <v>502</v>
      </c>
      <c r="E250" s="201">
        <v>37256</v>
      </c>
      <c r="F250" s="201">
        <v>37256</v>
      </c>
    </row>
    <row r="251" spans="1:6" x14ac:dyDescent="0.2">
      <c r="A251" s="3" t="s">
        <v>418</v>
      </c>
      <c r="B251" s="4" t="s">
        <v>520</v>
      </c>
      <c r="C251" s="4">
        <v>4110301</v>
      </c>
      <c r="D251" s="3" t="s">
        <v>502</v>
      </c>
      <c r="E251" s="201">
        <v>37256</v>
      </c>
      <c r="F251" s="201">
        <v>37256</v>
      </c>
    </row>
    <row r="252" spans="1:6" x14ac:dyDescent="0.2">
      <c r="A252" s="3" t="s">
        <v>418</v>
      </c>
      <c r="B252" s="4" t="s">
        <v>521</v>
      </c>
      <c r="C252" s="4">
        <v>4110401</v>
      </c>
      <c r="D252" s="3" t="s">
        <v>502</v>
      </c>
      <c r="E252" s="201">
        <v>37256</v>
      </c>
      <c r="F252" s="201">
        <v>37256</v>
      </c>
    </row>
    <row r="253" spans="1:6" x14ac:dyDescent="0.2">
      <c r="A253" s="3" t="s">
        <v>418</v>
      </c>
      <c r="B253" s="4" t="s">
        <v>522</v>
      </c>
      <c r="C253" s="4">
        <v>4110701</v>
      </c>
      <c r="D253" s="3" t="s">
        <v>502</v>
      </c>
      <c r="E253" s="201">
        <v>37256</v>
      </c>
      <c r="F253" s="201">
        <v>37256</v>
      </c>
    </row>
    <row r="254" spans="1:6" x14ac:dyDescent="0.2">
      <c r="A254" s="3" t="s">
        <v>530</v>
      </c>
      <c r="B254" s="4" t="s">
        <v>535</v>
      </c>
      <c r="C254" s="4">
        <v>5156201</v>
      </c>
      <c r="D254" s="3" t="s">
        <v>502</v>
      </c>
      <c r="E254" s="201">
        <v>37256</v>
      </c>
      <c r="F254" s="201">
        <v>37256</v>
      </c>
    </row>
    <row r="255" spans="1:6" x14ac:dyDescent="0.2">
      <c r="A255" s="3" t="s">
        <v>530</v>
      </c>
      <c r="B255" s="4" t="s">
        <v>536</v>
      </c>
      <c r="C255" s="4">
        <v>5171101</v>
      </c>
      <c r="D255" s="3" t="s">
        <v>502</v>
      </c>
      <c r="E255" s="201">
        <v>37256</v>
      </c>
      <c r="F255" s="201">
        <v>37256</v>
      </c>
    </row>
    <row r="256" spans="1:6" x14ac:dyDescent="0.2">
      <c r="A256" s="3"/>
      <c r="B256" s="4"/>
      <c r="C256" s="4">
        <v>4102601</v>
      </c>
      <c r="D256" s="3" t="s">
        <v>502</v>
      </c>
      <c r="E256" s="201"/>
      <c r="F256" s="201">
        <v>37256</v>
      </c>
    </row>
    <row r="257" spans="1:6" x14ac:dyDescent="0.2">
      <c r="A257" s="3" t="s">
        <v>141</v>
      </c>
      <c r="B257" s="200" t="s">
        <v>220</v>
      </c>
      <c r="C257" s="4">
        <v>3086501</v>
      </c>
      <c r="D257" s="3" t="s">
        <v>221</v>
      </c>
      <c r="E257" s="201">
        <v>37228</v>
      </c>
    </row>
    <row r="258" spans="1:6" x14ac:dyDescent="0.2">
      <c r="A258" s="3" t="s">
        <v>141</v>
      </c>
      <c r="B258" s="4" t="s">
        <v>360</v>
      </c>
      <c r="C258" s="4">
        <v>3584101</v>
      </c>
      <c r="D258" s="92" t="s">
        <v>31</v>
      </c>
      <c r="E258" s="203">
        <v>37228</v>
      </c>
      <c r="F258" s="203">
        <v>37228</v>
      </c>
    </row>
    <row r="259" spans="1:6" x14ac:dyDescent="0.2">
      <c r="A259" s="3" t="s">
        <v>141</v>
      </c>
      <c r="B259" s="4" t="s">
        <v>362</v>
      </c>
      <c r="C259" s="4">
        <v>3584201</v>
      </c>
      <c r="D259" s="92" t="s">
        <v>31</v>
      </c>
      <c r="E259" s="203">
        <v>37228</v>
      </c>
      <c r="F259" s="203">
        <v>37228</v>
      </c>
    </row>
    <row r="260" spans="1:6" x14ac:dyDescent="0.2">
      <c r="A260" s="3" t="s">
        <v>141</v>
      </c>
      <c r="B260" s="200" t="s">
        <v>226</v>
      </c>
      <c r="C260" s="4">
        <v>4106301</v>
      </c>
      <c r="D260" s="92" t="s">
        <v>31</v>
      </c>
      <c r="E260" s="203">
        <v>37228</v>
      </c>
      <c r="F260" s="203">
        <v>37228</v>
      </c>
    </row>
    <row r="261" spans="1:6" x14ac:dyDescent="0.2">
      <c r="A261" s="3" t="s">
        <v>141</v>
      </c>
      <c r="B261" s="200" t="s">
        <v>187</v>
      </c>
      <c r="C261" s="4">
        <v>4362001</v>
      </c>
      <c r="D261" s="6" t="s">
        <v>31</v>
      </c>
      <c r="E261" s="203">
        <v>37228</v>
      </c>
      <c r="F261" s="203">
        <v>37228</v>
      </c>
    </row>
    <row r="262" spans="1:6" x14ac:dyDescent="0.2">
      <c r="A262" s="3" t="s">
        <v>629</v>
      </c>
      <c r="B262" s="200" t="s">
        <v>32</v>
      </c>
      <c r="C262" s="4" t="s">
        <v>629</v>
      </c>
      <c r="D262" s="3" t="s">
        <v>33</v>
      </c>
      <c r="E262" s="201"/>
    </row>
    <row r="263" spans="1:6" x14ac:dyDescent="0.2">
      <c r="A263" s="3" t="s">
        <v>629</v>
      </c>
      <c r="B263" s="200" t="s">
        <v>36</v>
      </c>
      <c r="C263" s="4" t="s">
        <v>629</v>
      </c>
      <c r="D263" s="3" t="s">
        <v>33</v>
      </c>
      <c r="E263" s="201"/>
    </row>
    <row r="264" spans="1:6" x14ac:dyDescent="0.2">
      <c r="A264" s="3" t="s">
        <v>629</v>
      </c>
      <c r="B264" s="200" t="s">
        <v>37</v>
      </c>
      <c r="C264" s="4" t="s">
        <v>629</v>
      </c>
      <c r="D264" s="3" t="s">
        <v>33</v>
      </c>
      <c r="E264" s="201"/>
    </row>
    <row r="265" spans="1:6" x14ac:dyDescent="0.2">
      <c r="A265" s="3" t="s">
        <v>629</v>
      </c>
      <c r="B265" s="200" t="s">
        <v>38</v>
      </c>
      <c r="C265" s="4" t="s">
        <v>629</v>
      </c>
      <c r="D265" s="3" t="s">
        <v>33</v>
      </c>
      <c r="E265" s="201"/>
    </row>
    <row r="266" spans="1:6" x14ac:dyDescent="0.2">
      <c r="A266" s="3" t="s">
        <v>629</v>
      </c>
      <c r="B266" s="200" t="s">
        <v>39</v>
      </c>
      <c r="C266" s="4" t="s">
        <v>629</v>
      </c>
      <c r="D266" s="3" t="s">
        <v>33</v>
      </c>
      <c r="E266" s="201"/>
    </row>
    <row r="267" spans="1:6" x14ac:dyDescent="0.2">
      <c r="A267" s="3" t="s">
        <v>629</v>
      </c>
      <c r="B267" s="200" t="s">
        <v>40</v>
      </c>
      <c r="C267" s="4" t="s">
        <v>629</v>
      </c>
      <c r="D267" s="3" t="s">
        <v>33</v>
      </c>
      <c r="E267" s="201"/>
    </row>
    <row r="268" spans="1:6" x14ac:dyDescent="0.2">
      <c r="A268" s="3" t="s">
        <v>629</v>
      </c>
      <c r="B268" s="200" t="s">
        <v>41</v>
      </c>
      <c r="C268" s="4" t="s">
        <v>629</v>
      </c>
      <c r="D268" s="3" t="s">
        <v>33</v>
      </c>
      <c r="E268" s="201"/>
    </row>
    <row r="269" spans="1:6" x14ac:dyDescent="0.2">
      <c r="A269" s="3" t="s">
        <v>629</v>
      </c>
      <c r="B269" s="200" t="s">
        <v>42</v>
      </c>
      <c r="C269" s="4" t="s">
        <v>629</v>
      </c>
      <c r="D269" s="3" t="s">
        <v>33</v>
      </c>
      <c r="E269" s="201"/>
    </row>
    <row r="270" spans="1:6" x14ac:dyDescent="0.2">
      <c r="A270" s="3" t="s">
        <v>629</v>
      </c>
      <c r="B270" s="200" t="s">
        <v>43</v>
      </c>
      <c r="C270" s="4" t="s">
        <v>629</v>
      </c>
      <c r="D270" s="3" t="s">
        <v>33</v>
      </c>
      <c r="E270" s="201"/>
    </row>
    <row r="271" spans="1:6" x14ac:dyDescent="0.2">
      <c r="A271" s="3" t="s">
        <v>141</v>
      </c>
      <c r="B271" s="200" t="s">
        <v>227</v>
      </c>
      <c r="C271" s="4">
        <v>3001401</v>
      </c>
      <c r="D271" s="3" t="s">
        <v>44</v>
      </c>
      <c r="E271" s="201">
        <v>37228</v>
      </c>
      <c r="F271" s="201">
        <v>37228</v>
      </c>
    </row>
    <row r="272" spans="1:6" x14ac:dyDescent="0.2">
      <c r="A272" s="3" t="s">
        <v>141</v>
      </c>
      <c r="B272" s="200" t="s">
        <v>228</v>
      </c>
      <c r="C272" s="4">
        <v>3001601</v>
      </c>
      <c r="D272" s="3" t="s">
        <v>44</v>
      </c>
      <c r="E272" s="201">
        <v>37228</v>
      </c>
      <c r="F272" s="201">
        <v>37228</v>
      </c>
    </row>
    <row r="273" spans="1:6" x14ac:dyDescent="0.2">
      <c r="A273" s="3" t="s">
        <v>141</v>
      </c>
      <c r="B273" s="200" t="s">
        <v>231</v>
      </c>
      <c r="C273" s="4">
        <v>3038201</v>
      </c>
      <c r="D273" s="3" t="s">
        <v>44</v>
      </c>
      <c r="E273" s="201">
        <v>37228</v>
      </c>
      <c r="F273" s="201">
        <v>37228</v>
      </c>
    </row>
    <row r="274" spans="1:6" x14ac:dyDescent="0.2">
      <c r="A274" s="3" t="s">
        <v>141</v>
      </c>
      <c r="B274" s="200" t="s">
        <v>229</v>
      </c>
      <c r="C274" s="4">
        <v>3043201</v>
      </c>
      <c r="D274" s="3" t="s">
        <v>44</v>
      </c>
      <c r="E274" s="201">
        <v>37228</v>
      </c>
      <c r="F274" s="201">
        <v>37228</v>
      </c>
    </row>
    <row r="275" spans="1:6" x14ac:dyDescent="0.2">
      <c r="A275" s="3" t="s">
        <v>141</v>
      </c>
      <c r="B275" s="200" t="s">
        <v>230</v>
      </c>
      <c r="C275" s="4">
        <v>3043401</v>
      </c>
      <c r="D275" s="3" t="s">
        <v>44</v>
      </c>
      <c r="E275" s="201">
        <v>37228</v>
      </c>
      <c r="F275" s="201">
        <v>37228</v>
      </c>
    </row>
    <row r="276" spans="1:6" x14ac:dyDescent="0.2">
      <c r="A276" s="3" t="s">
        <v>141</v>
      </c>
      <c r="B276" s="200" t="s">
        <v>287</v>
      </c>
      <c r="C276" s="4">
        <v>3127401</v>
      </c>
      <c r="D276" s="3" t="s">
        <v>51</v>
      </c>
      <c r="E276" s="201">
        <v>37257</v>
      </c>
      <c r="F276" s="201">
        <v>37257</v>
      </c>
    </row>
    <row r="277" spans="1:6" x14ac:dyDescent="0.2">
      <c r="A277" s="3" t="s">
        <v>141</v>
      </c>
      <c r="B277" s="200" t="s">
        <v>145</v>
      </c>
      <c r="C277" s="4">
        <v>3130401</v>
      </c>
      <c r="D277" s="3" t="s">
        <v>51</v>
      </c>
      <c r="E277" s="201">
        <v>37257</v>
      </c>
      <c r="F277" s="201">
        <v>37257</v>
      </c>
    </row>
    <row r="278" spans="1:6" x14ac:dyDescent="0.2">
      <c r="A278" s="3" t="s">
        <v>141</v>
      </c>
      <c r="B278" s="200" t="s">
        <v>286</v>
      </c>
      <c r="C278" s="4">
        <v>3131001</v>
      </c>
      <c r="D278" s="3" t="s">
        <v>51</v>
      </c>
      <c r="E278" s="201">
        <v>37257</v>
      </c>
      <c r="F278" s="201">
        <v>37257</v>
      </c>
    </row>
    <row r="279" spans="1:6" x14ac:dyDescent="0.2">
      <c r="A279" s="3" t="s">
        <v>141</v>
      </c>
      <c r="B279" s="200" t="s">
        <v>288</v>
      </c>
      <c r="C279" s="4">
        <v>3131101</v>
      </c>
      <c r="D279" s="3" t="s">
        <v>51</v>
      </c>
      <c r="E279" s="201">
        <v>37257</v>
      </c>
      <c r="F279" s="201">
        <v>37257</v>
      </c>
    </row>
    <row r="280" spans="1:6" x14ac:dyDescent="0.2">
      <c r="A280" s="3" t="s">
        <v>141</v>
      </c>
      <c r="B280" s="200" t="s">
        <v>289</v>
      </c>
      <c r="C280" s="4">
        <v>3327701</v>
      </c>
      <c r="D280" s="3" t="s">
        <v>51</v>
      </c>
      <c r="E280" s="201">
        <v>37257</v>
      </c>
      <c r="F280" s="201">
        <v>37257</v>
      </c>
    </row>
    <row r="281" spans="1:6" x14ac:dyDescent="0.2">
      <c r="A281" s="3" t="s">
        <v>141</v>
      </c>
      <c r="B281" s="200" t="s">
        <v>149</v>
      </c>
      <c r="C281" s="4">
        <v>3330401</v>
      </c>
      <c r="D281" s="3" t="s">
        <v>51</v>
      </c>
      <c r="E281" s="201">
        <v>37257</v>
      </c>
      <c r="F281" s="201">
        <v>37257</v>
      </c>
    </row>
    <row r="282" spans="1:6" x14ac:dyDescent="0.2">
      <c r="A282" s="3" t="s">
        <v>629</v>
      </c>
      <c r="B282" s="200" t="s">
        <v>48</v>
      </c>
      <c r="C282" s="4" t="s">
        <v>629</v>
      </c>
      <c r="D282" s="3" t="s">
        <v>51</v>
      </c>
      <c r="E282" s="201">
        <v>37257</v>
      </c>
    </row>
    <row r="283" spans="1:6" x14ac:dyDescent="0.2">
      <c r="A283" s="3" t="s">
        <v>141</v>
      </c>
      <c r="B283" s="200" t="s">
        <v>147</v>
      </c>
      <c r="C283" s="4">
        <v>3225601</v>
      </c>
      <c r="D283" s="3" t="s">
        <v>148</v>
      </c>
      <c r="E283" s="201">
        <v>37228</v>
      </c>
      <c r="F283" s="31">
        <v>37228</v>
      </c>
    </row>
    <row r="284" spans="1:6" x14ac:dyDescent="0.2">
      <c r="A284" s="3" t="s">
        <v>141</v>
      </c>
      <c r="B284" s="200" t="s">
        <v>234</v>
      </c>
      <c r="C284" s="4">
        <v>3231101</v>
      </c>
      <c r="D284" s="3" t="s">
        <v>148</v>
      </c>
      <c r="E284" s="201">
        <v>37228</v>
      </c>
      <c r="F284" s="31">
        <v>37228</v>
      </c>
    </row>
    <row r="285" spans="1:6" x14ac:dyDescent="0.2">
      <c r="A285" s="3" t="s">
        <v>141</v>
      </c>
      <c r="B285" s="200" t="s">
        <v>201</v>
      </c>
      <c r="C285" s="4">
        <v>3250501</v>
      </c>
      <c r="D285" s="3" t="s">
        <v>148</v>
      </c>
      <c r="E285" s="201">
        <v>37228</v>
      </c>
      <c r="F285" s="31">
        <v>37228</v>
      </c>
    </row>
    <row r="286" spans="1:6" x14ac:dyDescent="0.2">
      <c r="A286" s="3" t="s">
        <v>141</v>
      </c>
      <c r="B286" s="200" t="s">
        <v>283</v>
      </c>
      <c r="C286" s="4">
        <v>3325801</v>
      </c>
      <c r="D286" s="3" t="s">
        <v>53</v>
      </c>
      <c r="E286" s="201">
        <v>37257</v>
      </c>
    </row>
    <row r="287" spans="1:6" x14ac:dyDescent="0.2">
      <c r="A287" s="3" t="s">
        <v>141</v>
      </c>
      <c r="B287" s="200" t="s">
        <v>273</v>
      </c>
      <c r="C287" s="4">
        <v>3130301</v>
      </c>
      <c r="D287" s="3" t="s">
        <v>55</v>
      </c>
      <c r="E287" s="201">
        <v>37257</v>
      </c>
    </row>
    <row r="288" spans="1:6" x14ac:dyDescent="0.2">
      <c r="A288" s="3" t="s">
        <v>386</v>
      </c>
      <c r="B288" s="4" t="s">
        <v>401</v>
      </c>
      <c r="C288" s="4">
        <v>3133001</v>
      </c>
      <c r="D288" s="3" t="s">
        <v>55</v>
      </c>
      <c r="E288" s="201">
        <v>37257</v>
      </c>
    </row>
    <row r="289" spans="1:6" x14ac:dyDescent="0.2">
      <c r="A289" s="3" t="s">
        <v>386</v>
      </c>
      <c r="B289" s="4" t="s">
        <v>398</v>
      </c>
      <c r="C289" s="4">
        <v>3241501</v>
      </c>
      <c r="D289" s="3" t="s">
        <v>55</v>
      </c>
      <c r="E289" s="201">
        <v>37257</v>
      </c>
    </row>
    <row r="290" spans="1:6" x14ac:dyDescent="0.2">
      <c r="A290" s="3" t="s">
        <v>296</v>
      </c>
      <c r="B290" s="200" t="s">
        <v>307</v>
      </c>
      <c r="C290" s="4">
        <v>3394401</v>
      </c>
      <c r="D290" s="3" t="s">
        <v>55</v>
      </c>
      <c r="E290" s="201">
        <v>37257</v>
      </c>
    </row>
    <row r="291" spans="1:6" x14ac:dyDescent="0.2">
      <c r="A291" s="3" t="s">
        <v>386</v>
      </c>
      <c r="B291" s="4" t="s">
        <v>402</v>
      </c>
      <c r="C291" s="4">
        <v>3410301</v>
      </c>
      <c r="D291" s="3" t="s">
        <v>55</v>
      </c>
      <c r="E291" s="201">
        <v>37257</v>
      </c>
    </row>
    <row r="292" spans="1:6" x14ac:dyDescent="0.2">
      <c r="A292" s="3" t="s">
        <v>386</v>
      </c>
      <c r="B292" s="4" t="s">
        <v>400</v>
      </c>
      <c r="C292" s="4">
        <v>3415201</v>
      </c>
      <c r="D292" s="3" t="s">
        <v>55</v>
      </c>
      <c r="E292" s="201">
        <v>37257</v>
      </c>
    </row>
    <row r="293" spans="1:6" x14ac:dyDescent="0.2">
      <c r="A293" s="3" t="s">
        <v>386</v>
      </c>
      <c r="B293" s="4" t="s">
        <v>397</v>
      </c>
      <c r="C293" s="4">
        <v>3425601</v>
      </c>
      <c r="D293" s="3" t="s">
        <v>55</v>
      </c>
      <c r="E293" s="201">
        <v>37257</v>
      </c>
    </row>
    <row r="294" spans="1:6" x14ac:dyDescent="0.2">
      <c r="A294" s="3" t="s">
        <v>386</v>
      </c>
      <c r="B294" s="4" t="s">
        <v>399</v>
      </c>
      <c r="C294" s="4">
        <v>3533901</v>
      </c>
      <c r="D294" s="3" t="s">
        <v>55</v>
      </c>
      <c r="E294" s="201">
        <v>37257</v>
      </c>
    </row>
    <row r="295" spans="1:6" x14ac:dyDescent="0.2">
      <c r="A295" s="3" t="s">
        <v>386</v>
      </c>
      <c r="B295" s="4" t="s">
        <v>357</v>
      </c>
      <c r="C295" s="4">
        <v>3587701</v>
      </c>
      <c r="D295" s="3" t="s">
        <v>55</v>
      </c>
      <c r="E295" s="201">
        <v>37257</v>
      </c>
    </row>
    <row r="296" spans="1:6" x14ac:dyDescent="0.2">
      <c r="A296" s="3" t="s">
        <v>113</v>
      </c>
      <c r="B296" s="200" t="s">
        <v>120</v>
      </c>
      <c r="C296" s="4">
        <v>4156001</v>
      </c>
      <c r="D296" s="3" t="s">
        <v>55</v>
      </c>
      <c r="E296" s="201">
        <v>37257</v>
      </c>
    </row>
    <row r="297" spans="1:6" x14ac:dyDescent="0.2">
      <c r="A297" s="3" t="s">
        <v>141</v>
      </c>
      <c r="B297" s="200" t="s">
        <v>276</v>
      </c>
      <c r="C297" s="4">
        <v>4243601</v>
      </c>
      <c r="D297" s="3" t="s">
        <v>55</v>
      </c>
      <c r="E297" s="201">
        <v>37257</v>
      </c>
    </row>
    <row r="298" spans="1:6" x14ac:dyDescent="0.2">
      <c r="A298" s="24" t="s">
        <v>141</v>
      </c>
      <c r="B298" s="204" t="s">
        <v>251</v>
      </c>
      <c r="C298" s="202">
        <v>3422001</v>
      </c>
      <c r="D298" s="3" t="s">
        <v>252</v>
      </c>
      <c r="E298" s="201">
        <v>37228</v>
      </c>
    </row>
    <row r="299" spans="1:6" x14ac:dyDescent="0.2">
      <c r="A299" s="3" t="s">
        <v>113</v>
      </c>
      <c r="B299" s="200" t="s">
        <v>115</v>
      </c>
      <c r="C299" s="4">
        <v>4315601</v>
      </c>
      <c r="D299" s="6" t="s">
        <v>58</v>
      </c>
      <c r="E299" s="207"/>
      <c r="F299" s="31">
        <v>37225</v>
      </c>
    </row>
    <row r="300" spans="1:6" x14ac:dyDescent="0.2">
      <c r="A300" s="3" t="s">
        <v>629</v>
      </c>
      <c r="B300" s="200" t="s">
        <v>57</v>
      </c>
      <c r="C300" s="4" t="s">
        <v>629</v>
      </c>
      <c r="D300" s="6" t="s">
        <v>58</v>
      </c>
      <c r="E300" s="203"/>
      <c r="F300" s="31">
        <v>37225</v>
      </c>
    </row>
    <row r="301" spans="1:6" x14ac:dyDescent="0.2">
      <c r="A301" s="3" t="s">
        <v>629</v>
      </c>
      <c r="B301" s="200" t="s">
        <v>60</v>
      </c>
      <c r="C301" s="4" t="s">
        <v>629</v>
      </c>
      <c r="D301" s="6" t="s">
        <v>58</v>
      </c>
      <c r="E301" s="203"/>
      <c r="F301" s="31">
        <v>37225</v>
      </c>
    </row>
    <row r="302" spans="1:6" x14ac:dyDescent="0.2">
      <c r="A302" s="3" t="s">
        <v>629</v>
      </c>
      <c r="B302" s="200" t="s">
        <v>61</v>
      </c>
      <c r="C302" s="4" t="s">
        <v>629</v>
      </c>
      <c r="D302" s="6" t="s">
        <v>58</v>
      </c>
      <c r="E302" s="203"/>
      <c r="F302" s="31">
        <v>37225</v>
      </c>
    </row>
    <row r="303" spans="1:6" x14ac:dyDescent="0.2">
      <c r="A303" s="3" t="s">
        <v>629</v>
      </c>
      <c r="B303" s="200" t="s">
        <v>62</v>
      </c>
      <c r="C303" s="4" t="s">
        <v>629</v>
      </c>
      <c r="D303" s="6" t="s">
        <v>58</v>
      </c>
      <c r="E303" s="203"/>
      <c r="F303" s="31">
        <v>37225</v>
      </c>
    </row>
    <row r="304" spans="1:6" x14ac:dyDescent="0.2">
      <c r="A304" s="3" t="s">
        <v>629</v>
      </c>
      <c r="B304" s="200" t="s">
        <v>63</v>
      </c>
      <c r="C304" s="4" t="s">
        <v>629</v>
      </c>
      <c r="D304" s="6" t="s">
        <v>58</v>
      </c>
      <c r="E304" s="203"/>
      <c r="F304" s="31">
        <v>37225</v>
      </c>
    </row>
    <row r="305" spans="1:6" x14ac:dyDescent="0.2">
      <c r="A305" s="3" t="s">
        <v>629</v>
      </c>
      <c r="B305" s="200" t="s">
        <v>64</v>
      </c>
      <c r="C305" s="4" t="s">
        <v>629</v>
      </c>
      <c r="D305" s="6" t="s">
        <v>58</v>
      </c>
      <c r="E305" s="203"/>
      <c r="F305" s="31">
        <v>37225</v>
      </c>
    </row>
    <row r="306" spans="1:6" x14ac:dyDescent="0.2">
      <c r="A306" s="3" t="s">
        <v>629</v>
      </c>
      <c r="B306" s="200" t="s">
        <v>65</v>
      </c>
      <c r="C306" s="4" t="s">
        <v>629</v>
      </c>
      <c r="D306" s="6" t="s">
        <v>58</v>
      </c>
      <c r="E306" s="203"/>
      <c r="F306" s="31">
        <v>37225</v>
      </c>
    </row>
    <row r="307" spans="1:6" x14ac:dyDescent="0.2">
      <c r="A307" s="3" t="s">
        <v>629</v>
      </c>
      <c r="B307" s="200" t="s">
        <v>66</v>
      </c>
      <c r="C307" s="4" t="s">
        <v>629</v>
      </c>
      <c r="D307" s="6" t="s">
        <v>58</v>
      </c>
      <c r="E307" s="203"/>
      <c r="F307" s="31">
        <v>37225</v>
      </c>
    </row>
    <row r="308" spans="1:6" x14ac:dyDescent="0.2">
      <c r="A308" s="3" t="s">
        <v>629</v>
      </c>
      <c r="B308" s="200" t="s">
        <v>67</v>
      </c>
      <c r="C308" s="4" t="s">
        <v>629</v>
      </c>
      <c r="D308" s="6" t="s">
        <v>58</v>
      </c>
      <c r="E308" s="203"/>
      <c r="F308" s="31">
        <v>37225</v>
      </c>
    </row>
    <row r="309" spans="1:6" x14ac:dyDescent="0.2">
      <c r="A309" s="3"/>
      <c r="B309" s="200">
        <v>3585701</v>
      </c>
      <c r="C309" s="4"/>
      <c r="D309" s="6" t="s">
        <v>58</v>
      </c>
      <c r="E309" s="203"/>
      <c r="F309" s="31">
        <v>37225</v>
      </c>
    </row>
    <row r="310" spans="1:6" x14ac:dyDescent="0.2">
      <c r="A310" s="3"/>
      <c r="B310" s="200">
        <v>4371501</v>
      </c>
      <c r="C310" s="4"/>
      <c r="D310" s="6" t="s">
        <v>58</v>
      </c>
      <c r="E310" s="203"/>
      <c r="F310" s="31">
        <v>37225</v>
      </c>
    </row>
    <row r="311" spans="1:6" x14ac:dyDescent="0.2">
      <c r="A311" s="3"/>
      <c r="B311" s="200">
        <v>4371601</v>
      </c>
      <c r="C311" s="4"/>
      <c r="D311" s="6" t="s">
        <v>58</v>
      </c>
      <c r="E311" s="203"/>
      <c r="F311" s="31">
        <v>37225</v>
      </c>
    </row>
    <row r="312" spans="1:6" x14ac:dyDescent="0.2">
      <c r="A312" s="3" t="s">
        <v>124</v>
      </c>
      <c r="B312" s="200" t="s">
        <v>131</v>
      </c>
      <c r="C312" s="4">
        <v>2095501</v>
      </c>
      <c r="D312" s="3" t="s">
        <v>329</v>
      </c>
      <c r="E312" s="201"/>
      <c r="F312" s="31">
        <v>37228</v>
      </c>
    </row>
    <row r="313" spans="1:6" x14ac:dyDescent="0.2">
      <c r="A313" s="3" t="s">
        <v>141</v>
      </c>
      <c r="B313" s="200" t="s">
        <v>271</v>
      </c>
      <c r="C313" s="4">
        <v>3127501</v>
      </c>
      <c r="D313" s="3" t="s">
        <v>272</v>
      </c>
      <c r="E313" s="201"/>
    </row>
    <row r="314" spans="1:6" x14ac:dyDescent="0.2">
      <c r="A314" s="3" t="s">
        <v>141</v>
      </c>
      <c r="B314" s="200" t="s">
        <v>197</v>
      </c>
      <c r="C314" s="4">
        <v>3402401</v>
      </c>
      <c r="D314" s="81" t="s">
        <v>333</v>
      </c>
      <c r="E314" s="205">
        <v>37347</v>
      </c>
    </row>
    <row r="315" spans="1:6" x14ac:dyDescent="0.2">
      <c r="A315" s="3" t="s">
        <v>418</v>
      </c>
      <c r="B315" s="4" t="s">
        <v>464</v>
      </c>
      <c r="C315" s="4">
        <v>3245701</v>
      </c>
      <c r="D315" s="3" t="s">
        <v>465</v>
      </c>
      <c r="E315" s="201">
        <v>37228</v>
      </c>
    </row>
    <row r="316" spans="1:6" x14ac:dyDescent="0.2">
      <c r="A316" s="3" t="s">
        <v>141</v>
      </c>
      <c r="B316" s="200" t="s">
        <v>193</v>
      </c>
      <c r="C316" s="4">
        <v>4366901</v>
      </c>
      <c r="D316" s="6" t="s">
        <v>71</v>
      </c>
      <c r="E316" s="203">
        <v>37228</v>
      </c>
    </row>
    <row r="317" spans="1:6" x14ac:dyDescent="0.2">
      <c r="A317" s="3" t="s">
        <v>141</v>
      </c>
      <c r="B317" s="200" t="s">
        <v>268</v>
      </c>
      <c r="C317" s="4">
        <v>3007601</v>
      </c>
      <c r="D317" s="3" t="s">
        <v>217</v>
      </c>
      <c r="E317" s="201">
        <v>37257</v>
      </c>
      <c r="F317" s="201">
        <v>37257</v>
      </c>
    </row>
    <row r="318" spans="1:6" x14ac:dyDescent="0.2">
      <c r="A318" s="3" t="s">
        <v>141</v>
      </c>
      <c r="B318" s="200" t="s">
        <v>216</v>
      </c>
      <c r="C318" s="4">
        <v>3234701</v>
      </c>
      <c r="D318" s="3" t="s">
        <v>217</v>
      </c>
      <c r="E318" s="201">
        <v>37257</v>
      </c>
      <c r="F318" s="201">
        <v>37257</v>
      </c>
    </row>
    <row r="319" spans="1:6" x14ac:dyDescent="0.2">
      <c r="A319" s="3" t="s">
        <v>141</v>
      </c>
      <c r="B319" s="200" t="s">
        <v>269</v>
      </c>
      <c r="C319" s="4">
        <v>3427701</v>
      </c>
      <c r="D319" s="3" t="s">
        <v>217</v>
      </c>
      <c r="E319" s="201">
        <v>37257</v>
      </c>
      <c r="F319" s="201">
        <v>37257</v>
      </c>
    </row>
    <row r="320" spans="1:6" x14ac:dyDescent="0.2">
      <c r="A320" s="3" t="s">
        <v>296</v>
      </c>
      <c r="B320" s="200" t="s">
        <v>301</v>
      </c>
      <c r="C320" s="4">
        <v>3514402</v>
      </c>
      <c r="D320" s="3" t="s">
        <v>217</v>
      </c>
      <c r="E320" s="201">
        <v>37257</v>
      </c>
      <c r="F320" s="201">
        <v>37257</v>
      </c>
    </row>
    <row r="321" spans="1:6" x14ac:dyDescent="0.2">
      <c r="A321" s="3" t="s">
        <v>141</v>
      </c>
      <c r="B321" s="200" t="s">
        <v>267</v>
      </c>
      <c r="C321" s="4">
        <v>4044101</v>
      </c>
      <c r="D321" s="3" t="s">
        <v>217</v>
      </c>
      <c r="E321" s="201">
        <v>37257</v>
      </c>
      <c r="F321" s="201">
        <v>37257</v>
      </c>
    </row>
    <row r="322" spans="1:6" x14ac:dyDescent="0.2">
      <c r="A322" s="3" t="s">
        <v>629</v>
      </c>
      <c r="B322" s="200" t="s">
        <v>74</v>
      </c>
      <c r="C322" s="4" t="s">
        <v>629</v>
      </c>
      <c r="D322" s="3" t="s">
        <v>217</v>
      </c>
      <c r="E322" s="201">
        <v>37257</v>
      </c>
      <c r="F322" s="201">
        <v>37257</v>
      </c>
    </row>
    <row r="323" spans="1:6" x14ac:dyDescent="0.2">
      <c r="A323" s="3"/>
      <c r="B323" s="200"/>
      <c r="C323" s="4">
        <v>4050001</v>
      </c>
      <c r="D323" s="3" t="s">
        <v>217</v>
      </c>
      <c r="E323" s="201"/>
      <c r="F323" s="201">
        <v>37257</v>
      </c>
    </row>
    <row r="324" spans="1:6" x14ac:dyDescent="0.2">
      <c r="A324" s="3"/>
      <c r="B324" s="200"/>
      <c r="C324" s="4">
        <v>4058001</v>
      </c>
      <c r="D324" s="3" t="s">
        <v>217</v>
      </c>
      <c r="E324" s="201"/>
      <c r="F324" s="201">
        <v>37257</v>
      </c>
    </row>
    <row r="325" spans="1:6" x14ac:dyDescent="0.2">
      <c r="A325" s="3"/>
      <c r="B325" s="200"/>
      <c r="C325" s="4">
        <v>4143601</v>
      </c>
      <c r="D325" s="3" t="s">
        <v>217</v>
      </c>
      <c r="E325" s="201"/>
      <c r="F325" s="201">
        <v>37257</v>
      </c>
    </row>
    <row r="326" spans="1:6" x14ac:dyDescent="0.2">
      <c r="A326" s="3" t="s">
        <v>141</v>
      </c>
      <c r="B326" s="200" t="s">
        <v>248</v>
      </c>
      <c r="C326" s="4">
        <v>4324601</v>
      </c>
      <c r="D326" s="3" t="s">
        <v>249</v>
      </c>
      <c r="E326" s="201">
        <v>37228</v>
      </c>
    </row>
    <row r="327" spans="1:6" x14ac:dyDescent="0.2">
      <c r="A327" s="3" t="s">
        <v>629</v>
      </c>
      <c r="B327" s="200" t="s">
        <v>77</v>
      </c>
      <c r="C327" s="4" t="s">
        <v>629</v>
      </c>
      <c r="D327" s="6" t="s">
        <v>78</v>
      </c>
      <c r="E327" s="203"/>
    </row>
    <row r="328" spans="1:6" x14ac:dyDescent="0.2">
      <c r="A328" s="3" t="s">
        <v>629</v>
      </c>
      <c r="B328" s="200" t="s">
        <v>81</v>
      </c>
      <c r="C328" s="4" t="s">
        <v>629</v>
      </c>
      <c r="D328" s="6" t="s">
        <v>82</v>
      </c>
      <c r="E328" s="203"/>
    </row>
    <row r="329" spans="1:6" x14ac:dyDescent="0.2">
      <c r="A329" s="3" t="s">
        <v>629</v>
      </c>
      <c r="B329" s="200" t="s">
        <v>83</v>
      </c>
      <c r="C329" s="4" t="s">
        <v>629</v>
      </c>
      <c r="D329" s="6" t="s">
        <v>84</v>
      </c>
      <c r="E329" s="203"/>
    </row>
    <row r="330" spans="1:6" x14ac:dyDescent="0.2">
      <c r="A330" s="3" t="s">
        <v>629</v>
      </c>
      <c r="B330" s="200" t="s">
        <v>85</v>
      </c>
      <c r="C330" s="4" t="s">
        <v>629</v>
      </c>
      <c r="D330" s="6" t="s">
        <v>84</v>
      </c>
      <c r="E330" s="203"/>
    </row>
    <row r="331" spans="1:6" x14ac:dyDescent="0.2">
      <c r="A331" s="3" t="s">
        <v>418</v>
      </c>
      <c r="B331" s="4" t="s">
        <v>578</v>
      </c>
      <c r="C331" s="4">
        <v>3564701</v>
      </c>
      <c r="D331" s="3" t="s">
        <v>683</v>
      </c>
      <c r="E331" s="201"/>
    </row>
    <row r="332" spans="1:6" x14ac:dyDescent="0.2">
      <c r="A332" s="3" t="s">
        <v>418</v>
      </c>
      <c r="B332" s="4" t="s">
        <v>580</v>
      </c>
      <c r="C332" s="4">
        <v>3564801</v>
      </c>
      <c r="D332" s="3" t="s">
        <v>683</v>
      </c>
      <c r="E332" s="201"/>
    </row>
    <row r="333" spans="1:6" x14ac:dyDescent="0.2">
      <c r="A333" s="3" t="s">
        <v>113</v>
      </c>
      <c r="B333" s="4" t="s">
        <v>114</v>
      </c>
      <c r="C333" s="4">
        <v>3557501</v>
      </c>
      <c r="D333" s="3" t="s">
        <v>574</v>
      </c>
      <c r="E333" s="201"/>
      <c r="F333" s="31">
        <v>37227</v>
      </c>
    </row>
    <row r="334" spans="1:6" x14ac:dyDescent="0.2">
      <c r="A334" s="3" t="s">
        <v>113</v>
      </c>
      <c r="B334" s="4" t="s">
        <v>117</v>
      </c>
      <c r="C334" s="4">
        <v>4348401</v>
      </c>
      <c r="D334" s="3" t="s">
        <v>574</v>
      </c>
      <c r="E334" s="201"/>
      <c r="F334" s="31">
        <v>37227</v>
      </c>
    </row>
    <row r="335" spans="1:6" x14ac:dyDescent="0.2">
      <c r="A335" s="3"/>
      <c r="B335" s="4"/>
      <c r="C335" s="4">
        <v>3402401</v>
      </c>
      <c r="D335" s="3" t="s">
        <v>574</v>
      </c>
      <c r="E335" s="201"/>
      <c r="F335" s="31">
        <v>37227</v>
      </c>
    </row>
    <row r="336" spans="1:6" x14ac:dyDescent="0.2">
      <c r="A336" s="3"/>
      <c r="B336" s="4"/>
      <c r="C336" s="4">
        <v>3557401</v>
      </c>
      <c r="D336" s="3" t="s">
        <v>574</v>
      </c>
      <c r="E336" s="201"/>
      <c r="F336" s="31">
        <v>37227</v>
      </c>
    </row>
    <row r="337" spans="1:6" x14ac:dyDescent="0.2">
      <c r="A337" s="3"/>
      <c r="B337" s="4"/>
      <c r="C337" s="4">
        <v>3249501</v>
      </c>
      <c r="D337" s="3" t="s">
        <v>574</v>
      </c>
      <c r="E337" s="201"/>
      <c r="F337" s="31">
        <v>37227</v>
      </c>
    </row>
    <row r="338" spans="1:6" x14ac:dyDescent="0.2">
      <c r="A338" s="3"/>
      <c r="B338" s="4"/>
      <c r="C338" s="4">
        <v>3242601</v>
      </c>
      <c r="D338" s="3" t="s">
        <v>574</v>
      </c>
      <c r="E338" s="201"/>
      <c r="F338" s="31">
        <v>37227</v>
      </c>
    </row>
    <row r="339" spans="1:6" x14ac:dyDescent="0.2">
      <c r="A339" s="3"/>
      <c r="B339" s="4"/>
      <c r="C339" s="4">
        <v>3249801</v>
      </c>
      <c r="D339" s="3" t="s">
        <v>574</v>
      </c>
      <c r="E339" s="201"/>
      <c r="F339" s="31">
        <v>37227</v>
      </c>
    </row>
    <row r="340" spans="1:6" x14ac:dyDescent="0.2">
      <c r="A340" s="3"/>
      <c r="B340" s="4"/>
      <c r="C340" s="4">
        <v>3118101</v>
      </c>
      <c r="D340" s="3" t="s">
        <v>574</v>
      </c>
      <c r="E340" s="201"/>
      <c r="F340" s="31">
        <v>37227</v>
      </c>
    </row>
    <row r="341" spans="1:6" x14ac:dyDescent="0.2">
      <c r="A341" s="3"/>
      <c r="B341" s="4"/>
      <c r="C341" s="4">
        <v>3244301</v>
      </c>
      <c r="D341" s="3" t="s">
        <v>574</v>
      </c>
      <c r="E341" s="201"/>
      <c r="F341" s="31">
        <v>37227</v>
      </c>
    </row>
    <row r="342" spans="1:6" x14ac:dyDescent="0.2">
      <c r="A342" s="3"/>
      <c r="B342" s="4"/>
      <c r="C342" s="4">
        <v>3402701</v>
      </c>
      <c r="D342" s="3" t="s">
        <v>574</v>
      </c>
      <c r="E342" s="201"/>
      <c r="F342" s="31">
        <v>37227</v>
      </c>
    </row>
    <row r="343" spans="1:6" x14ac:dyDescent="0.2">
      <c r="A343" s="3"/>
      <c r="B343" s="4"/>
      <c r="C343" s="4">
        <v>3247301</v>
      </c>
      <c r="D343" s="3" t="s">
        <v>574</v>
      </c>
      <c r="E343" s="201"/>
      <c r="F343" s="31">
        <v>37227</v>
      </c>
    </row>
    <row r="344" spans="1:6" x14ac:dyDescent="0.2">
      <c r="A344" s="3"/>
      <c r="B344" s="4"/>
      <c r="C344" s="4">
        <v>4283501</v>
      </c>
      <c r="D344" s="3" t="s">
        <v>574</v>
      </c>
      <c r="E344" s="201"/>
      <c r="F344" s="31">
        <v>37227</v>
      </c>
    </row>
    <row r="345" spans="1:6" x14ac:dyDescent="0.2">
      <c r="A345" s="3"/>
      <c r="B345" s="4"/>
      <c r="C345" s="4">
        <v>3252301</v>
      </c>
      <c r="D345" s="3" t="s">
        <v>574</v>
      </c>
      <c r="E345" s="201"/>
      <c r="F345" s="31">
        <v>37227</v>
      </c>
    </row>
    <row r="346" spans="1:6" x14ac:dyDescent="0.2">
      <c r="A346" s="3" t="s">
        <v>629</v>
      </c>
      <c r="B346" s="200">
        <v>5168401</v>
      </c>
      <c r="C346" s="4" t="s">
        <v>629</v>
      </c>
      <c r="D346" s="81" t="s">
        <v>612</v>
      </c>
      <c r="E346" s="205"/>
    </row>
    <row r="347" spans="1:6" x14ac:dyDescent="0.2">
      <c r="A347" s="3" t="s">
        <v>629</v>
      </c>
      <c r="B347" s="200" t="s">
        <v>87</v>
      </c>
      <c r="C347" s="4" t="s">
        <v>629</v>
      </c>
      <c r="D347" s="81" t="s">
        <v>612</v>
      </c>
      <c r="E347" s="205"/>
      <c r="F347" s="31">
        <v>37228</v>
      </c>
    </row>
    <row r="348" spans="1:6" x14ac:dyDescent="0.2">
      <c r="A348" s="3" t="s">
        <v>629</v>
      </c>
      <c r="B348" s="200" t="s">
        <v>90</v>
      </c>
      <c r="C348" s="4" t="s">
        <v>629</v>
      </c>
      <c r="D348" s="81" t="s">
        <v>612</v>
      </c>
      <c r="E348" s="205"/>
      <c r="F348" s="31">
        <v>37228</v>
      </c>
    </row>
    <row r="349" spans="1:6" x14ac:dyDescent="0.2">
      <c r="A349" s="3" t="s">
        <v>629</v>
      </c>
      <c r="B349" s="200" t="s">
        <v>96</v>
      </c>
      <c r="C349" s="4" t="s">
        <v>629</v>
      </c>
      <c r="D349" s="81" t="s">
        <v>612</v>
      </c>
      <c r="E349" s="205"/>
      <c r="F349" s="31">
        <v>37228</v>
      </c>
    </row>
    <row r="350" spans="1:6" x14ac:dyDescent="0.2">
      <c r="A350" s="3" t="s">
        <v>629</v>
      </c>
      <c r="B350" s="200" t="s">
        <v>88</v>
      </c>
      <c r="C350" s="4" t="s">
        <v>629</v>
      </c>
      <c r="D350" s="81" t="s">
        <v>612</v>
      </c>
      <c r="E350" s="205"/>
      <c r="F350" s="31">
        <v>37228</v>
      </c>
    </row>
    <row r="351" spans="1:6" x14ac:dyDescent="0.2">
      <c r="A351" s="3" t="s">
        <v>629</v>
      </c>
      <c r="B351" s="200" t="s">
        <v>89</v>
      </c>
      <c r="C351" s="4" t="s">
        <v>629</v>
      </c>
      <c r="D351" s="81" t="s">
        <v>612</v>
      </c>
      <c r="E351" s="205"/>
      <c r="F351" s="31">
        <v>37228</v>
      </c>
    </row>
    <row r="352" spans="1:6" x14ac:dyDescent="0.2">
      <c r="A352" s="3" t="s">
        <v>141</v>
      </c>
      <c r="B352" s="200" t="s">
        <v>199</v>
      </c>
      <c r="C352" s="4">
        <v>3190601</v>
      </c>
      <c r="D352" s="3" t="s">
        <v>200</v>
      </c>
      <c r="E352" s="201">
        <v>37228</v>
      </c>
    </row>
    <row r="353" spans="1:6" x14ac:dyDescent="0.2">
      <c r="A353" s="3" t="s">
        <v>629</v>
      </c>
      <c r="B353" s="200" t="s">
        <v>302</v>
      </c>
      <c r="C353" s="4" t="s">
        <v>629</v>
      </c>
      <c r="D353" s="6" t="s">
        <v>303</v>
      </c>
      <c r="E353" s="203"/>
    </row>
    <row r="354" spans="1:6" x14ac:dyDescent="0.2">
      <c r="A354" s="3" t="s">
        <v>124</v>
      </c>
      <c r="B354" s="200" t="s">
        <v>125</v>
      </c>
      <c r="C354" s="4">
        <v>2062201</v>
      </c>
      <c r="D354" s="3" t="s">
        <v>126</v>
      </c>
      <c r="E354" s="201"/>
    </row>
    <row r="355" spans="1:6" x14ac:dyDescent="0.2">
      <c r="A355" s="3" t="s">
        <v>386</v>
      </c>
      <c r="B355" s="4" t="s">
        <v>405</v>
      </c>
      <c r="C355" s="4">
        <v>3425301</v>
      </c>
      <c r="D355" s="3" t="s">
        <v>404</v>
      </c>
      <c r="E355" s="201">
        <v>37257</v>
      </c>
      <c r="F355" s="201">
        <v>37257</v>
      </c>
    </row>
    <row r="356" spans="1:6" x14ac:dyDescent="0.2">
      <c r="A356" s="3" t="s">
        <v>386</v>
      </c>
      <c r="B356" s="4" t="s">
        <v>403</v>
      </c>
      <c r="C356" s="4">
        <v>4244501</v>
      </c>
      <c r="D356" s="3" t="s">
        <v>404</v>
      </c>
      <c r="E356" s="201">
        <v>37257</v>
      </c>
      <c r="F356" s="201">
        <v>37257</v>
      </c>
    </row>
    <row r="357" spans="1:6" x14ac:dyDescent="0.2">
      <c r="C357" s="224">
        <v>3508401</v>
      </c>
      <c r="D357" s="3" t="s">
        <v>404</v>
      </c>
      <c r="F357" s="201">
        <v>37257</v>
      </c>
    </row>
    <row r="358" spans="1:6" x14ac:dyDescent="0.2">
      <c r="C358" s="224">
        <v>3507901</v>
      </c>
      <c r="D358" s="3" t="s">
        <v>404</v>
      </c>
      <c r="F358" s="201">
        <v>37257</v>
      </c>
    </row>
    <row r="359" spans="1:6" x14ac:dyDescent="0.2">
      <c r="C359" s="224">
        <v>3427001</v>
      </c>
      <c r="D359" s="3" t="s">
        <v>404</v>
      </c>
      <c r="F359" s="201">
        <v>37257</v>
      </c>
    </row>
    <row r="360" spans="1:6" x14ac:dyDescent="0.2">
      <c r="C360" s="224">
        <v>3507801</v>
      </c>
      <c r="D360" s="3" t="s">
        <v>404</v>
      </c>
      <c r="F360" s="201">
        <v>37257</v>
      </c>
    </row>
  </sheetData>
  <autoFilter ref="A1:E356"/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opLeftCell="A225" workbookViewId="0">
      <selection activeCell="F2" sqref="F2"/>
    </sheetView>
  </sheetViews>
  <sheetFormatPr defaultRowHeight="12.75" x14ac:dyDescent="0.2"/>
  <cols>
    <col min="1" max="1" width="15.5703125" bestFit="1" customWidth="1"/>
  </cols>
  <sheetData>
    <row r="1" spans="1:6" x14ac:dyDescent="0.2">
      <c r="A1" t="s">
        <v>348</v>
      </c>
      <c r="C1" t="s">
        <v>349</v>
      </c>
      <c r="D1" t="s">
        <v>350</v>
      </c>
    </row>
    <row r="2" spans="1:6" x14ac:dyDescent="0.2">
      <c r="A2" t="s">
        <v>297</v>
      </c>
      <c r="B2" t="str">
        <f t="shared" ref="B2:B65" si="0">IF(ISNA(VLOOKUP(A2,Dedcode,4)),"na",VLOOKUP(A2,Dedcode,4))</f>
        <v>TW</v>
      </c>
      <c r="C2">
        <v>102</v>
      </c>
      <c r="D2">
        <v>1466</v>
      </c>
      <c r="E2">
        <f>C2-ROUND(+C2*(VLOOKUP(B2,cngded,6,FALSE)),0)</f>
        <v>98</v>
      </c>
      <c r="F2">
        <f>D2-ROUND(+D2*(VLOOKUP(B2,cngded,6,FALSE)),0)</f>
        <v>1409</v>
      </c>
    </row>
    <row r="3" spans="1:6" x14ac:dyDescent="0.2">
      <c r="A3" t="s">
        <v>408</v>
      </c>
      <c r="B3" t="str">
        <f t="shared" si="0"/>
        <v>TW</v>
      </c>
      <c r="C3">
        <v>12</v>
      </c>
      <c r="D3">
        <v>150</v>
      </c>
      <c r="E3">
        <f t="shared" ref="E3:E66" si="1">C3-ROUND(+C3*(VLOOKUP(B3,cngded,6,FALSE)),0)</f>
        <v>12</v>
      </c>
      <c r="F3">
        <f t="shared" ref="F3:F66" si="2">D3-ROUND(+D3*(VLOOKUP(B3,cngded,6,FALSE)),0)</f>
        <v>144</v>
      </c>
    </row>
    <row r="4" spans="1:6" x14ac:dyDescent="0.2">
      <c r="A4" t="s">
        <v>134</v>
      </c>
      <c r="B4" t="str">
        <f t="shared" si="0"/>
        <v>TD</v>
      </c>
      <c r="C4">
        <v>7</v>
      </c>
      <c r="D4">
        <v>87</v>
      </c>
      <c r="E4">
        <f t="shared" si="1"/>
        <v>7</v>
      </c>
      <c r="F4">
        <f t="shared" si="2"/>
        <v>87</v>
      </c>
    </row>
    <row r="5" spans="1:6" x14ac:dyDescent="0.2">
      <c r="A5" t="s">
        <v>419</v>
      </c>
      <c r="B5" t="str">
        <f t="shared" si="0"/>
        <v>GW</v>
      </c>
      <c r="C5">
        <v>0</v>
      </c>
      <c r="D5">
        <v>0</v>
      </c>
      <c r="E5">
        <f t="shared" si="1"/>
        <v>0</v>
      </c>
      <c r="F5">
        <f t="shared" si="2"/>
        <v>0</v>
      </c>
    </row>
    <row r="6" spans="1:6" x14ac:dyDescent="0.2">
      <c r="A6" t="s">
        <v>421</v>
      </c>
      <c r="B6" t="str">
        <f>IF(ISNA(VLOOKUP(A6,Dedcode,4)),"na",VLOOKUP(A6,Dedcode,4))</f>
        <v>GW</v>
      </c>
      <c r="C6">
        <v>0</v>
      </c>
      <c r="D6">
        <v>0</v>
      </c>
      <c r="E6">
        <f t="shared" si="1"/>
        <v>0</v>
      </c>
      <c r="F6">
        <f t="shared" si="2"/>
        <v>0</v>
      </c>
    </row>
    <row r="7" spans="1:6" x14ac:dyDescent="0.2">
      <c r="A7" t="s">
        <v>422</v>
      </c>
      <c r="B7" t="str">
        <f t="shared" si="0"/>
        <v>GW</v>
      </c>
      <c r="C7">
        <v>28</v>
      </c>
      <c r="D7">
        <v>388</v>
      </c>
      <c r="E7">
        <f t="shared" si="1"/>
        <v>24</v>
      </c>
      <c r="F7">
        <f t="shared" si="2"/>
        <v>337</v>
      </c>
    </row>
    <row r="8" spans="1:6" x14ac:dyDescent="0.2">
      <c r="A8" t="s">
        <v>391</v>
      </c>
      <c r="B8" t="str">
        <f t="shared" si="0"/>
        <v>GD</v>
      </c>
      <c r="C8">
        <v>134</v>
      </c>
      <c r="D8">
        <v>0</v>
      </c>
      <c r="E8">
        <f t="shared" si="1"/>
        <v>121</v>
      </c>
      <c r="F8">
        <f t="shared" si="2"/>
        <v>0</v>
      </c>
    </row>
    <row r="9" spans="1:6" x14ac:dyDescent="0.2">
      <c r="A9" t="s">
        <v>393</v>
      </c>
      <c r="B9" t="str">
        <f t="shared" si="0"/>
        <v>GD</v>
      </c>
      <c r="C9">
        <v>27</v>
      </c>
      <c r="D9">
        <v>0</v>
      </c>
      <c r="E9">
        <f t="shared" si="1"/>
        <v>24</v>
      </c>
      <c r="F9">
        <f t="shared" si="2"/>
        <v>0</v>
      </c>
    </row>
    <row r="10" spans="1:6" x14ac:dyDescent="0.2">
      <c r="A10" t="s">
        <v>423</v>
      </c>
      <c r="B10" t="str">
        <f t="shared" si="0"/>
        <v>GW</v>
      </c>
      <c r="C10">
        <v>0</v>
      </c>
      <c r="D10">
        <v>0</v>
      </c>
      <c r="E10">
        <f t="shared" si="1"/>
        <v>0</v>
      </c>
      <c r="F10">
        <f t="shared" si="2"/>
        <v>0</v>
      </c>
    </row>
    <row r="11" spans="1:6" x14ac:dyDescent="0.2">
      <c r="A11" t="s">
        <v>428</v>
      </c>
      <c r="B11" t="str">
        <f t="shared" si="0"/>
        <v>GD</v>
      </c>
      <c r="C11">
        <v>0</v>
      </c>
      <c r="D11">
        <v>0</v>
      </c>
      <c r="E11">
        <f t="shared" si="1"/>
        <v>0</v>
      </c>
      <c r="F11">
        <f t="shared" si="2"/>
        <v>0</v>
      </c>
    </row>
    <row r="12" spans="1:6" x14ac:dyDescent="0.2">
      <c r="A12" t="s">
        <v>142</v>
      </c>
      <c r="B12" t="str">
        <f t="shared" si="0"/>
        <v>GW</v>
      </c>
      <c r="C12">
        <v>34</v>
      </c>
      <c r="D12">
        <v>620</v>
      </c>
      <c r="E12">
        <f t="shared" si="1"/>
        <v>29</v>
      </c>
      <c r="F12">
        <f t="shared" si="2"/>
        <v>538</v>
      </c>
    </row>
    <row r="13" spans="1:6" x14ac:dyDescent="0.2">
      <c r="A13" t="s">
        <v>394</v>
      </c>
      <c r="B13" t="str">
        <f t="shared" si="0"/>
        <v>GD</v>
      </c>
      <c r="C13">
        <v>627</v>
      </c>
      <c r="D13">
        <v>0</v>
      </c>
      <c r="E13">
        <f t="shared" si="1"/>
        <v>568</v>
      </c>
      <c r="F13">
        <f t="shared" si="2"/>
        <v>0</v>
      </c>
    </row>
    <row r="14" spans="1:6" x14ac:dyDescent="0.2">
      <c r="A14" t="s">
        <v>144</v>
      </c>
      <c r="B14" t="str">
        <f t="shared" si="0"/>
        <v>GW</v>
      </c>
      <c r="C14">
        <v>0</v>
      </c>
      <c r="D14">
        <v>23</v>
      </c>
      <c r="E14">
        <f t="shared" si="1"/>
        <v>0</v>
      </c>
      <c r="F14">
        <f t="shared" si="2"/>
        <v>20</v>
      </c>
    </row>
    <row r="15" spans="1:6" x14ac:dyDescent="0.2">
      <c r="A15" t="s">
        <v>584</v>
      </c>
      <c r="B15" t="str">
        <f t="shared" si="0"/>
        <v>GD</v>
      </c>
      <c r="C15">
        <v>107</v>
      </c>
      <c r="D15">
        <v>0</v>
      </c>
      <c r="E15">
        <f t="shared" si="1"/>
        <v>97</v>
      </c>
      <c r="F15">
        <f t="shared" si="2"/>
        <v>0</v>
      </c>
    </row>
    <row r="16" spans="1:6" x14ac:dyDescent="0.2">
      <c r="A16" t="s">
        <v>145</v>
      </c>
      <c r="B16" t="str">
        <f t="shared" si="0"/>
        <v>GW</v>
      </c>
      <c r="C16">
        <v>20</v>
      </c>
      <c r="D16">
        <v>0</v>
      </c>
      <c r="E16">
        <f t="shared" si="1"/>
        <v>17</v>
      </c>
      <c r="F16">
        <f t="shared" si="2"/>
        <v>0</v>
      </c>
    </row>
    <row r="17" spans="1:6" x14ac:dyDescent="0.2">
      <c r="A17" t="s">
        <v>458</v>
      </c>
      <c r="B17" t="str">
        <f t="shared" si="0"/>
        <v>GW</v>
      </c>
      <c r="C17">
        <v>58</v>
      </c>
      <c r="D17">
        <v>289</v>
      </c>
      <c r="E17">
        <f t="shared" si="1"/>
        <v>50</v>
      </c>
      <c r="F17">
        <f t="shared" si="2"/>
        <v>251</v>
      </c>
    </row>
    <row r="18" spans="1:6" x14ac:dyDescent="0.2">
      <c r="A18" t="s">
        <v>147</v>
      </c>
      <c r="B18" t="str">
        <f t="shared" si="0"/>
        <v>GW</v>
      </c>
      <c r="C18">
        <v>0</v>
      </c>
      <c r="D18">
        <v>10</v>
      </c>
      <c r="E18">
        <f t="shared" si="1"/>
        <v>0</v>
      </c>
      <c r="F18">
        <f t="shared" si="2"/>
        <v>9</v>
      </c>
    </row>
    <row r="19" spans="1:6" x14ac:dyDescent="0.2">
      <c r="A19" t="s">
        <v>149</v>
      </c>
      <c r="B19" t="str">
        <f t="shared" si="0"/>
        <v>GW</v>
      </c>
      <c r="C19">
        <v>130</v>
      </c>
      <c r="D19">
        <v>802</v>
      </c>
      <c r="E19">
        <f t="shared" si="1"/>
        <v>113</v>
      </c>
      <c r="F19">
        <f t="shared" si="2"/>
        <v>696</v>
      </c>
    </row>
    <row r="20" spans="1:6" x14ac:dyDescent="0.2">
      <c r="A20" t="s">
        <v>470</v>
      </c>
      <c r="B20" t="str">
        <f t="shared" si="0"/>
        <v>TW</v>
      </c>
      <c r="C20">
        <v>20</v>
      </c>
      <c r="D20">
        <v>10</v>
      </c>
      <c r="E20">
        <f t="shared" si="1"/>
        <v>19</v>
      </c>
      <c r="F20">
        <f t="shared" si="2"/>
        <v>10</v>
      </c>
    </row>
    <row r="21" spans="1:6" x14ac:dyDescent="0.2">
      <c r="A21" t="s">
        <v>150</v>
      </c>
      <c r="B21" t="str">
        <f t="shared" si="0"/>
        <v>GW</v>
      </c>
      <c r="C21">
        <v>0</v>
      </c>
      <c r="D21">
        <v>0</v>
      </c>
      <c r="E21">
        <f t="shared" si="1"/>
        <v>0</v>
      </c>
      <c r="F21">
        <f t="shared" si="2"/>
        <v>0</v>
      </c>
    </row>
    <row r="22" spans="1:6" x14ac:dyDescent="0.2">
      <c r="A22" t="s">
        <v>152</v>
      </c>
      <c r="B22" t="str">
        <f t="shared" si="0"/>
        <v>GW</v>
      </c>
      <c r="C22">
        <v>8</v>
      </c>
      <c r="D22">
        <v>116</v>
      </c>
      <c r="E22">
        <f t="shared" si="1"/>
        <v>7</v>
      </c>
      <c r="F22">
        <f t="shared" si="2"/>
        <v>101</v>
      </c>
    </row>
    <row r="23" spans="1:6" x14ac:dyDescent="0.2">
      <c r="A23" t="s">
        <v>153</v>
      </c>
      <c r="B23" t="str">
        <f t="shared" si="0"/>
        <v>GW</v>
      </c>
      <c r="C23">
        <v>10</v>
      </c>
      <c r="D23">
        <v>136</v>
      </c>
      <c r="E23">
        <f t="shared" si="1"/>
        <v>9</v>
      </c>
      <c r="F23">
        <f t="shared" si="2"/>
        <v>118</v>
      </c>
    </row>
    <row r="24" spans="1:6" x14ac:dyDescent="0.2">
      <c r="A24" t="s">
        <v>154</v>
      </c>
      <c r="B24" t="str">
        <f t="shared" si="0"/>
        <v>GW</v>
      </c>
      <c r="C24">
        <v>25</v>
      </c>
      <c r="D24">
        <v>581</v>
      </c>
      <c r="E24">
        <f t="shared" si="1"/>
        <v>22</v>
      </c>
      <c r="F24">
        <f t="shared" si="2"/>
        <v>504</v>
      </c>
    </row>
    <row r="25" spans="1:6" x14ac:dyDescent="0.2">
      <c r="A25" t="s">
        <v>472</v>
      </c>
      <c r="B25" t="str">
        <f t="shared" si="0"/>
        <v>GW</v>
      </c>
      <c r="C25">
        <v>42</v>
      </c>
      <c r="D25">
        <v>20</v>
      </c>
      <c r="E25">
        <f t="shared" si="1"/>
        <v>36</v>
      </c>
      <c r="F25">
        <f t="shared" si="2"/>
        <v>17</v>
      </c>
    </row>
    <row r="26" spans="1:6" x14ac:dyDescent="0.2">
      <c r="A26" t="s">
        <v>397</v>
      </c>
      <c r="B26" t="str">
        <f t="shared" si="0"/>
        <v>GW</v>
      </c>
      <c r="C26">
        <v>14</v>
      </c>
      <c r="D26">
        <v>386</v>
      </c>
      <c r="E26">
        <f t="shared" si="1"/>
        <v>12</v>
      </c>
      <c r="F26">
        <f t="shared" si="2"/>
        <v>335</v>
      </c>
    </row>
    <row r="27" spans="1:6" x14ac:dyDescent="0.2">
      <c r="A27" t="s">
        <v>155</v>
      </c>
      <c r="B27" t="str">
        <f t="shared" si="0"/>
        <v>GW</v>
      </c>
      <c r="C27">
        <v>14</v>
      </c>
      <c r="D27">
        <v>169</v>
      </c>
      <c r="E27">
        <f t="shared" si="1"/>
        <v>12</v>
      </c>
      <c r="F27">
        <f t="shared" si="2"/>
        <v>147</v>
      </c>
    </row>
    <row r="28" spans="1:6" x14ac:dyDescent="0.2">
      <c r="A28" t="s">
        <v>156</v>
      </c>
      <c r="B28" t="str">
        <f t="shared" si="0"/>
        <v>GW</v>
      </c>
      <c r="C28">
        <v>44</v>
      </c>
      <c r="D28">
        <v>754</v>
      </c>
      <c r="E28">
        <f t="shared" si="1"/>
        <v>38</v>
      </c>
      <c r="F28">
        <f t="shared" si="2"/>
        <v>654</v>
      </c>
    </row>
    <row r="29" spans="1:6" x14ac:dyDescent="0.2">
      <c r="A29" t="s">
        <v>157</v>
      </c>
      <c r="B29" t="str">
        <f t="shared" si="0"/>
        <v>GW</v>
      </c>
      <c r="C29">
        <v>34</v>
      </c>
      <c r="D29">
        <v>283</v>
      </c>
      <c r="E29">
        <f t="shared" si="1"/>
        <v>29</v>
      </c>
      <c r="F29">
        <f t="shared" si="2"/>
        <v>246</v>
      </c>
    </row>
    <row r="30" spans="1:6" x14ac:dyDescent="0.2">
      <c r="A30" t="s">
        <v>475</v>
      </c>
      <c r="B30" t="str">
        <f t="shared" si="0"/>
        <v>GW</v>
      </c>
      <c r="C30">
        <v>0</v>
      </c>
      <c r="D30">
        <v>0</v>
      </c>
      <c r="E30">
        <f t="shared" si="1"/>
        <v>0</v>
      </c>
      <c r="F30">
        <f t="shared" si="2"/>
        <v>0</v>
      </c>
    </row>
    <row r="31" spans="1:6" x14ac:dyDescent="0.2">
      <c r="A31" t="s">
        <v>299</v>
      </c>
      <c r="B31" t="str">
        <f t="shared" si="0"/>
        <v>TW</v>
      </c>
      <c r="C31">
        <v>10</v>
      </c>
      <c r="D31">
        <v>130</v>
      </c>
      <c r="E31">
        <f t="shared" si="1"/>
        <v>10</v>
      </c>
      <c r="F31">
        <f t="shared" si="2"/>
        <v>125</v>
      </c>
    </row>
    <row r="32" spans="1:6" x14ac:dyDescent="0.2">
      <c r="A32" t="s">
        <v>158</v>
      </c>
      <c r="B32" t="str">
        <f t="shared" si="0"/>
        <v>GW</v>
      </c>
      <c r="C32">
        <v>0</v>
      </c>
      <c r="D32">
        <v>0</v>
      </c>
      <c r="E32">
        <f t="shared" si="1"/>
        <v>0</v>
      </c>
      <c r="F32">
        <f t="shared" si="2"/>
        <v>0</v>
      </c>
    </row>
    <row r="33" spans="1:6" x14ac:dyDescent="0.2">
      <c r="A33" t="s">
        <v>477</v>
      </c>
      <c r="B33" t="str">
        <f t="shared" si="0"/>
        <v>GW</v>
      </c>
      <c r="C33">
        <v>74</v>
      </c>
      <c r="D33">
        <v>1101</v>
      </c>
      <c r="E33">
        <f t="shared" si="1"/>
        <v>64</v>
      </c>
      <c r="F33">
        <f t="shared" si="2"/>
        <v>955</v>
      </c>
    </row>
    <row r="34" spans="1:6" x14ac:dyDescent="0.2">
      <c r="A34" t="s">
        <v>159</v>
      </c>
      <c r="B34" t="str">
        <f t="shared" si="0"/>
        <v>GW</v>
      </c>
      <c r="C34">
        <v>48</v>
      </c>
      <c r="D34">
        <v>644</v>
      </c>
      <c r="E34">
        <f t="shared" si="1"/>
        <v>42</v>
      </c>
      <c r="F34">
        <f t="shared" si="2"/>
        <v>559</v>
      </c>
    </row>
    <row r="35" spans="1:6" x14ac:dyDescent="0.2">
      <c r="A35" t="s">
        <v>161</v>
      </c>
      <c r="B35" t="str">
        <f t="shared" si="0"/>
        <v>GW</v>
      </c>
      <c r="C35">
        <v>30</v>
      </c>
      <c r="D35">
        <v>383</v>
      </c>
      <c r="E35">
        <f t="shared" si="1"/>
        <v>26</v>
      </c>
      <c r="F35">
        <f t="shared" si="2"/>
        <v>332</v>
      </c>
    </row>
    <row r="36" spans="1:6" x14ac:dyDescent="0.2">
      <c r="A36" t="s">
        <v>162</v>
      </c>
      <c r="B36" t="str">
        <f t="shared" si="0"/>
        <v>GW</v>
      </c>
      <c r="C36">
        <v>4</v>
      </c>
      <c r="D36">
        <v>53</v>
      </c>
      <c r="E36">
        <f t="shared" si="1"/>
        <v>3</v>
      </c>
      <c r="F36">
        <f t="shared" si="2"/>
        <v>46</v>
      </c>
    </row>
    <row r="37" spans="1:6" x14ac:dyDescent="0.2">
      <c r="A37" t="s">
        <v>489</v>
      </c>
      <c r="B37" t="str">
        <f t="shared" si="0"/>
        <v>GW</v>
      </c>
      <c r="C37">
        <v>0</v>
      </c>
      <c r="D37">
        <v>0</v>
      </c>
      <c r="E37">
        <f t="shared" si="1"/>
        <v>0</v>
      </c>
      <c r="F37">
        <f t="shared" si="2"/>
        <v>0</v>
      </c>
    </row>
    <row r="38" spans="1:6" x14ac:dyDescent="0.2">
      <c r="A38" t="s">
        <v>490</v>
      </c>
      <c r="B38" t="str">
        <f t="shared" si="0"/>
        <v>GW</v>
      </c>
      <c r="C38">
        <v>196</v>
      </c>
      <c r="D38">
        <v>2378</v>
      </c>
      <c r="E38">
        <f t="shared" si="1"/>
        <v>170</v>
      </c>
      <c r="F38">
        <f t="shared" si="2"/>
        <v>2063</v>
      </c>
    </row>
    <row r="39" spans="1:6" x14ac:dyDescent="0.2">
      <c r="A39" t="s">
        <v>165</v>
      </c>
      <c r="B39" t="str">
        <f t="shared" si="0"/>
        <v>GW</v>
      </c>
      <c r="C39">
        <v>44</v>
      </c>
      <c r="D39">
        <v>44</v>
      </c>
      <c r="E39">
        <f t="shared" si="1"/>
        <v>38</v>
      </c>
      <c r="F39">
        <f t="shared" si="2"/>
        <v>38</v>
      </c>
    </row>
    <row r="40" spans="1:6" x14ac:dyDescent="0.2">
      <c r="A40" t="s">
        <v>494</v>
      </c>
      <c r="B40" t="str">
        <f t="shared" si="0"/>
        <v>GW</v>
      </c>
      <c r="C40">
        <v>14</v>
      </c>
      <c r="D40">
        <v>203</v>
      </c>
      <c r="E40">
        <f t="shared" si="1"/>
        <v>12</v>
      </c>
      <c r="F40">
        <f t="shared" si="2"/>
        <v>176</v>
      </c>
    </row>
    <row r="41" spans="1:6" x14ac:dyDescent="0.2">
      <c r="A41" t="s">
        <v>495</v>
      </c>
      <c r="B41" t="str">
        <f t="shared" si="0"/>
        <v>GW</v>
      </c>
      <c r="C41">
        <v>2</v>
      </c>
      <c r="D41">
        <v>2</v>
      </c>
      <c r="E41">
        <f t="shared" si="1"/>
        <v>2</v>
      </c>
      <c r="F41">
        <f t="shared" si="2"/>
        <v>2</v>
      </c>
    </row>
    <row r="42" spans="1:6" x14ac:dyDescent="0.2">
      <c r="A42" t="s">
        <v>167</v>
      </c>
      <c r="B42" t="str">
        <f t="shared" si="0"/>
        <v>GW</v>
      </c>
      <c r="C42">
        <v>0</v>
      </c>
      <c r="D42">
        <v>0</v>
      </c>
      <c r="E42">
        <f t="shared" si="1"/>
        <v>0</v>
      </c>
      <c r="F42">
        <f t="shared" si="2"/>
        <v>0</v>
      </c>
    </row>
    <row r="43" spans="1:6" x14ac:dyDescent="0.2">
      <c r="A43" t="s">
        <v>169</v>
      </c>
      <c r="B43" t="str">
        <f t="shared" si="0"/>
        <v>GW</v>
      </c>
      <c r="C43">
        <v>0</v>
      </c>
      <c r="D43">
        <v>0</v>
      </c>
      <c r="E43">
        <f t="shared" si="1"/>
        <v>0</v>
      </c>
      <c r="F43">
        <f t="shared" si="2"/>
        <v>0</v>
      </c>
    </row>
    <row r="44" spans="1:6" x14ac:dyDescent="0.2">
      <c r="A44" t="s">
        <v>496</v>
      </c>
      <c r="B44" t="str">
        <f t="shared" si="0"/>
        <v>GW</v>
      </c>
      <c r="C44">
        <v>0</v>
      </c>
      <c r="D44">
        <v>0</v>
      </c>
      <c r="E44">
        <f t="shared" si="1"/>
        <v>0</v>
      </c>
      <c r="F44">
        <f t="shared" si="2"/>
        <v>0</v>
      </c>
    </row>
    <row r="45" spans="1:6" x14ac:dyDescent="0.2">
      <c r="A45" t="s">
        <v>114</v>
      </c>
      <c r="B45" t="str">
        <f t="shared" si="0"/>
        <v>GD</v>
      </c>
      <c r="C45">
        <v>8</v>
      </c>
      <c r="D45">
        <v>120</v>
      </c>
      <c r="E45">
        <f t="shared" si="1"/>
        <v>7</v>
      </c>
      <c r="F45">
        <f t="shared" si="2"/>
        <v>109</v>
      </c>
    </row>
    <row r="46" spans="1:6" x14ac:dyDescent="0.2">
      <c r="A46" t="s">
        <v>170</v>
      </c>
      <c r="B46" t="str">
        <f t="shared" si="0"/>
        <v>GW</v>
      </c>
      <c r="C46">
        <v>0</v>
      </c>
      <c r="D46">
        <v>286</v>
      </c>
      <c r="E46">
        <f t="shared" si="1"/>
        <v>0</v>
      </c>
      <c r="F46">
        <f t="shared" si="2"/>
        <v>248</v>
      </c>
    </row>
    <row r="47" spans="1:6" x14ac:dyDescent="0.2">
      <c r="A47" t="s">
        <v>171</v>
      </c>
      <c r="B47" t="str">
        <f t="shared" si="0"/>
        <v>GW</v>
      </c>
      <c r="C47">
        <v>4</v>
      </c>
      <c r="D47">
        <v>13</v>
      </c>
      <c r="E47">
        <f t="shared" si="1"/>
        <v>3</v>
      </c>
      <c r="F47">
        <f t="shared" si="2"/>
        <v>11</v>
      </c>
    </row>
    <row r="48" spans="1:6" x14ac:dyDescent="0.2">
      <c r="A48" t="s">
        <v>174</v>
      </c>
      <c r="B48" t="str">
        <f t="shared" si="0"/>
        <v>GW</v>
      </c>
      <c r="C48">
        <v>8</v>
      </c>
      <c r="D48">
        <v>113</v>
      </c>
      <c r="E48">
        <f t="shared" si="1"/>
        <v>7</v>
      </c>
      <c r="F48">
        <f t="shared" si="2"/>
        <v>98</v>
      </c>
    </row>
    <row r="49" spans="1:6" x14ac:dyDescent="0.2">
      <c r="A49" t="s">
        <v>176</v>
      </c>
      <c r="B49" t="str">
        <f t="shared" si="0"/>
        <v>GW</v>
      </c>
      <c r="C49">
        <v>48</v>
      </c>
      <c r="D49">
        <v>202</v>
      </c>
      <c r="E49">
        <f t="shared" si="1"/>
        <v>42</v>
      </c>
      <c r="F49">
        <f t="shared" si="2"/>
        <v>175</v>
      </c>
    </row>
    <row r="50" spans="1:6" x14ac:dyDescent="0.2">
      <c r="A50" t="s">
        <v>355</v>
      </c>
      <c r="B50" t="str">
        <f t="shared" si="0"/>
        <v>GW</v>
      </c>
      <c r="C50">
        <v>0</v>
      </c>
      <c r="D50">
        <v>0</v>
      </c>
      <c r="E50">
        <f t="shared" si="1"/>
        <v>0</v>
      </c>
      <c r="F50">
        <f t="shared" si="2"/>
        <v>0</v>
      </c>
    </row>
    <row r="51" spans="1:6" x14ac:dyDescent="0.2">
      <c r="A51" t="s">
        <v>300</v>
      </c>
      <c r="B51" t="str">
        <f t="shared" si="0"/>
        <v>TW</v>
      </c>
      <c r="C51">
        <v>0</v>
      </c>
      <c r="D51">
        <v>2</v>
      </c>
      <c r="E51">
        <f t="shared" si="1"/>
        <v>0</v>
      </c>
      <c r="F51">
        <f t="shared" si="2"/>
        <v>2</v>
      </c>
    </row>
    <row r="52" spans="1:6" x14ac:dyDescent="0.2">
      <c r="A52" t="s">
        <v>360</v>
      </c>
      <c r="B52" t="str">
        <f t="shared" si="0"/>
        <v>GW</v>
      </c>
      <c r="C52">
        <v>14</v>
      </c>
      <c r="D52">
        <v>0</v>
      </c>
      <c r="E52">
        <f t="shared" si="1"/>
        <v>12</v>
      </c>
      <c r="F52">
        <f t="shared" si="2"/>
        <v>0</v>
      </c>
    </row>
    <row r="53" spans="1:6" x14ac:dyDescent="0.2">
      <c r="A53" t="s">
        <v>362</v>
      </c>
      <c r="B53" t="str">
        <f t="shared" si="0"/>
        <v>GW</v>
      </c>
      <c r="C53">
        <v>28</v>
      </c>
      <c r="D53">
        <v>19</v>
      </c>
      <c r="E53">
        <f t="shared" si="1"/>
        <v>24</v>
      </c>
      <c r="F53">
        <f t="shared" si="2"/>
        <v>16</v>
      </c>
    </row>
    <row r="54" spans="1:6" x14ac:dyDescent="0.2">
      <c r="A54" t="s">
        <v>356</v>
      </c>
      <c r="B54" t="str">
        <f t="shared" si="0"/>
        <v>GW</v>
      </c>
      <c r="C54">
        <v>4</v>
      </c>
      <c r="D54">
        <v>10</v>
      </c>
      <c r="E54">
        <f t="shared" si="1"/>
        <v>3</v>
      </c>
      <c r="F54">
        <f t="shared" si="2"/>
        <v>9</v>
      </c>
    </row>
    <row r="55" spans="1:6" x14ac:dyDescent="0.2">
      <c r="A55" t="s">
        <v>50</v>
      </c>
      <c r="B55" t="str">
        <f t="shared" si="0"/>
        <v>GW</v>
      </c>
      <c r="C55">
        <v>104</v>
      </c>
      <c r="D55">
        <v>1818</v>
      </c>
      <c r="E55">
        <f t="shared" si="1"/>
        <v>90</v>
      </c>
      <c r="F55">
        <f t="shared" si="2"/>
        <v>1577</v>
      </c>
    </row>
    <row r="56" spans="1:6" x14ac:dyDescent="0.2">
      <c r="A56" t="s">
        <v>357</v>
      </c>
      <c r="B56" t="str">
        <f t="shared" si="0"/>
        <v>GW</v>
      </c>
      <c r="C56">
        <v>10</v>
      </c>
      <c r="D56">
        <v>178</v>
      </c>
      <c r="E56">
        <f t="shared" si="1"/>
        <v>9</v>
      </c>
      <c r="F56">
        <f t="shared" si="2"/>
        <v>154</v>
      </c>
    </row>
    <row r="57" spans="1:6" x14ac:dyDescent="0.2">
      <c r="A57" t="s">
        <v>517</v>
      </c>
      <c r="B57" t="str">
        <f t="shared" si="0"/>
        <v>GW</v>
      </c>
      <c r="C57">
        <v>10</v>
      </c>
      <c r="D57">
        <v>180</v>
      </c>
      <c r="E57">
        <f t="shared" si="1"/>
        <v>9</v>
      </c>
      <c r="F57">
        <f t="shared" si="2"/>
        <v>156</v>
      </c>
    </row>
    <row r="58" spans="1:6" x14ac:dyDescent="0.2">
      <c r="A58" t="s">
        <v>365</v>
      </c>
      <c r="B58" t="str">
        <f t="shared" si="0"/>
        <v>GD</v>
      </c>
      <c r="C58">
        <v>34</v>
      </c>
      <c r="D58">
        <v>48</v>
      </c>
      <c r="E58">
        <f t="shared" si="1"/>
        <v>31</v>
      </c>
      <c r="F58">
        <f t="shared" si="2"/>
        <v>44</v>
      </c>
    </row>
    <row r="59" spans="1:6" x14ac:dyDescent="0.2">
      <c r="A59" t="s">
        <v>367</v>
      </c>
      <c r="B59" t="str">
        <f t="shared" si="0"/>
        <v>GD</v>
      </c>
      <c r="C59">
        <v>4</v>
      </c>
      <c r="D59">
        <v>27</v>
      </c>
      <c r="E59">
        <f t="shared" si="1"/>
        <v>4</v>
      </c>
      <c r="F59">
        <f t="shared" si="2"/>
        <v>24</v>
      </c>
    </row>
    <row r="60" spans="1:6" x14ac:dyDescent="0.2">
      <c r="A60" t="s">
        <v>368</v>
      </c>
      <c r="B60" t="str">
        <f t="shared" si="0"/>
        <v>GD</v>
      </c>
      <c r="C60">
        <v>6</v>
      </c>
      <c r="D60">
        <v>7</v>
      </c>
      <c r="E60">
        <f t="shared" si="1"/>
        <v>5</v>
      </c>
      <c r="F60">
        <f t="shared" si="2"/>
        <v>6</v>
      </c>
    </row>
    <row r="61" spans="1:6" x14ac:dyDescent="0.2">
      <c r="A61" t="s">
        <v>369</v>
      </c>
      <c r="B61" t="str">
        <f t="shared" si="0"/>
        <v>GD</v>
      </c>
      <c r="C61">
        <v>6</v>
      </c>
      <c r="D61">
        <v>47</v>
      </c>
      <c r="E61">
        <f t="shared" si="1"/>
        <v>5</v>
      </c>
      <c r="F61">
        <f t="shared" si="2"/>
        <v>43</v>
      </c>
    </row>
    <row r="62" spans="1:6" x14ac:dyDescent="0.2">
      <c r="A62" t="s">
        <v>370</v>
      </c>
      <c r="B62" t="str">
        <f t="shared" si="0"/>
        <v>GD</v>
      </c>
      <c r="C62">
        <v>14</v>
      </c>
      <c r="D62">
        <v>168</v>
      </c>
      <c r="E62">
        <f t="shared" si="1"/>
        <v>13</v>
      </c>
      <c r="F62">
        <f t="shared" si="2"/>
        <v>152</v>
      </c>
    </row>
    <row r="63" spans="1:6" x14ac:dyDescent="0.2">
      <c r="A63" t="s">
        <v>371</v>
      </c>
      <c r="B63" t="str">
        <f t="shared" si="0"/>
        <v>GD</v>
      </c>
      <c r="C63">
        <v>0</v>
      </c>
      <c r="D63">
        <v>0</v>
      </c>
      <c r="E63">
        <f t="shared" si="1"/>
        <v>0</v>
      </c>
      <c r="F63">
        <f t="shared" si="2"/>
        <v>0</v>
      </c>
    </row>
    <row r="64" spans="1:6" x14ac:dyDescent="0.2">
      <c r="A64" t="s">
        <v>177</v>
      </c>
      <c r="B64" t="str">
        <f t="shared" si="0"/>
        <v>GW</v>
      </c>
      <c r="C64">
        <v>0</v>
      </c>
      <c r="D64">
        <v>0</v>
      </c>
      <c r="E64">
        <f t="shared" si="1"/>
        <v>0</v>
      </c>
      <c r="F64">
        <f t="shared" si="2"/>
        <v>0</v>
      </c>
    </row>
    <row r="65" spans="1:6" x14ac:dyDescent="0.2">
      <c r="A65" t="s">
        <v>178</v>
      </c>
      <c r="B65" t="str">
        <f t="shared" si="0"/>
        <v>GW</v>
      </c>
      <c r="C65">
        <v>0</v>
      </c>
      <c r="D65">
        <v>120</v>
      </c>
      <c r="E65">
        <f t="shared" si="1"/>
        <v>0</v>
      </c>
      <c r="F65">
        <f t="shared" si="2"/>
        <v>104</v>
      </c>
    </row>
    <row r="66" spans="1:6" x14ac:dyDescent="0.2">
      <c r="A66" t="s">
        <v>179</v>
      </c>
      <c r="B66" t="str">
        <f t="shared" ref="B66:B129" si="3">IF(ISNA(VLOOKUP(A66,Dedcode,4)),"na",VLOOKUP(A66,Dedcode,4))</f>
        <v>GW</v>
      </c>
      <c r="C66">
        <v>0</v>
      </c>
      <c r="D66">
        <v>50</v>
      </c>
      <c r="E66">
        <f t="shared" si="1"/>
        <v>0</v>
      </c>
      <c r="F66">
        <f t="shared" si="2"/>
        <v>43</v>
      </c>
    </row>
    <row r="67" spans="1:6" x14ac:dyDescent="0.2">
      <c r="A67" t="s">
        <v>180</v>
      </c>
      <c r="B67" t="str">
        <f t="shared" si="3"/>
        <v>GW</v>
      </c>
      <c r="C67">
        <v>16</v>
      </c>
      <c r="D67">
        <v>304</v>
      </c>
      <c r="E67">
        <f t="shared" ref="E67:E130" si="4">C67-ROUND(+C67*(VLOOKUP(B67,cngded,6,FALSE)),0)</f>
        <v>14</v>
      </c>
      <c r="F67">
        <f t="shared" ref="F67:F130" si="5">D67-ROUND(+D67*(VLOOKUP(B67,cngded,6,FALSE)),0)</f>
        <v>264</v>
      </c>
    </row>
    <row r="68" spans="1:6" x14ac:dyDescent="0.2">
      <c r="A68" t="s">
        <v>182</v>
      </c>
      <c r="B68" t="str">
        <f t="shared" si="3"/>
        <v>GW</v>
      </c>
      <c r="C68">
        <v>0</v>
      </c>
      <c r="D68">
        <v>274</v>
      </c>
      <c r="E68">
        <f t="shared" si="4"/>
        <v>0</v>
      </c>
      <c r="F68">
        <f t="shared" si="5"/>
        <v>238</v>
      </c>
    </row>
    <row r="69" spans="1:6" x14ac:dyDescent="0.2">
      <c r="A69" t="s">
        <v>183</v>
      </c>
      <c r="B69" t="str">
        <f t="shared" si="3"/>
        <v>GW</v>
      </c>
      <c r="C69">
        <v>0</v>
      </c>
      <c r="D69">
        <v>174</v>
      </c>
      <c r="E69">
        <f t="shared" si="4"/>
        <v>0</v>
      </c>
      <c r="F69">
        <f t="shared" si="5"/>
        <v>151</v>
      </c>
    </row>
    <row r="70" spans="1:6" x14ac:dyDescent="0.2">
      <c r="A70" t="s">
        <v>184</v>
      </c>
      <c r="B70" t="str">
        <f t="shared" si="3"/>
        <v>GW</v>
      </c>
      <c r="C70">
        <v>0</v>
      </c>
      <c r="D70">
        <v>26</v>
      </c>
      <c r="E70">
        <f t="shared" si="4"/>
        <v>0</v>
      </c>
      <c r="F70">
        <f t="shared" si="5"/>
        <v>23</v>
      </c>
    </row>
    <row r="71" spans="1:6" x14ac:dyDescent="0.2">
      <c r="A71" t="s">
        <v>117</v>
      </c>
      <c r="B71" t="str">
        <f t="shared" si="3"/>
        <v>GD</v>
      </c>
      <c r="C71">
        <v>6</v>
      </c>
      <c r="D71">
        <v>23</v>
      </c>
      <c r="E71">
        <f t="shared" si="4"/>
        <v>5</v>
      </c>
      <c r="F71">
        <f t="shared" si="5"/>
        <v>21</v>
      </c>
    </row>
    <row r="72" spans="1:6" x14ac:dyDescent="0.2">
      <c r="A72" t="s">
        <v>185</v>
      </c>
      <c r="B72" t="str">
        <f t="shared" si="3"/>
        <v>GW</v>
      </c>
      <c r="C72">
        <v>0</v>
      </c>
      <c r="D72">
        <v>235</v>
      </c>
      <c r="E72">
        <f t="shared" si="4"/>
        <v>0</v>
      </c>
      <c r="F72">
        <f t="shared" si="5"/>
        <v>204</v>
      </c>
    </row>
    <row r="73" spans="1:6" x14ac:dyDescent="0.2">
      <c r="A73" t="s">
        <v>187</v>
      </c>
      <c r="B73" t="str">
        <f t="shared" si="3"/>
        <v>GW</v>
      </c>
      <c r="C73">
        <v>62</v>
      </c>
      <c r="D73">
        <v>9</v>
      </c>
      <c r="E73">
        <f t="shared" si="4"/>
        <v>54</v>
      </c>
      <c r="F73">
        <f t="shared" si="5"/>
        <v>8</v>
      </c>
    </row>
    <row r="74" spans="1:6" x14ac:dyDescent="0.2">
      <c r="A74" t="s">
        <v>189</v>
      </c>
      <c r="B74" t="str">
        <f t="shared" si="3"/>
        <v>GW</v>
      </c>
      <c r="C74">
        <v>0</v>
      </c>
      <c r="D74">
        <v>232</v>
      </c>
      <c r="E74">
        <f t="shared" si="4"/>
        <v>0</v>
      </c>
      <c r="F74">
        <f t="shared" si="5"/>
        <v>201</v>
      </c>
    </row>
    <row r="75" spans="1:6" x14ac:dyDescent="0.2">
      <c r="A75" t="s">
        <v>190</v>
      </c>
      <c r="B75" t="str">
        <f t="shared" si="3"/>
        <v>GW</v>
      </c>
      <c r="C75">
        <v>0</v>
      </c>
      <c r="D75">
        <v>219</v>
      </c>
      <c r="E75">
        <f t="shared" si="4"/>
        <v>0</v>
      </c>
      <c r="F75">
        <f t="shared" si="5"/>
        <v>190</v>
      </c>
    </row>
    <row r="76" spans="1:6" x14ac:dyDescent="0.2">
      <c r="A76" t="s">
        <v>191</v>
      </c>
      <c r="B76" t="str">
        <f t="shared" si="3"/>
        <v>GW</v>
      </c>
      <c r="C76">
        <v>0</v>
      </c>
      <c r="D76">
        <v>445</v>
      </c>
      <c r="E76">
        <f t="shared" si="4"/>
        <v>0</v>
      </c>
      <c r="F76">
        <f t="shared" si="5"/>
        <v>386</v>
      </c>
    </row>
    <row r="77" spans="1:6" x14ac:dyDescent="0.2">
      <c r="A77" t="s">
        <v>193</v>
      </c>
      <c r="B77" t="str">
        <f t="shared" si="3"/>
        <v>GW</v>
      </c>
      <c r="C77">
        <v>42</v>
      </c>
      <c r="D77">
        <v>630</v>
      </c>
      <c r="E77">
        <f t="shared" si="4"/>
        <v>36</v>
      </c>
      <c r="F77">
        <f t="shared" si="5"/>
        <v>547</v>
      </c>
    </row>
    <row r="78" spans="1:6" x14ac:dyDescent="0.2">
      <c r="A78" t="s">
        <v>19</v>
      </c>
      <c r="B78" t="str">
        <f t="shared" si="3"/>
        <v>GD</v>
      </c>
      <c r="C78">
        <v>8</v>
      </c>
      <c r="D78">
        <v>63</v>
      </c>
      <c r="E78">
        <f t="shared" si="4"/>
        <v>7</v>
      </c>
      <c r="F78">
        <f t="shared" si="5"/>
        <v>57</v>
      </c>
    </row>
    <row r="79" spans="1:6" x14ac:dyDescent="0.2">
      <c r="A79" t="s">
        <v>20</v>
      </c>
      <c r="B79" t="str">
        <f t="shared" si="3"/>
        <v>GW</v>
      </c>
      <c r="C79">
        <v>6</v>
      </c>
      <c r="D79">
        <v>48</v>
      </c>
      <c r="E79">
        <f t="shared" si="4"/>
        <v>5</v>
      </c>
      <c r="F79">
        <f t="shared" si="5"/>
        <v>42</v>
      </c>
    </row>
    <row r="80" spans="1:6" x14ac:dyDescent="0.2">
      <c r="A80" t="s">
        <v>614</v>
      </c>
      <c r="B80" t="str">
        <f t="shared" si="3"/>
        <v>GD</v>
      </c>
      <c r="C80">
        <v>10</v>
      </c>
      <c r="D80">
        <v>145</v>
      </c>
      <c r="E80">
        <f t="shared" si="4"/>
        <v>9</v>
      </c>
      <c r="F80">
        <f t="shared" si="5"/>
        <v>131</v>
      </c>
    </row>
    <row r="81" spans="1:6" x14ac:dyDescent="0.2">
      <c r="A81" t="s">
        <v>407</v>
      </c>
      <c r="B81" t="str">
        <f t="shared" si="3"/>
        <v>GD</v>
      </c>
      <c r="C81">
        <v>4</v>
      </c>
      <c r="D81">
        <v>36</v>
      </c>
      <c r="E81">
        <f t="shared" si="4"/>
        <v>4</v>
      </c>
      <c r="F81">
        <f t="shared" si="5"/>
        <v>33</v>
      </c>
    </row>
    <row r="82" spans="1:6" x14ac:dyDescent="0.2">
      <c r="A82" t="s">
        <v>49</v>
      </c>
      <c r="B82" t="str">
        <f t="shared" si="3"/>
        <v>GD</v>
      </c>
      <c r="C82">
        <v>8</v>
      </c>
      <c r="D82">
        <v>68</v>
      </c>
      <c r="E82">
        <f t="shared" si="4"/>
        <v>7</v>
      </c>
      <c r="F82">
        <f t="shared" si="5"/>
        <v>62</v>
      </c>
    </row>
    <row r="83" spans="1:6" x14ac:dyDescent="0.2">
      <c r="A83" t="s">
        <v>615</v>
      </c>
      <c r="B83" t="str">
        <f t="shared" si="3"/>
        <v>GD</v>
      </c>
      <c r="C83">
        <v>2</v>
      </c>
      <c r="D83">
        <v>12</v>
      </c>
      <c r="E83">
        <f t="shared" si="4"/>
        <v>2</v>
      </c>
      <c r="F83">
        <f t="shared" si="5"/>
        <v>11</v>
      </c>
    </row>
    <row r="84" spans="1:6" x14ac:dyDescent="0.2">
      <c r="A84" t="s">
        <v>373</v>
      </c>
      <c r="B84" t="str">
        <f t="shared" si="3"/>
        <v>GD</v>
      </c>
      <c r="C84">
        <v>0</v>
      </c>
      <c r="D84">
        <v>0</v>
      </c>
      <c r="E84">
        <f t="shared" si="4"/>
        <v>0</v>
      </c>
      <c r="F84">
        <f t="shared" si="5"/>
        <v>0</v>
      </c>
    </row>
    <row r="85" spans="1:6" x14ac:dyDescent="0.2">
      <c r="A85" t="s">
        <v>535</v>
      </c>
      <c r="B85" t="str">
        <f t="shared" si="3"/>
        <v>GD</v>
      </c>
      <c r="C85">
        <v>58</v>
      </c>
      <c r="D85">
        <v>746</v>
      </c>
      <c r="E85">
        <f t="shared" si="4"/>
        <v>53</v>
      </c>
      <c r="F85">
        <f t="shared" si="5"/>
        <v>676</v>
      </c>
    </row>
    <row r="86" spans="1:6" x14ac:dyDescent="0.2">
      <c r="A86" t="s">
        <v>536</v>
      </c>
      <c r="B86" t="str">
        <f t="shared" si="3"/>
        <v>GD</v>
      </c>
      <c r="C86">
        <v>18</v>
      </c>
      <c r="D86">
        <v>137</v>
      </c>
      <c r="E86">
        <f t="shared" si="4"/>
        <v>16</v>
      </c>
      <c r="F86">
        <f t="shared" si="5"/>
        <v>124</v>
      </c>
    </row>
    <row r="87" spans="1:6" x14ac:dyDescent="0.2">
      <c r="A87" t="s">
        <v>195</v>
      </c>
      <c r="B87" t="str">
        <f t="shared" si="3"/>
        <v>GW</v>
      </c>
      <c r="C87">
        <v>6</v>
      </c>
      <c r="D87">
        <v>75</v>
      </c>
      <c r="E87">
        <f t="shared" si="4"/>
        <v>5</v>
      </c>
      <c r="F87">
        <f t="shared" si="5"/>
        <v>65</v>
      </c>
    </row>
    <row r="88" spans="1:6" x14ac:dyDescent="0.2">
      <c r="A88" t="s">
        <v>197</v>
      </c>
      <c r="B88" t="str">
        <f t="shared" si="3"/>
        <v>GW</v>
      </c>
      <c r="C88">
        <v>50</v>
      </c>
      <c r="D88">
        <v>512</v>
      </c>
      <c r="E88">
        <f t="shared" si="4"/>
        <v>43</v>
      </c>
      <c r="F88">
        <f t="shared" si="5"/>
        <v>444</v>
      </c>
    </row>
    <row r="89" spans="1:6" x14ac:dyDescent="0.2">
      <c r="A89" t="s">
        <v>199</v>
      </c>
      <c r="B89" t="str">
        <f t="shared" si="3"/>
        <v>GW</v>
      </c>
      <c r="C89">
        <v>20</v>
      </c>
      <c r="D89">
        <v>160</v>
      </c>
      <c r="E89">
        <f t="shared" si="4"/>
        <v>17</v>
      </c>
      <c r="F89">
        <f t="shared" si="5"/>
        <v>139</v>
      </c>
    </row>
    <row r="90" spans="1:6" x14ac:dyDescent="0.2">
      <c r="A90" t="s">
        <v>515</v>
      </c>
      <c r="B90" t="str">
        <f t="shared" si="3"/>
        <v>GW</v>
      </c>
      <c r="C90">
        <v>8</v>
      </c>
      <c r="D90">
        <v>109</v>
      </c>
      <c r="E90">
        <f t="shared" si="4"/>
        <v>7</v>
      </c>
      <c r="F90">
        <f t="shared" si="5"/>
        <v>95</v>
      </c>
    </row>
    <row r="91" spans="1:6" x14ac:dyDescent="0.2">
      <c r="A91" t="s">
        <v>201</v>
      </c>
      <c r="B91" t="str">
        <f t="shared" si="3"/>
        <v>GW</v>
      </c>
      <c r="C91">
        <v>26</v>
      </c>
      <c r="D91">
        <v>104</v>
      </c>
      <c r="E91">
        <f t="shared" si="4"/>
        <v>23</v>
      </c>
      <c r="F91">
        <f t="shared" si="5"/>
        <v>90</v>
      </c>
    </row>
    <row r="92" spans="1:6" x14ac:dyDescent="0.2">
      <c r="A92" t="s">
        <v>203</v>
      </c>
      <c r="B92" t="str">
        <f t="shared" si="3"/>
        <v>GW</v>
      </c>
      <c r="C92">
        <v>394</v>
      </c>
      <c r="D92">
        <v>2961</v>
      </c>
      <c r="E92">
        <f t="shared" si="4"/>
        <v>342</v>
      </c>
      <c r="F92">
        <f t="shared" si="5"/>
        <v>2569</v>
      </c>
    </row>
    <row r="93" spans="1:6" x14ac:dyDescent="0.2">
      <c r="A93" t="s">
        <v>205</v>
      </c>
      <c r="B93" t="str">
        <f t="shared" si="3"/>
        <v>GW</v>
      </c>
      <c r="C93">
        <v>294</v>
      </c>
      <c r="D93">
        <v>1445</v>
      </c>
      <c r="E93">
        <f t="shared" si="4"/>
        <v>255</v>
      </c>
      <c r="F93">
        <f t="shared" si="5"/>
        <v>1254</v>
      </c>
    </row>
    <row r="94" spans="1:6" x14ac:dyDescent="0.2">
      <c r="A94" t="s">
        <v>207</v>
      </c>
      <c r="B94" t="str">
        <f t="shared" si="3"/>
        <v>GW</v>
      </c>
      <c r="C94">
        <v>74</v>
      </c>
      <c r="D94">
        <v>670</v>
      </c>
      <c r="E94">
        <f t="shared" si="4"/>
        <v>64</v>
      </c>
      <c r="F94">
        <f t="shared" si="5"/>
        <v>581</v>
      </c>
    </row>
    <row r="95" spans="1:6" x14ac:dyDescent="0.2">
      <c r="A95" t="s">
        <v>208</v>
      </c>
      <c r="B95" t="str">
        <f t="shared" si="3"/>
        <v>GW</v>
      </c>
      <c r="C95">
        <v>182</v>
      </c>
      <c r="D95">
        <v>1088</v>
      </c>
      <c r="E95">
        <f t="shared" si="4"/>
        <v>158</v>
      </c>
      <c r="F95">
        <f t="shared" si="5"/>
        <v>944</v>
      </c>
    </row>
    <row r="96" spans="1:6" x14ac:dyDescent="0.2">
      <c r="A96" t="s">
        <v>209</v>
      </c>
      <c r="B96" t="str">
        <f t="shared" si="3"/>
        <v>GW</v>
      </c>
      <c r="C96">
        <v>10</v>
      </c>
      <c r="D96">
        <v>117</v>
      </c>
      <c r="E96">
        <f t="shared" si="4"/>
        <v>9</v>
      </c>
      <c r="F96">
        <f t="shared" si="5"/>
        <v>101</v>
      </c>
    </row>
    <row r="97" spans="1:6" x14ac:dyDescent="0.2">
      <c r="A97" t="s">
        <v>211</v>
      </c>
      <c r="B97" t="str">
        <f t="shared" si="3"/>
        <v>GW</v>
      </c>
      <c r="C97">
        <v>11</v>
      </c>
      <c r="D97">
        <v>0</v>
      </c>
      <c r="E97">
        <f t="shared" si="4"/>
        <v>10</v>
      </c>
      <c r="F97">
        <f t="shared" si="5"/>
        <v>0</v>
      </c>
    </row>
    <row r="98" spans="1:6" x14ac:dyDescent="0.2">
      <c r="A98" t="s">
        <v>213</v>
      </c>
      <c r="B98" t="str">
        <f t="shared" si="3"/>
        <v>GW</v>
      </c>
      <c r="C98">
        <v>22</v>
      </c>
      <c r="D98">
        <v>-2</v>
      </c>
      <c r="E98">
        <f t="shared" si="4"/>
        <v>19</v>
      </c>
      <c r="F98">
        <f t="shared" si="5"/>
        <v>-2</v>
      </c>
    </row>
    <row r="99" spans="1:6" x14ac:dyDescent="0.2">
      <c r="A99" t="s">
        <v>214</v>
      </c>
      <c r="B99" t="str">
        <f t="shared" si="3"/>
        <v>GW</v>
      </c>
      <c r="C99">
        <v>20</v>
      </c>
      <c r="D99">
        <v>149</v>
      </c>
      <c r="E99">
        <f t="shared" si="4"/>
        <v>17</v>
      </c>
      <c r="F99">
        <f t="shared" si="5"/>
        <v>129</v>
      </c>
    </row>
    <row r="100" spans="1:6" x14ac:dyDescent="0.2">
      <c r="A100" t="s">
        <v>216</v>
      </c>
      <c r="B100" t="str">
        <f t="shared" si="3"/>
        <v>GW</v>
      </c>
      <c r="C100">
        <v>0</v>
      </c>
      <c r="D100">
        <v>0</v>
      </c>
      <c r="E100">
        <f t="shared" si="4"/>
        <v>0</v>
      </c>
      <c r="F100">
        <f t="shared" si="5"/>
        <v>0</v>
      </c>
    </row>
    <row r="101" spans="1:6" x14ac:dyDescent="0.2">
      <c r="A101" t="s">
        <v>301</v>
      </c>
      <c r="B101" t="str">
        <f t="shared" si="3"/>
        <v>TW</v>
      </c>
      <c r="C101">
        <v>0</v>
      </c>
      <c r="D101">
        <v>0</v>
      </c>
      <c r="E101">
        <f t="shared" si="4"/>
        <v>0</v>
      </c>
      <c r="F101">
        <f t="shared" si="5"/>
        <v>0</v>
      </c>
    </row>
    <row r="102" spans="1:6" x14ac:dyDescent="0.2">
      <c r="A102" t="s">
        <v>459</v>
      </c>
      <c r="B102" t="str">
        <f t="shared" si="3"/>
        <v>GW</v>
      </c>
      <c r="C102">
        <v>20</v>
      </c>
      <c r="D102">
        <v>223</v>
      </c>
      <c r="E102">
        <f t="shared" si="4"/>
        <v>17</v>
      </c>
      <c r="F102">
        <f t="shared" si="5"/>
        <v>193</v>
      </c>
    </row>
    <row r="103" spans="1:6" x14ac:dyDescent="0.2">
      <c r="A103" t="s">
        <v>436</v>
      </c>
      <c r="B103" t="str">
        <f t="shared" si="3"/>
        <v>GW</v>
      </c>
      <c r="C103">
        <v>10</v>
      </c>
      <c r="D103">
        <v>198</v>
      </c>
      <c r="E103">
        <f t="shared" si="4"/>
        <v>9</v>
      </c>
      <c r="F103">
        <f t="shared" si="5"/>
        <v>172</v>
      </c>
    </row>
    <row r="104" spans="1:6" x14ac:dyDescent="0.2">
      <c r="A104" t="s">
        <v>218</v>
      </c>
      <c r="B104" t="str">
        <f t="shared" si="3"/>
        <v>GW</v>
      </c>
      <c r="C104">
        <v>12</v>
      </c>
      <c r="D104">
        <v>84</v>
      </c>
      <c r="E104">
        <f t="shared" si="4"/>
        <v>10</v>
      </c>
      <c r="F104">
        <f t="shared" si="5"/>
        <v>73</v>
      </c>
    </row>
    <row r="105" spans="1:6" x14ac:dyDescent="0.2">
      <c r="A105" t="s">
        <v>118</v>
      </c>
      <c r="B105" t="str">
        <f t="shared" si="3"/>
        <v>GD</v>
      </c>
      <c r="C105">
        <v>0</v>
      </c>
      <c r="D105">
        <v>0</v>
      </c>
      <c r="E105">
        <f t="shared" si="4"/>
        <v>0</v>
      </c>
      <c r="F105">
        <f t="shared" si="5"/>
        <v>0</v>
      </c>
    </row>
    <row r="106" spans="1:6" x14ac:dyDescent="0.2">
      <c r="A106" t="s">
        <v>219</v>
      </c>
      <c r="B106" t="str">
        <f t="shared" si="3"/>
        <v>GW</v>
      </c>
      <c r="C106">
        <v>156</v>
      </c>
      <c r="D106">
        <v>0</v>
      </c>
      <c r="E106">
        <f t="shared" si="4"/>
        <v>135</v>
      </c>
      <c r="F106">
        <f t="shared" si="5"/>
        <v>0</v>
      </c>
    </row>
    <row r="107" spans="1:6" x14ac:dyDescent="0.2">
      <c r="A107" t="s">
        <v>220</v>
      </c>
      <c r="B107" t="str">
        <f t="shared" si="3"/>
        <v>GW</v>
      </c>
      <c r="C107">
        <v>3</v>
      </c>
      <c r="D107">
        <v>0</v>
      </c>
      <c r="E107">
        <f t="shared" si="4"/>
        <v>3</v>
      </c>
      <c r="F107">
        <f t="shared" si="5"/>
        <v>0</v>
      </c>
    </row>
    <row r="108" spans="1:6" x14ac:dyDescent="0.2">
      <c r="A108" t="s">
        <v>222</v>
      </c>
      <c r="B108" t="str">
        <f t="shared" si="3"/>
        <v>GW</v>
      </c>
      <c r="C108">
        <v>26</v>
      </c>
      <c r="D108">
        <v>29</v>
      </c>
      <c r="E108">
        <f t="shared" si="4"/>
        <v>23</v>
      </c>
      <c r="F108">
        <f t="shared" si="5"/>
        <v>25</v>
      </c>
    </row>
    <row r="109" spans="1:6" x14ac:dyDescent="0.2">
      <c r="A109" t="s">
        <v>224</v>
      </c>
      <c r="B109" t="str">
        <f t="shared" si="3"/>
        <v>GW</v>
      </c>
      <c r="C109">
        <v>30</v>
      </c>
      <c r="D109">
        <v>216</v>
      </c>
      <c r="E109">
        <f t="shared" si="4"/>
        <v>26</v>
      </c>
      <c r="F109">
        <f t="shared" si="5"/>
        <v>187</v>
      </c>
    </row>
    <row r="110" spans="1:6" x14ac:dyDescent="0.2">
      <c r="A110" t="s">
        <v>442</v>
      </c>
      <c r="B110" t="str">
        <f t="shared" si="3"/>
        <v>GW</v>
      </c>
      <c r="C110">
        <v>2</v>
      </c>
      <c r="D110">
        <v>8</v>
      </c>
      <c r="E110">
        <f t="shared" si="4"/>
        <v>2</v>
      </c>
      <c r="F110">
        <f t="shared" si="5"/>
        <v>7</v>
      </c>
    </row>
    <row r="111" spans="1:6" x14ac:dyDescent="0.2">
      <c r="A111" t="s">
        <v>443</v>
      </c>
      <c r="B111" t="str">
        <f t="shared" si="3"/>
        <v>GW</v>
      </c>
      <c r="C111">
        <v>0</v>
      </c>
      <c r="D111">
        <v>0</v>
      </c>
      <c r="E111">
        <f t="shared" si="4"/>
        <v>0</v>
      </c>
      <c r="F111">
        <f t="shared" si="5"/>
        <v>0</v>
      </c>
    </row>
    <row r="112" spans="1:6" x14ac:dyDescent="0.2">
      <c r="A112" t="s">
        <v>581</v>
      </c>
      <c r="B112" t="str">
        <f t="shared" si="3"/>
        <v>GW</v>
      </c>
      <c r="C112">
        <v>0</v>
      </c>
      <c r="D112">
        <v>0</v>
      </c>
      <c r="E112">
        <f t="shared" si="4"/>
        <v>0</v>
      </c>
      <c r="F112">
        <f t="shared" si="5"/>
        <v>0</v>
      </c>
    </row>
    <row r="113" spans="1:6" x14ac:dyDescent="0.2">
      <c r="A113" t="s">
        <v>445</v>
      </c>
      <c r="B113" t="str">
        <f t="shared" si="3"/>
        <v>GW</v>
      </c>
      <c r="C113">
        <v>0</v>
      </c>
      <c r="D113">
        <v>0</v>
      </c>
      <c r="E113">
        <f t="shared" si="4"/>
        <v>0</v>
      </c>
      <c r="F113">
        <f t="shared" si="5"/>
        <v>0</v>
      </c>
    </row>
    <row r="114" spans="1:6" x14ac:dyDescent="0.2">
      <c r="A114" t="s">
        <v>444</v>
      </c>
      <c r="B114" t="str">
        <f t="shared" si="3"/>
        <v>GW</v>
      </c>
      <c r="C114">
        <v>10</v>
      </c>
      <c r="D114">
        <v>121</v>
      </c>
      <c r="E114">
        <f t="shared" si="4"/>
        <v>9</v>
      </c>
      <c r="F114">
        <f t="shared" si="5"/>
        <v>105</v>
      </c>
    </row>
    <row r="115" spans="1:6" x14ac:dyDescent="0.2">
      <c r="A115" t="s">
        <v>446</v>
      </c>
      <c r="B115" t="str">
        <f t="shared" si="3"/>
        <v>GW</v>
      </c>
      <c r="C115">
        <v>0</v>
      </c>
      <c r="D115">
        <v>0</v>
      </c>
      <c r="E115">
        <f t="shared" si="4"/>
        <v>0</v>
      </c>
      <c r="F115">
        <f t="shared" si="5"/>
        <v>0</v>
      </c>
    </row>
    <row r="116" spans="1:6" x14ac:dyDescent="0.2">
      <c r="A116" t="s">
        <v>439</v>
      </c>
      <c r="B116" t="str">
        <f t="shared" si="3"/>
        <v>TW</v>
      </c>
      <c r="C116">
        <v>0</v>
      </c>
      <c r="D116">
        <v>0</v>
      </c>
      <c r="E116">
        <f t="shared" si="4"/>
        <v>0</v>
      </c>
      <c r="F116">
        <f t="shared" si="5"/>
        <v>0</v>
      </c>
    </row>
    <row r="117" spans="1:6" x14ac:dyDescent="0.2">
      <c r="A117" t="s">
        <v>448</v>
      </c>
      <c r="B117" t="str">
        <f t="shared" si="3"/>
        <v>GW</v>
      </c>
      <c r="C117">
        <v>0</v>
      </c>
      <c r="D117">
        <v>0</v>
      </c>
      <c r="E117">
        <f t="shared" si="4"/>
        <v>0</v>
      </c>
      <c r="F117">
        <f t="shared" si="5"/>
        <v>0</v>
      </c>
    </row>
    <row r="118" spans="1:6" x14ac:dyDescent="0.2">
      <c r="A118" t="s">
        <v>447</v>
      </c>
      <c r="B118" t="str">
        <f t="shared" si="3"/>
        <v>GW</v>
      </c>
      <c r="C118">
        <v>0</v>
      </c>
      <c r="D118">
        <v>0</v>
      </c>
      <c r="E118">
        <f t="shared" si="4"/>
        <v>0</v>
      </c>
      <c r="F118">
        <f t="shared" si="5"/>
        <v>0</v>
      </c>
    </row>
    <row r="119" spans="1:6" x14ac:dyDescent="0.2">
      <c r="A119" t="s">
        <v>450</v>
      </c>
      <c r="B119" t="str">
        <f t="shared" si="3"/>
        <v>GW</v>
      </c>
      <c r="C119">
        <v>0</v>
      </c>
      <c r="D119">
        <v>0</v>
      </c>
      <c r="E119">
        <f t="shared" si="4"/>
        <v>0</v>
      </c>
      <c r="F119">
        <f t="shared" si="5"/>
        <v>0</v>
      </c>
    </row>
    <row r="120" spans="1:6" x14ac:dyDescent="0.2">
      <c r="A120" t="s">
        <v>463</v>
      </c>
      <c r="B120" t="str">
        <f t="shared" si="3"/>
        <v>GW</v>
      </c>
      <c r="C120">
        <v>0</v>
      </c>
      <c r="D120">
        <v>0</v>
      </c>
      <c r="E120">
        <f t="shared" si="4"/>
        <v>0</v>
      </c>
      <c r="F120">
        <f t="shared" si="5"/>
        <v>0</v>
      </c>
    </row>
    <row r="121" spans="1:6" x14ac:dyDescent="0.2">
      <c r="A121" t="s">
        <v>451</v>
      </c>
      <c r="B121" t="str">
        <f t="shared" si="3"/>
        <v>GW</v>
      </c>
      <c r="C121">
        <v>0</v>
      </c>
      <c r="D121">
        <v>0</v>
      </c>
      <c r="E121">
        <f t="shared" si="4"/>
        <v>0</v>
      </c>
      <c r="F121">
        <f t="shared" si="5"/>
        <v>0</v>
      </c>
    </row>
    <row r="122" spans="1:6" x14ac:dyDescent="0.2">
      <c r="A122" t="s">
        <v>469</v>
      </c>
      <c r="B122" t="str">
        <f t="shared" si="3"/>
        <v>GW</v>
      </c>
      <c r="C122">
        <v>0</v>
      </c>
      <c r="D122">
        <v>0</v>
      </c>
      <c r="E122">
        <f t="shared" si="4"/>
        <v>0</v>
      </c>
      <c r="F122">
        <f t="shared" si="5"/>
        <v>0</v>
      </c>
    </row>
    <row r="123" spans="1:6" x14ac:dyDescent="0.2">
      <c r="A123" t="s">
        <v>433</v>
      </c>
      <c r="B123" t="str">
        <f t="shared" si="3"/>
        <v>GW</v>
      </c>
      <c r="C123">
        <v>0</v>
      </c>
      <c r="D123">
        <v>0</v>
      </c>
      <c r="E123">
        <f t="shared" si="4"/>
        <v>0</v>
      </c>
      <c r="F123">
        <f t="shared" si="5"/>
        <v>0</v>
      </c>
    </row>
    <row r="124" spans="1:6" x14ac:dyDescent="0.2">
      <c r="A124" t="s">
        <v>452</v>
      </c>
      <c r="B124" t="str">
        <f t="shared" si="3"/>
        <v>GW</v>
      </c>
      <c r="C124">
        <v>0</v>
      </c>
      <c r="D124">
        <v>0</v>
      </c>
      <c r="E124">
        <f t="shared" si="4"/>
        <v>0</v>
      </c>
      <c r="F124">
        <f t="shared" si="5"/>
        <v>0</v>
      </c>
    </row>
    <row r="125" spans="1:6" x14ac:dyDescent="0.2">
      <c r="A125" t="s">
        <v>453</v>
      </c>
      <c r="B125" t="str">
        <f t="shared" si="3"/>
        <v>GW</v>
      </c>
      <c r="C125">
        <v>0</v>
      </c>
      <c r="D125">
        <v>0</v>
      </c>
      <c r="E125">
        <f t="shared" si="4"/>
        <v>0</v>
      </c>
      <c r="F125">
        <f t="shared" si="5"/>
        <v>0</v>
      </c>
    </row>
    <row r="126" spans="1:6" x14ac:dyDescent="0.2">
      <c r="A126" t="s">
        <v>460</v>
      </c>
      <c r="B126" t="str">
        <f t="shared" si="3"/>
        <v>GW</v>
      </c>
      <c r="C126">
        <v>34</v>
      </c>
      <c r="D126">
        <v>24</v>
      </c>
      <c r="E126">
        <f t="shared" si="4"/>
        <v>29</v>
      </c>
      <c r="F126">
        <f t="shared" si="5"/>
        <v>21</v>
      </c>
    </row>
    <row r="127" spans="1:6" x14ac:dyDescent="0.2">
      <c r="A127" t="s">
        <v>225</v>
      </c>
      <c r="B127" t="str">
        <f t="shared" si="3"/>
        <v>GW</v>
      </c>
      <c r="C127">
        <v>166</v>
      </c>
      <c r="D127">
        <v>166</v>
      </c>
      <c r="E127">
        <f t="shared" si="4"/>
        <v>144</v>
      </c>
      <c r="F127">
        <f t="shared" si="5"/>
        <v>144</v>
      </c>
    </row>
    <row r="128" spans="1:6" x14ac:dyDescent="0.2">
      <c r="A128" t="s">
        <v>226</v>
      </c>
      <c r="B128" t="str">
        <f t="shared" si="3"/>
        <v>GW</v>
      </c>
      <c r="C128">
        <v>32</v>
      </c>
      <c r="D128">
        <v>0</v>
      </c>
      <c r="E128">
        <f t="shared" si="4"/>
        <v>28</v>
      </c>
      <c r="F128">
        <f t="shared" si="5"/>
        <v>0</v>
      </c>
    </row>
    <row r="129" spans="1:6" x14ac:dyDescent="0.2">
      <c r="A129" t="s">
        <v>227</v>
      </c>
      <c r="B129" t="str">
        <f t="shared" si="3"/>
        <v>GW</v>
      </c>
      <c r="C129">
        <v>250</v>
      </c>
      <c r="D129">
        <v>250</v>
      </c>
      <c r="E129">
        <f t="shared" si="4"/>
        <v>217</v>
      </c>
      <c r="F129">
        <f t="shared" si="5"/>
        <v>217</v>
      </c>
    </row>
    <row r="130" spans="1:6" x14ac:dyDescent="0.2">
      <c r="A130" t="s">
        <v>228</v>
      </c>
      <c r="B130" t="str">
        <f t="shared" ref="B130:B193" si="6">IF(ISNA(VLOOKUP(A130,Dedcode,4)),"na",VLOOKUP(A130,Dedcode,4))</f>
        <v>GW</v>
      </c>
      <c r="C130">
        <v>17</v>
      </c>
      <c r="D130">
        <v>229</v>
      </c>
      <c r="E130">
        <f t="shared" si="4"/>
        <v>15</v>
      </c>
      <c r="F130">
        <f t="shared" si="5"/>
        <v>199</v>
      </c>
    </row>
    <row r="131" spans="1:6" x14ac:dyDescent="0.2">
      <c r="A131" t="s">
        <v>229</v>
      </c>
      <c r="B131" t="str">
        <f t="shared" si="6"/>
        <v>GW</v>
      </c>
      <c r="C131">
        <v>34</v>
      </c>
      <c r="D131">
        <v>48</v>
      </c>
      <c r="E131">
        <f t="shared" ref="E131:E194" si="7">C131-ROUND(+C131*(VLOOKUP(B131,cngded,6,FALSE)),0)</f>
        <v>29</v>
      </c>
      <c r="F131">
        <f t="shared" ref="F131:F194" si="8">D131-ROUND(+D131*(VLOOKUP(B131,cngded,6,FALSE)),0)</f>
        <v>42</v>
      </c>
    </row>
    <row r="132" spans="1:6" x14ac:dyDescent="0.2">
      <c r="A132" t="s">
        <v>230</v>
      </c>
      <c r="B132" t="str">
        <f t="shared" si="6"/>
        <v>GW</v>
      </c>
      <c r="C132">
        <v>0</v>
      </c>
      <c r="D132">
        <v>0</v>
      </c>
      <c r="E132">
        <f t="shared" si="7"/>
        <v>0</v>
      </c>
      <c r="F132">
        <f t="shared" si="8"/>
        <v>0</v>
      </c>
    </row>
    <row r="133" spans="1:6" x14ac:dyDescent="0.2">
      <c r="A133" t="s">
        <v>231</v>
      </c>
      <c r="B133" t="str">
        <f t="shared" si="6"/>
        <v>GW</v>
      </c>
      <c r="C133">
        <v>92</v>
      </c>
      <c r="D133">
        <v>427</v>
      </c>
      <c r="E133">
        <f t="shared" si="7"/>
        <v>80</v>
      </c>
      <c r="F133">
        <f t="shared" si="8"/>
        <v>370</v>
      </c>
    </row>
    <row r="134" spans="1:6" x14ac:dyDescent="0.2">
      <c r="A134" t="s">
        <v>464</v>
      </c>
      <c r="B134" t="str">
        <f t="shared" si="6"/>
        <v>GW</v>
      </c>
      <c r="C134">
        <v>70</v>
      </c>
      <c r="D134">
        <v>557</v>
      </c>
      <c r="E134">
        <f t="shared" si="7"/>
        <v>61</v>
      </c>
      <c r="F134">
        <f t="shared" si="8"/>
        <v>483</v>
      </c>
    </row>
    <row r="135" spans="1:6" x14ac:dyDescent="0.2">
      <c r="A135" t="s">
        <v>456</v>
      </c>
      <c r="B135" t="str">
        <f t="shared" si="6"/>
        <v>GW</v>
      </c>
      <c r="C135">
        <v>240</v>
      </c>
      <c r="D135">
        <v>1393</v>
      </c>
      <c r="E135">
        <f t="shared" si="7"/>
        <v>208</v>
      </c>
      <c r="F135">
        <f t="shared" si="8"/>
        <v>1208</v>
      </c>
    </row>
    <row r="136" spans="1:6" x14ac:dyDescent="0.2">
      <c r="A136" t="s">
        <v>516</v>
      </c>
      <c r="B136" t="str">
        <f t="shared" si="6"/>
        <v>GW</v>
      </c>
      <c r="C136">
        <v>22</v>
      </c>
      <c r="D136">
        <v>289</v>
      </c>
      <c r="E136">
        <f t="shared" si="7"/>
        <v>19</v>
      </c>
      <c r="F136">
        <f t="shared" si="8"/>
        <v>251</v>
      </c>
    </row>
    <row r="137" spans="1:6" x14ac:dyDescent="0.2">
      <c r="A137" t="s">
        <v>518</v>
      </c>
      <c r="B137" t="str">
        <f t="shared" si="6"/>
        <v>GW</v>
      </c>
      <c r="C137">
        <v>40</v>
      </c>
      <c r="D137">
        <v>566</v>
      </c>
      <c r="E137">
        <f t="shared" si="7"/>
        <v>35</v>
      </c>
      <c r="F137">
        <f t="shared" si="8"/>
        <v>491</v>
      </c>
    </row>
    <row r="138" spans="1:6" x14ac:dyDescent="0.2">
      <c r="A138" t="s">
        <v>519</v>
      </c>
      <c r="B138" t="str">
        <f t="shared" si="6"/>
        <v>GW</v>
      </c>
      <c r="C138">
        <v>58</v>
      </c>
      <c r="D138">
        <v>815</v>
      </c>
      <c r="E138">
        <f t="shared" si="7"/>
        <v>50</v>
      </c>
      <c r="F138">
        <f t="shared" si="8"/>
        <v>707</v>
      </c>
    </row>
    <row r="139" spans="1:6" x14ac:dyDescent="0.2">
      <c r="A139" t="s">
        <v>505</v>
      </c>
      <c r="B139" t="str">
        <f t="shared" si="6"/>
        <v>GW</v>
      </c>
      <c r="C139">
        <v>8</v>
      </c>
      <c r="D139">
        <v>156</v>
      </c>
      <c r="E139">
        <f t="shared" si="7"/>
        <v>7</v>
      </c>
      <c r="F139">
        <f t="shared" si="8"/>
        <v>135</v>
      </c>
    </row>
    <row r="140" spans="1:6" x14ac:dyDescent="0.2">
      <c r="A140" t="s">
        <v>520</v>
      </c>
      <c r="B140" t="str">
        <f t="shared" si="6"/>
        <v>GW</v>
      </c>
      <c r="C140">
        <v>24</v>
      </c>
      <c r="D140">
        <v>338</v>
      </c>
      <c r="E140">
        <f t="shared" si="7"/>
        <v>21</v>
      </c>
      <c r="F140">
        <f t="shared" si="8"/>
        <v>293</v>
      </c>
    </row>
    <row r="141" spans="1:6" x14ac:dyDescent="0.2">
      <c r="A141" t="s">
        <v>504</v>
      </c>
      <c r="B141" t="str">
        <f t="shared" si="6"/>
        <v>GW</v>
      </c>
      <c r="C141">
        <v>28</v>
      </c>
      <c r="D141">
        <v>406</v>
      </c>
      <c r="E141">
        <f t="shared" si="7"/>
        <v>24</v>
      </c>
      <c r="F141">
        <f t="shared" si="8"/>
        <v>352</v>
      </c>
    </row>
    <row r="142" spans="1:6" x14ac:dyDescent="0.2">
      <c r="A142" t="s">
        <v>501</v>
      </c>
      <c r="B142" t="str">
        <f t="shared" si="6"/>
        <v>GW</v>
      </c>
      <c r="C142">
        <v>22</v>
      </c>
      <c r="D142">
        <v>290</v>
      </c>
      <c r="E142">
        <f t="shared" si="7"/>
        <v>19</v>
      </c>
      <c r="F142">
        <f t="shared" si="8"/>
        <v>252</v>
      </c>
    </row>
    <row r="143" spans="1:6" x14ac:dyDescent="0.2">
      <c r="A143" t="s">
        <v>521</v>
      </c>
      <c r="B143" t="str">
        <f t="shared" si="6"/>
        <v>GW</v>
      </c>
      <c r="C143">
        <v>48</v>
      </c>
      <c r="D143">
        <v>600</v>
      </c>
      <c r="E143">
        <f t="shared" si="7"/>
        <v>42</v>
      </c>
      <c r="F143">
        <f t="shared" si="8"/>
        <v>520</v>
      </c>
    </row>
    <row r="144" spans="1:6" x14ac:dyDescent="0.2">
      <c r="A144" t="s">
        <v>522</v>
      </c>
      <c r="B144" t="str">
        <f t="shared" si="6"/>
        <v>GW</v>
      </c>
      <c r="C144">
        <v>68</v>
      </c>
      <c r="D144">
        <v>908</v>
      </c>
      <c r="E144">
        <f t="shared" si="7"/>
        <v>59</v>
      </c>
      <c r="F144">
        <f t="shared" si="8"/>
        <v>788</v>
      </c>
    </row>
    <row r="145" spans="1:6" x14ac:dyDescent="0.2">
      <c r="A145" t="s">
        <v>508</v>
      </c>
      <c r="B145" t="str">
        <f t="shared" si="6"/>
        <v>GW</v>
      </c>
      <c r="C145">
        <v>46</v>
      </c>
      <c r="D145">
        <v>670</v>
      </c>
      <c r="E145">
        <f t="shared" si="7"/>
        <v>40</v>
      </c>
      <c r="F145">
        <f t="shared" si="8"/>
        <v>581</v>
      </c>
    </row>
    <row r="146" spans="1:6" x14ac:dyDescent="0.2">
      <c r="A146" t="s">
        <v>509</v>
      </c>
      <c r="B146" t="str">
        <f t="shared" si="6"/>
        <v>GW</v>
      </c>
      <c r="C146">
        <v>24</v>
      </c>
      <c r="D146">
        <v>323</v>
      </c>
      <c r="E146">
        <f t="shared" si="7"/>
        <v>21</v>
      </c>
      <c r="F146">
        <f t="shared" si="8"/>
        <v>280</v>
      </c>
    </row>
    <row r="147" spans="1:6" x14ac:dyDescent="0.2">
      <c r="A147" t="s">
        <v>513</v>
      </c>
      <c r="B147" t="str">
        <f t="shared" si="6"/>
        <v>GW</v>
      </c>
      <c r="C147">
        <v>29</v>
      </c>
      <c r="D147">
        <v>406</v>
      </c>
      <c r="E147">
        <f t="shared" si="7"/>
        <v>25</v>
      </c>
      <c r="F147">
        <f t="shared" si="8"/>
        <v>352</v>
      </c>
    </row>
    <row r="148" spans="1:6" x14ac:dyDescent="0.2">
      <c r="A148" t="s">
        <v>512</v>
      </c>
      <c r="B148" t="str">
        <f t="shared" si="6"/>
        <v>GW</v>
      </c>
      <c r="C148">
        <v>38</v>
      </c>
      <c r="D148">
        <v>523</v>
      </c>
      <c r="E148">
        <f t="shared" si="7"/>
        <v>33</v>
      </c>
      <c r="F148">
        <f t="shared" si="8"/>
        <v>454</v>
      </c>
    </row>
    <row r="149" spans="1:6" x14ac:dyDescent="0.2">
      <c r="A149" t="s">
        <v>511</v>
      </c>
      <c r="B149" t="str">
        <f t="shared" si="6"/>
        <v>GW</v>
      </c>
      <c r="C149">
        <v>12</v>
      </c>
      <c r="D149">
        <v>194</v>
      </c>
      <c r="E149">
        <f t="shared" si="7"/>
        <v>10</v>
      </c>
      <c r="F149">
        <f t="shared" si="8"/>
        <v>168</v>
      </c>
    </row>
    <row r="150" spans="1:6" x14ac:dyDescent="0.2">
      <c r="A150" t="s">
        <v>395</v>
      </c>
      <c r="B150" t="str">
        <f t="shared" si="6"/>
        <v>GD</v>
      </c>
      <c r="C150">
        <v>0</v>
      </c>
      <c r="D150">
        <v>0</v>
      </c>
      <c r="E150">
        <f t="shared" si="7"/>
        <v>0</v>
      </c>
      <c r="F150">
        <f t="shared" si="8"/>
        <v>0</v>
      </c>
    </row>
    <row r="151" spans="1:6" x14ac:dyDescent="0.2">
      <c r="A151" t="s">
        <v>396</v>
      </c>
      <c r="B151" t="str">
        <f t="shared" si="6"/>
        <v>GD</v>
      </c>
      <c r="C151">
        <v>0</v>
      </c>
      <c r="D151">
        <v>0</v>
      </c>
      <c r="E151">
        <f t="shared" si="7"/>
        <v>0</v>
      </c>
      <c r="F151">
        <f t="shared" si="8"/>
        <v>0</v>
      </c>
    </row>
    <row r="152" spans="1:6" x14ac:dyDescent="0.2">
      <c r="A152" t="s">
        <v>449</v>
      </c>
      <c r="B152" t="str">
        <f t="shared" si="6"/>
        <v>GW</v>
      </c>
      <c r="C152">
        <v>21</v>
      </c>
      <c r="D152">
        <v>290</v>
      </c>
      <c r="E152">
        <f t="shared" si="7"/>
        <v>18</v>
      </c>
      <c r="F152">
        <f t="shared" si="8"/>
        <v>252</v>
      </c>
    </row>
    <row r="153" spans="1:6" x14ac:dyDescent="0.2">
      <c r="A153" t="s">
        <v>466</v>
      </c>
      <c r="B153" t="str">
        <f t="shared" si="6"/>
        <v>GW</v>
      </c>
      <c r="C153">
        <v>0</v>
      </c>
      <c r="D153">
        <v>0</v>
      </c>
      <c r="E153">
        <f t="shared" si="7"/>
        <v>0</v>
      </c>
      <c r="F153">
        <f t="shared" si="8"/>
        <v>0</v>
      </c>
    </row>
    <row r="154" spans="1:6" x14ac:dyDescent="0.2">
      <c r="A154" t="s">
        <v>232</v>
      </c>
      <c r="B154" t="str">
        <f t="shared" si="6"/>
        <v>GW</v>
      </c>
      <c r="C154">
        <v>4</v>
      </c>
      <c r="D154">
        <v>24</v>
      </c>
      <c r="E154">
        <f t="shared" si="7"/>
        <v>3</v>
      </c>
      <c r="F154">
        <f t="shared" si="8"/>
        <v>21</v>
      </c>
    </row>
    <row r="155" spans="1:6" x14ac:dyDescent="0.2">
      <c r="A155" t="s">
        <v>304</v>
      </c>
      <c r="B155" t="str">
        <f t="shared" si="6"/>
        <v>TW</v>
      </c>
      <c r="C155">
        <v>0</v>
      </c>
      <c r="D155">
        <v>0</v>
      </c>
      <c r="E155">
        <f t="shared" si="7"/>
        <v>0</v>
      </c>
      <c r="F155">
        <f t="shared" si="8"/>
        <v>0</v>
      </c>
    </row>
    <row r="156" spans="1:6" x14ac:dyDescent="0.2">
      <c r="A156" t="s">
        <v>233</v>
      </c>
      <c r="B156" t="str">
        <f t="shared" si="6"/>
        <v>GW</v>
      </c>
      <c r="C156">
        <v>0</v>
      </c>
      <c r="D156">
        <v>0</v>
      </c>
      <c r="E156">
        <f t="shared" si="7"/>
        <v>0</v>
      </c>
      <c r="F156">
        <f t="shared" si="8"/>
        <v>0</v>
      </c>
    </row>
    <row r="157" spans="1:6" x14ac:dyDescent="0.2">
      <c r="A157" t="s">
        <v>398</v>
      </c>
      <c r="B157" t="str">
        <f t="shared" si="6"/>
        <v>GW</v>
      </c>
      <c r="C157">
        <v>28</v>
      </c>
      <c r="D157">
        <v>398</v>
      </c>
      <c r="E157">
        <f t="shared" si="7"/>
        <v>24</v>
      </c>
      <c r="F157">
        <f t="shared" si="8"/>
        <v>345</v>
      </c>
    </row>
    <row r="158" spans="1:6" x14ac:dyDescent="0.2">
      <c r="A158" t="s">
        <v>399</v>
      </c>
      <c r="B158" t="str">
        <f t="shared" si="6"/>
        <v>GW</v>
      </c>
      <c r="C158">
        <v>16</v>
      </c>
      <c r="D158">
        <v>192</v>
      </c>
      <c r="E158">
        <f t="shared" si="7"/>
        <v>14</v>
      </c>
      <c r="F158">
        <f t="shared" si="8"/>
        <v>167</v>
      </c>
    </row>
    <row r="159" spans="1:6" x14ac:dyDescent="0.2">
      <c r="A159" t="s">
        <v>234</v>
      </c>
      <c r="B159" t="str">
        <f t="shared" si="6"/>
        <v>GW</v>
      </c>
      <c r="C159">
        <v>76</v>
      </c>
      <c r="D159">
        <v>386</v>
      </c>
      <c r="E159">
        <f t="shared" si="7"/>
        <v>66</v>
      </c>
      <c r="F159">
        <f t="shared" si="8"/>
        <v>335</v>
      </c>
    </row>
    <row r="160" spans="1:6" x14ac:dyDescent="0.2">
      <c r="A160" t="s">
        <v>235</v>
      </c>
      <c r="B160" t="str">
        <f t="shared" si="6"/>
        <v>GW</v>
      </c>
      <c r="C160">
        <v>20</v>
      </c>
      <c r="D160">
        <v>209</v>
      </c>
      <c r="E160">
        <f t="shared" si="7"/>
        <v>17</v>
      </c>
      <c r="F160">
        <f t="shared" si="8"/>
        <v>181</v>
      </c>
    </row>
    <row r="161" spans="1:6" x14ac:dyDescent="0.2">
      <c r="A161" t="s">
        <v>236</v>
      </c>
      <c r="B161" t="str">
        <f t="shared" si="6"/>
        <v>GW</v>
      </c>
      <c r="C161">
        <v>0</v>
      </c>
      <c r="D161">
        <v>0</v>
      </c>
      <c r="E161">
        <f t="shared" si="7"/>
        <v>0</v>
      </c>
      <c r="F161">
        <f t="shared" si="8"/>
        <v>0</v>
      </c>
    </row>
    <row r="162" spans="1:6" x14ac:dyDescent="0.2">
      <c r="A162" t="s">
        <v>237</v>
      </c>
      <c r="B162" t="str">
        <f t="shared" si="6"/>
        <v>GW</v>
      </c>
      <c r="C162">
        <v>8</v>
      </c>
      <c r="D162">
        <v>93</v>
      </c>
      <c r="E162">
        <f t="shared" si="7"/>
        <v>7</v>
      </c>
      <c r="F162">
        <f t="shared" si="8"/>
        <v>81</v>
      </c>
    </row>
    <row r="163" spans="1:6" x14ac:dyDescent="0.2">
      <c r="A163" t="s">
        <v>238</v>
      </c>
      <c r="B163" t="str">
        <f t="shared" si="6"/>
        <v>GW</v>
      </c>
      <c r="C163">
        <v>50</v>
      </c>
      <c r="D163">
        <v>599</v>
      </c>
      <c r="E163">
        <f t="shared" si="7"/>
        <v>43</v>
      </c>
      <c r="F163">
        <f t="shared" si="8"/>
        <v>520</v>
      </c>
    </row>
    <row r="164" spans="1:6" x14ac:dyDescent="0.2">
      <c r="A164" t="s">
        <v>239</v>
      </c>
      <c r="B164" t="str">
        <f t="shared" si="6"/>
        <v>GW</v>
      </c>
      <c r="C164">
        <v>92</v>
      </c>
      <c r="D164">
        <v>1242</v>
      </c>
      <c r="E164">
        <f t="shared" si="7"/>
        <v>80</v>
      </c>
      <c r="F164">
        <f t="shared" si="8"/>
        <v>1077</v>
      </c>
    </row>
    <row r="165" spans="1:6" x14ac:dyDescent="0.2">
      <c r="A165" t="s">
        <v>240</v>
      </c>
      <c r="B165" t="str">
        <f t="shared" si="6"/>
        <v>GW</v>
      </c>
      <c r="C165">
        <v>30</v>
      </c>
      <c r="D165">
        <v>689</v>
      </c>
      <c r="E165">
        <f t="shared" si="7"/>
        <v>26</v>
      </c>
      <c r="F165">
        <f t="shared" si="8"/>
        <v>598</v>
      </c>
    </row>
    <row r="166" spans="1:6" x14ac:dyDescent="0.2">
      <c r="A166" t="s">
        <v>241</v>
      </c>
      <c r="B166" t="str">
        <f t="shared" si="6"/>
        <v>GW</v>
      </c>
      <c r="C166">
        <v>208</v>
      </c>
      <c r="D166">
        <v>2521</v>
      </c>
      <c r="E166">
        <f t="shared" si="7"/>
        <v>180</v>
      </c>
      <c r="F166">
        <f t="shared" si="8"/>
        <v>2187</v>
      </c>
    </row>
    <row r="167" spans="1:6" x14ac:dyDescent="0.2">
      <c r="A167" t="s">
        <v>400</v>
      </c>
      <c r="B167" t="str">
        <f t="shared" si="6"/>
        <v>GW</v>
      </c>
      <c r="C167">
        <v>0</v>
      </c>
      <c r="D167">
        <v>0</v>
      </c>
      <c r="E167">
        <f t="shared" si="7"/>
        <v>0</v>
      </c>
      <c r="F167">
        <f t="shared" si="8"/>
        <v>0</v>
      </c>
    </row>
    <row r="168" spans="1:6" x14ac:dyDescent="0.2">
      <c r="A168" t="s">
        <v>245</v>
      </c>
      <c r="B168" t="str">
        <f t="shared" si="6"/>
        <v>GW</v>
      </c>
      <c r="C168">
        <v>8</v>
      </c>
      <c r="D168">
        <v>61</v>
      </c>
      <c r="E168">
        <f t="shared" si="7"/>
        <v>7</v>
      </c>
      <c r="F168">
        <f t="shared" si="8"/>
        <v>53</v>
      </c>
    </row>
    <row r="169" spans="1:6" x14ac:dyDescent="0.2">
      <c r="A169" t="s">
        <v>432</v>
      </c>
      <c r="B169" t="str">
        <f t="shared" si="6"/>
        <v>GW</v>
      </c>
      <c r="C169">
        <v>4</v>
      </c>
      <c r="D169">
        <v>47</v>
      </c>
      <c r="E169">
        <f t="shared" si="7"/>
        <v>3</v>
      </c>
      <c r="F169">
        <f t="shared" si="8"/>
        <v>41</v>
      </c>
    </row>
    <row r="170" spans="1:6" x14ac:dyDescent="0.2">
      <c r="A170" t="s">
        <v>403</v>
      </c>
      <c r="B170" t="str">
        <f t="shared" si="6"/>
        <v>GW</v>
      </c>
      <c r="C170">
        <v>14</v>
      </c>
      <c r="D170">
        <v>197</v>
      </c>
      <c r="E170">
        <f t="shared" si="7"/>
        <v>12</v>
      </c>
      <c r="F170">
        <f t="shared" si="8"/>
        <v>171</v>
      </c>
    </row>
    <row r="171" spans="1:6" x14ac:dyDescent="0.2">
      <c r="A171" t="s">
        <v>246</v>
      </c>
      <c r="B171" t="str">
        <f t="shared" si="6"/>
        <v>GW</v>
      </c>
      <c r="C171">
        <v>22</v>
      </c>
      <c r="D171">
        <v>317</v>
      </c>
      <c r="E171">
        <f t="shared" si="7"/>
        <v>19</v>
      </c>
      <c r="F171">
        <f t="shared" si="8"/>
        <v>275</v>
      </c>
    </row>
    <row r="172" spans="1:6" x14ac:dyDescent="0.2">
      <c r="A172" t="s">
        <v>405</v>
      </c>
      <c r="B172" t="str">
        <f t="shared" si="6"/>
        <v>GW</v>
      </c>
      <c r="C172">
        <v>32</v>
      </c>
      <c r="D172">
        <v>411</v>
      </c>
      <c r="E172">
        <f t="shared" si="7"/>
        <v>28</v>
      </c>
      <c r="F172">
        <f t="shared" si="8"/>
        <v>357</v>
      </c>
    </row>
    <row r="173" spans="1:6" x14ac:dyDescent="0.2">
      <c r="A173" t="s">
        <v>247</v>
      </c>
      <c r="B173" t="str">
        <f t="shared" si="6"/>
        <v>GW</v>
      </c>
      <c r="C173">
        <v>52</v>
      </c>
      <c r="D173">
        <v>151</v>
      </c>
      <c r="E173">
        <f t="shared" si="7"/>
        <v>45</v>
      </c>
      <c r="F173">
        <f t="shared" si="8"/>
        <v>131</v>
      </c>
    </row>
    <row r="174" spans="1:6" x14ac:dyDescent="0.2">
      <c r="A174" t="s">
        <v>454</v>
      </c>
      <c r="B174" t="str">
        <f t="shared" si="6"/>
        <v>GW</v>
      </c>
      <c r="C174">
        <v>1086</v>
      </c>
      <c r="D174">
        <v>10019</v>
      </c>
      <c r="E174">
        <f t="shared" si="7"/>
        <v>942</v>
      </c>
      <c r="F174">
        <f t="shared" si="8"/>
        <v>8691</v>
      </c>
    </row>
    <row r="175" spans="1:6" x14ac:dyDescent="0.2">
      <c r="A175" t="s">
        <v>248</v>
      </c>
      <c r="B175" t="str">
        <f t="shared" si="6"/>
        <v>GW</v>
      </c>
      <c r="C175">
        <v>10</v>
      </c>
      <c r="D175">
        <v>118</v>
      </c>
      <c r="E175">
        <f t="shared" si="7"/>
        <v>9</v>
      </c>
      <c r="F175">
        <f t="shared" si="8"/>
        <v>102</v>
      </c>
    </row>
    <row r="176" spans="1:6" x14ac:dyDescent="0.2">
      <c r="A176" t="s">
        <v>305</v>
      </c>
      <c r="B176" t="str">
        <f t="shared" si="6"/>
        <v>TW</v>
      </c>
      <c r="C176">
        <v>6</v>
      </c>
      <c r="D176">
        <v>0</v>
      </c>
      <c r="E176">
        <f t="shared" si="7"/>
        <v>6</v>
      </c>
      <c r="F176">
        <f t="shared" si="8"/>
        <v>0</v>
      </c>
    </row>
    <row r="177" spans="1:6" x14ac:dyDescent="0.2">
      <c r="A177" t="s">
        <v>250</v>
      </c>
      <c r="B177" t="str">
        <f t="shared" si="6"/>
        <v>GW</v>
      </c>
      <c r="C177">
        <v>0</v>
      </c>
      <c r="D177">
        <v>0</v>
      </c>
      <c r="E177">
        <f t="shared" si="7"/>
        <v>0</v>
      </c>
      <c r="F177">
        <f t="shared" si="8"/>
        <v>0</v>
      </c>
    </row>
    <row r="178" spans="1:6" x14ac:dyDescent="0.2">
      <c r="A178" t="s">
        <v>503</v>
      </c>
      <c r="B178" t="str">
        <f t="shared" si="6"/>
        <v>GW</v>
      </c>
      <c r="C178">
        <v>82</v>
      </c>
      <c r="D178">
        <v>1452</v>
      </c>
      <c r="E178">
        <f t="shared" si="7"/>
        <v>71</v>
      </c>
      <c r="F178">
        <f t="shared" si="8"/>
        <v>1260</v>
      </c>
    </row>
    <row r="179" spans="1:6" x14ac:dyDescent="0.2">
      <c r="A179" t="s">
        <v>306</v>
      </c>
      <c r="B179" t="str">
        <f t="shared" si="6"/>
        <v>TW</v>
      </c>
      <c r="C179">
        <v>48</v>
      </c>
      <c r="D179">
        <v>221</v>
      </c>
      <c r="E179">
        <f t="shared" si="7"/>
        <v>46</v>
      </c>
      <c r="F179">
        <f t="shared" si="8"/>
        <v>212</v>
      </c>
    </row>
    <row r="180" spans="1:6" x14ac:dyDescent="0.2">
      <c r="A180" t="s">
        <v>401</v>
      </c>
      <c r="B180" t="str">
        <f t="shared" si="6"/>
        <v>GW</v>
      </c>
      <c r="C180">
        <v>14</v>
      </c>
      <c r="D180">
        <v>239</v>
      </c>
      <c r="E180">
        <f t="shared" si="7"/>
        <v>12</v>
      </c>
      <c r="F180">
        <f t="shared" si="8"/>
        <v>207</v>
      </c>
    </row>
    <row r="181" spans="1:6" x14ac:dyDescent="0.2">
      <c r="A181" t="s">
        <v>251</v>
      </c>
      <c r="B181" t="str">
        <f t="shared" si="6"/>
        <v>GW</v>
      </c>
      <c r="C181">
        <v>0</v>
      </c>
      <c r="D181">
        <v>0</v>
      </c>
      <c r="E181">
        <f t="shared" si="7"/>
        <v>0</v>
      </c>
      <c r="F181">
        <f t="shared" si="8"/>
        <v>0</v>
      </c>
    </row>
    <row r="182" spans="1:6" x14ac:dyDescent="0.2">
      <c r="A182" t="s">
        <v>253</v>
      </c>
      <c r="B182" t="str">
        <f t="shared" si="6"/>
        <v>GW</v>
      </c>
      <c r="C182">
        <v>10</v>
      </c>
      <c r="D182">
        <v>0</v>
      </c>
      <c r="E182">
        <f t="shared" si="7"/>
        <v>9</v>
      </c>
      <c r="F182">
        <f t="shared" si="8"/>
        <v>0</v>
      </c>
    </row>
    <row r="183" spans="1:6" x14ac:dyDescent="0.2">
      <c r="A183" t="s">
        <v>255</v>
      </c>
      <c r="B183" t="str">
        <f t="shared" si="6"/>
        <v>GW</v>
      </c>
      <c r="C183">
        <v>0</v>
      </c>
      <c r="D183">
        <v>526</v>
      </c>
      <c r="E183">
        <f t="shared" si="7"/>
        <v>0</v>
      </c>
      <c r="F183">
        <f t="shared" si="8"/>
        <v>456</v>
      </c>
    </row>
    <row r="184" spans="1:6" x14ac:dyDescent="0.2">
      <c r="A184" t="s">
        <v>256</v>
      </c>
      <c r="B184" t="str">
        <f t="shared" si="6"/>
        <v>GW</v>
      </c>
      <c r="C184">
        <v>86</v>
      </c>
      <c r="D184">
        <v>0</v>
      </c>
      <c r="E184">
        <f t="shared" si="7"/>
        <v>75</v>
      </c>
      <c r="F184">
        <f t="shared" si="8"/>
        <v>0</v>
      </c>
    </row>
    <row r="185" spans="1:6" x14ac:dyDescent="0.2">
      <c r="A185" t="s">
        <v>258</v>
      </c>
      <c r="B185" t="str">
        <f t="shared" si="6"/>
        <v>GW</v>
      </c>
      <c r="C185">
        <v>0</v>
      </c>
      <c r="D185">
        <v>0</v>
      </c>
      <c r="E185">
        <f t="shared" si="7"/>
        <v>0</v>
      </c>
      <c r="F185">
        <f t="shared" si="8"/>
        <v>0</v>
      </c>
    </row>
    <row r="186" spans="1:6" x14ac:dyDescent="0.2">
      <c r="A186" t="s">
        <v>260</v>
      </c>
      <c r="B186" t="str">
        <f t="shared" si="6"/>
        <v>GW</v>
      </c>
      <c r="C186">
        <v>42</v>
      </c>
      <c r="D186">
        <v>565</v>
      </c>
      <c r="E186">
        <f t="shared" si="7"/>
        <v>36</v>
      </c>
      <c r="F186">
        <f t="shared" si="8"/>
        <v>490</v>
      </c>
    </row>
    <row r="187" spans="1:6" x14ac:dyDescent="0.2">
      <c r="A187" t="s">
        <v>262</v>
      </c>
      <c r="B187" t="str">
        <f t="shared" si="6"/>
        <v>GW</v>
      </c>
      <c r="C187">
        <v>22</v>
      </c>
      <c r="D187">
        <v>33</v>
      </c>
      <c r="E187">
        <f t="shared" si="7"/>
        <v>19</v>
      </c>
      <c r="F187">
        <f t="shared" si="8"/>
        <v>29</v>
      </c>
    </row>
    <row r="188" spans="1:6" x14ac:dyDescent="0.2">
      <c r="A188" t="s">
        <v>263</v>
      </c>
      <c r="B188" t="str">
        <f t="shared" si="6"/>
        <v>GW</v>
      </c>
      <c r="C188">
        <v>20</v>
      </c>
      <c r="D188">
        <v>30</v>
      </c>
      <c r="E188">
        <f t="shared" si="7"/>
        <v>17</v>
      </c>
      <c r="F188">
        <f t="shared" si="8"/>
        <v>26</v>
      </c>
    </row>
    <row r="189" spans="1:6" x14ac:dyDescent="0.2">
      <c r="A189" t="s">
        <v>125</v>
      </c>
      <c r="B189" t="str">
        <f t="shared" si="6"/>
        <v>GD</v>
      </c>
      <c r="C189">
        <v>22</v>
      </c>
      <c r="D189">
        <v>298</v>
      </c>
      <c r="E189">
        <f t="shared" si="7"/>
        <v>20</v>
      </c>
      <c r="F189">
        <f t="shared" si="8"/>
        <v>270</v>
      </c>
    </row>
    <row r="190" spans="1:6" x14ac:dyDescent="0.2">
      <c r="A190" t="s">
        <v>430</v>
      </c>
      <c r="B190" t="str">
        <f t="shared" si="6"/>
        <v>GW</v>
      </c>
      <c r="C190">
        <v>40</v>
      </c>
      <c r="D190">
        <v>554</v>
      </c>
      <c r="E190">
        <f t="shared" si="7"/>
        <v>35</v>
      </c>
      <c r="F190">
        <f t="shared" si="8"/>
        <v>481</v>
      </c>
    </row>
    <row r="191" spans="1:6" x14ac:dyDescent="0.2">
      <c r="A191" t="s">
        <v>127</v>
      </c>
      <c r="B191" t="str">
        <f t="shared" si="6"/>
        <v>GD</v>
      </c>
      <c r="C191">
        <v>32</v>
      </c>
      <c r="D191">
        <v>439</v>
      </c>
      <c r="E191">
        <f t="shared" si="7"/>
        <v>29</v>
      </c>
      <c r="F191">
        <f t="shared" si="8"/>
        <v>398</v>
      </c>
    </row>
    <row r="192" spans="1:6" x14ac:dyDescent="0.2">
      <c r="A192" t="s">
        <v>264</v>
      </c>
      <c r="B192" t="str">
        <f t="shared" si="6"/>
        <v>GW</v>
      </c>
      <c r="C192">
        <v>0</v>
      </c>
      <c r="D192">
        <v>0</v>
      </c>
      <c r="E192">
        <f t="shared" si="7"/>
        <v>0</v>
      </c>
      <c r="F192">
        <f t="shared" si="8"/>
        <v>0</v>
      </c>
    </row>
    <row r="193" spans="1:6" x14ac:dyDescent="0.2">
      <c r="A193" t="s">
        <v>265</v>
      </c>
      <c r="B193" t="str">
        <f t="shared" si="6"/>
        <v>GW</v>
      </c>
      <c r="C193">
        <v>58</v>
      </c>
      <c r="D193">
        <v>8</v>
      </c>
      <c r="E193">
        <f t="shared" si="7"/>
        <v>50</v>
      </c>
      <c r="F193">
        <f t="shared" si="8"/>
        <v>7</v>
      </c>
    </row>
    <row r="194" spans="1:6" x14ac:dyDescent="0.2">
      <c r="A194" t="s">
        <v>266</v>
      </c>
      <c r="B194" t="str">
        <f t="shared" ref="B194:B244" si="9">IF(ISNA(VLOOKUP(A194,Dedcode,4)),"na",VLOOKUP(A194,Dedcode,4))</f>
        <v>GW</v>
      </c>
      <c r="C194">
        <v>40</v>
      </c>
      <c r="D194">
        <v>21</v>
      </c>
      <c r="E194">
        <f t="shared" si="7"/>
        <v>35</v>
      </c>
      <c r="F194">
        <f t="shared" si="8"/>
        <v>18</v>
      </c>
    </row>
    <row r="195" spans="1:6" x14ac:dyDescent="0.2">
      <c r="A195" t="s">
        <v>123</v>
      </c>
      <c r="B195" t="str">
        <f t="shared" si="9"/>
        <v>GW</v>
      </c>
      <c r="C195">
        <v>92</v>
      </c>
      <c r="D195">
        <v>842</v>
      </c>
      <c r="E195">
        <f t="shared" ref="E195:E244" si="10">C195-ROUND(+C195*(VLOOKUP(B195,cngded,6,FALSE)),0)</f>
        <v>80</v>
      </c>
      <c r="F195">
        <f t="shared" ref="F195:F244" si="11">D195-ROUND(+D195*(VLOOKUP(B195,cngded,6,FALSE)),0)</f>
        <v>730</v>
      </c>
    </row>
    <row r="196" spans="1:6" x14ac:dyDescent="0.2">
      <c r="A196" t="s">
        <v>267</v>
      </c>
      <c r="B196" t="str">
        <f t="shared" si="9"/>
        <v>GW</v>
      </c>
      <c r="C196">
        <v>0</v>
      </c>
      <c r="D196">
        <v>0</v>
      </c>
      <c r="E196">
        <f t="shared" si="10"/>
        <v>0</v>
      </c>
      <c r="F196">
        <f t="shared" si="11"/>
        <v>0</v>
      </c>
    </row>
    <row r="197" spans="1:6" x14ac:dyDescent="0.2">
      <c r="A197" t="s">
        <v>268</v>
      </c>
      <c r="B197" t="str">
        <f t="shared" si="9"/>
        <v>GW</v>
      </c>
      <c r="C197">
        <v>28</v>
      </c>
      <c r="D197">
        <v>28</v>
      </c>
      <c r="E197">
        <f t="shared" si="10"/>
        <v>24</v>
      </c>
      <c r="F197">
        <f t="shared" si="11"/>
        <v>24</v>
      </c>
    </row>
    <row r="198" spans="1:6" x14ac:dyDescent="0.2">
      <c r="A198" t="s">
        <v>269</v>
      </c>
      <c r="B198" t="str">
        <f t="shared" si="9"/>
        <v>GW</v>
      </c>
      <c r="C198">
        <v>44</v>
      </c>
      <c r="D198">
        <v>90</v>
      </c>
      <c r="E198">
        <f t="shared" si="10"/>
        <v>38</v>
      </c>
      <c r="F198">
        <f t="shared" si="11"/>
        <v>78</v>
      </c>
    </row>
    <row r="199" spans="1:6" x14ac:dyDescent="0.2">
      <c r="A199" t="s">
        <v>270</v>
      </c>
      <c r="B199" t="str">
        <f t="shared" si="9"/>
        <v>GW</v>
      </c>
      <c r="C199">
        <v>20</v>
      </c>
      <c r="D199">
        <v>77</v>
      </c>
      <c r="E199">
        <f t="shared" si="10"/>
        <v>17</v>
      </c>
      <c r="F199">
        <f t="shared" si="11"/>
        <v>67</v>
      </c>
    </row>
    <row r="200" spans="1:6" x14ac:dyDescent="0.2">
      <c r="A200" t="s">
        <v>434</v>
      </c>
      <c r="B200" t="str">
        <f t="shared" si="9"/>
        <v>GW</v>
      </c>
      <c r="C200">
        <v>64</v>
      </c>
      <c r="D200">
        <v>895</v>
      </c>
      <c r="E200">
        <f t="shared" si="10"/>
        <v>56</v>
      </c>
      <c r="F200">
        <f t="shared" si="11"/>
        <v>776</v>
      </c>
    </row>
    <row r="201" spans="1:6" x14ac:dyDescent="0.2">
      <c r="A201" t="s">
        <v>271</v>
      </c>
      <c r="B201" t="str">
        <f t="shared" si="9"/>
        <v>GW</v>
      </c>
      <c r="C201">
        <v>20</v>
      </c>
      <c r="D201">
        <v>255</v>
      </c>
      <c r="E201">
        <f t="shared" si="10"/>
        <v>17</v>
      </c>
      <c r="F201">
        <f t="shared" si="11"/>
        <v>221</v>
      </c>
    </row>
    <row r="202" spans="1:6" x14ac:dyDescent="0.2">
      <c r="A202" t="s">
        <v>273</v>
      </c>
      <c r="B202" t="str">
        <f t="shared" si="9"/>
        <v>GW</v>
      </c>
      <c r="C202">
        <v>40</v>
      </c>
      <c r="D202">
        <v>597</v>
      </c>
      <c r="E202">
        <f t="shared" si="10"/>
        <v>35</v>
      </c>
      <c r="F202">
        <f t="shared" si="11"/>
        <v>518</v>
      </c>
    </row>
    <row r="203" spans="1:6" x14ac:dyDescent="0.2">
      <c r="A203" t="s">
        <v>274</v>
      </c>
      <c r="B203" t="str">
        <f t="shared" si="9"/>
        <v>GW</v>
      </c>
      <c r="C203">
        <v>242</v>
      </c>
      <c r="D203">
        <v>1039</v>
      </c>
      <c r="E203">
        <f t="shared" si="10"/>
        <v>210</v>
      </c>
      <c r="F203">
        <f t="shared" si="11"/>
        <v>901</v>
      </c>
    </row>
    <row r="204" spans="1:6" x14ac:dyDescent="0.2">
      <c r="A204" t="s">
        <v>275</v>
      </c>
      <c r="B204" t="str">
        <f t="shared" si="9"/>
        <v>GW</v>
      </c>
      <c r="C204">
        <v>28</v>
      </c>
      <c r="D204">
        <v>258</v>
      </c>
      <c r="E204">
        <f t="shared" si="10"/>
        <v>24</v>
      </c>
      <c r="F204">
        <f t="shared" si="11"/>
        <v>224</v>
      </c>
    </row>
    <row r="205" spans="1:6" x14ac:dyDescent="0.2">
      <c r="A205" t="s">
        <v>129</v>
      </c>
      <c r="B205" t="str">
        <f t="shared" si="9"/>
        <v>GD</v>
      </c>
      <c r="C205">
        <v>134</v>
      </c>
      <c r="D205">
        <v>596</v>
      </c>
      <c r="E205">
        <f t="shared" si="10"/>
        <v>121</v>
      </c>
      <c r="F205">
        <f t="shared" si="11"/>
        <v>540</v>
      </c>
    </row>
    <row r="206" spans="1:6" x14ac:dyDescent="0.2">
      <c r="A206" t="s">
        <v>307</v>
      </c>
      <c r="B206" t="str">
        <f t="shared" si="9"/>
        <v>TW</v>
      </c>
      <c r="C206">
        <v>30</v>
      </c>
      <c r="D206">
        <v>425</v>
      </c>
      <c r="E206">
        <f t="shared" si="10"/>
        <v>29</v>
      </c>
      <c r="F206">
        <f t="shared" si="11"/>
        <v>408</v>
      </c>
    </row>
    <row r="207" spans="1:6" x14ac:dyDescent="0.2">
      <c r="A207" t="s">
        <v>276</v>
      </c>
      <c r="B207" t="str">
        <f t="shared" si="9"/>
        <v>GW</v>
      </c>
      <c r="C207">
        <v>24</v>
      </c>
      <c r="D207">
        <v>280</v>
      </c>
      <c r="E207">
        <f t="shared" si="10"/>
        <v>21</v>
      </c>
      <c r="F207">
        <f t="shared" si="11"/>
        <v>243</v>
      </c>
    </row>
    <row r="208" spans="1:6" x14ac:dyDescent="0.2">
      <c r="A208" t="s">
        <v>277</v>
      </c>
      <c r="B208" t="str">
        <f t="shared" si="9"/>
        <v>GW</v>
      </c>
      <c r="C208">
        <v>22</v>
      </c>
      <c r="D208">
        <v>105</v>
      </c>
      <c r="E208">
        <f t="shared" si="10"/>
        <v>19</v>
      </c>
      <c r="F208">
        <f t="shared" si="11"/>
        <v>91</v>
      </c>
    </row>
    <row r="209" spans="1:6" x14ac:dyDescent="0.2">
      <c r="A209" t="s">
        <v>278</v>
      </c>
      <c r="B209" t="str">
        <f t="shared" si="9"/>
        <v>GW</v>
      </c>
      <c r="C209">
        <v>22</v>
      </c>
      <c r="D209">
        <v>13</v>
      </c>
      <c r="E209">
        <f t="shared" si="10"/>
        <v>19</v>
      </c>
      <c r="F209">
        <f t="shared" si="11"/>
        <v>11</v>
      </c>
    </row>
    <row r="210" spans="1:6" x14ac:dyDescent="0.2">
      <c r="A210" t="s">
        <v>279</v>
      </c>
      <c r="B210" t="str">
        <f t="shared" si="9"/>
        <v>GW</v>
      </c>
      <c r="C210">
        <v>24</v>
      </c>
      <c r="D210">
        <v>301</v>
      </c>
      <c r="E210">
        <f t="shared" si="10"/>
        <v>21</v>
      </c>
      <c r="F210">
        <f t="shared" si="11"/>
        <v>261</v>
      </c>
    </row>
    <row r="211" spans="1:6" x14ac:dyDescent="0.2">
      <c r="A211" t="s">
        <v>280</v>
      </c>
      <c r="B211" t="str">
        <f t="shared" si="9"/>
        <v>GW</v>
      </c>
      <c r="C211">
        <v>0</v>
      </c>
      <c r="D211">
        <v>0</v>
      </c>
      <c r="E211">
        <f t="shared" si="10"/>
        <v>0</v>
      </c>
      <c r="F211">
        <f t="shared" si="11"/>
        <v>0</v>
      </c>
    </row>
    <row r="212" spans="1:6" x14ac:dyDescent="0.2">
      <c r="A212" t="s">
        <v>309</v>
      </c>
      <c r="B212" t="str">
        <f t="shared" si="9"/>
        <v>GD</v>
      </c>
      <c r="C212">
        <v>168</v>
      </c>
      <c r="D212">
        <v>172</v>
      </c>
      <c r="E212">
        <f t="shared" si="10"/>
        <v>152</v>
      </c>
      <c r="F212">
        <f t="shared" si="11"/>
        <v>156</v>
      </c>
    </row>
    <row r="213" spans="1:6" x14ac:dyDescent="0.2">
      <c r="A213" t="s">
        <v>131</v>
      </c>
      <c r="B213" t="str">
        <f t="shared" si="9"/>
        <v>GD</v>
      </c>
      <c r="C213">
        <v>8</v>
      </c>
      <c r="D213">
        <v>93</v>
      </c>
      <c r="E213">
        <f t="shared" si="10"/>
        <v>7</v>
      </c>
      <c r="F213">
        <f t="shared" si="11"/>
        <v>84</v>
      </c>
    </row>
    <row r="214" spans="1:6" x14ac:dyDescent="0.2">
      <c r="A214" t="s">
        <v>487</v>
      </c>
      <c r="B214" t="str">
        <f t="shared" si="9"/>
        <v>GW</v>
      </c>
      <c r="C214">
        <v>34</v>
      </c>
      <c r="D214">
        <v>407</v>
      </c>
      <c r="E214">
        <f t="shared" si="10"/>
        <v>29</v>
      </c>
      <c r="F214">
        <f t="shared" si="11"/>
        <v>353</v>
      </c>
    </row>
    <row r="215" spans="1:6" x14ac:dyDescent="0.2">
      <c r="A215" t="s">
        <v>281</v>
      </c>
      <c r="B215" t="str">
        <f t="shared" si="9"/>
        <v>GW</v>
      </c>
      <c r="C215">
        <v>46</v>
      </c>
      <c r="D215">
        <v>260</v>
      </c>
      <c r="E215">
        <f t="shared" si="10"/>
        <v>40</v>
      </c>
      <c r="F215">
        <f t="shared" si="11"/>
        <v>226</v>
      </c>
    </row>
    <row r="216" spans="1:6" x14ac:dyDescent="0.2">
      <c r="A216" t="s">
        <v>282</v>
      </c>
      <c r="B216" t="str">
        <f t="shared" si="9"/>
        <v>GW</v>
      </c>
      <c r="C216">
        <v>14</v>
      </c>
      <c r="D216">
        <v>124</v>
      </c>
      <c r="E216">
        <f t="shared" si="10"/>
        <v>12</v>
      </c>
      <c r="F216">
        <f t="shared" si="11"/>
        <v>108</v>
      </c>
    </row>
    <row r="217" spans="1:6" x14ac:dyDescent="0.2">
      <c r="A217" t="s">
        <v>283</v>
      </c>
      <c r="B217" t="str">
        <f t="shared" si="9"/>
        <v>GW</v>
      </c>
      <c r="C217">
        <v>19</v>
      </c>
      <c r="D217">
        <v>286</v>
      </c>
      <c r="E217">
        <f t="shared" si="10"/>
        <v>16</v>
      </c>
      <c r="F217">
        <f t="shared" si="11"/>
        <v>248</v>
      </c>
    </row>
    <row r="218" spans="1:6" x14ac:dyDescent="0.2">
      <c r="A218" t="s">
        <v>120</v>
      </c>
      <c r="B218" t="str">
        <f t="shared" si="9"/>
        <v>GD</v>
      </c>
      <c r="C218">
        <v>0</v>
      </c>
      <c r="D218">
        <v>0</v>
      </c>
      <c r="E218">
        <f t="shared" si="10"/>
        <v>0</v>
      </c>
      <c r="F218">
        <f t="shared" si="11"/>
        <v>0</v>
      </c>
    </row>
    <row r="219" spans="1:6" x14ac:dyDescent="0.2">
      <c r="A219" t="s">
        <v>311</v>
      </c>
      <c r="B219" t="str">
        <f t="shared" si="9"/>
        <v>TD</v>
      </c>
      <c r="C219">
        <v>56</v>
      </c>
      <c r="D219">
        <v>765</v>
      </c>
      <c r="E219">
        <f t="shared" si="10"/>
        <v>56</v>
      </c>
      <c r="F219">
        <f t="shared" si="11"/>
        <v>765</v>
      </c>
    </row>
    <row r="220" spans="1:6" x14ac:dyDescent="0.2">
      <c r="A220" t="s">
        <v>492</v>
      </c>
      <c r="B220" t="str">
        <f t="shared" si="9"/>
        <v>GW</v>
      </c>
      <c r="C220">
        <v>12</v>
      </c>
      <c r="D220">
        <v>147</v>
      </c>
      <c r="E220">
        <f t="shared" si="10"/>
        <v>10</v>
      </c>
      <c r="F220">
        <f t="shared" si="11"/>
        <v>128</v>
      </c>
    </row>
    <row r="221" spans="1:6" x14ac:dyDescent="0.2">
      <c r="A221" t="s">
        <v>480</v>
      </c>
      <c r="B221" t="str">
        <f t="shared" si="9"/>
        <v>GW</v>
      </c>
      <c r="C221">
        <v>82</v>
      </c>
      <c r="D221">
        <v>1288</v>
      </c>
      <c r="E221">
        <f t="shared" si="10"/>
        <v>71</v>
      </c>
      <c r="F221">
        <f t="shared" si="11"/>
        <v>1117</v>
      </c>
    </row>
    <row r="222" spans="1:6" x14ac:dyDescent="0.2">
      <c r="A222" t="s">
        <v>485</v>
      </c>
      <c r="B222" t="str">
        <f t="shared" si="9"/>
        <v>GW</v>
      </c>
      <c r="C222">
        <v>130</v>
      </c>
      <c r="D222">
        <v>1865</v>
      </c>
      <c r="E222">
        <f t="shared" si="10"/>
        <v>113</v>
      </c>
      <c r="F222">
        <f t="shared" si="11"/>
        <v>1618</v>
      </c>
    </row>
    <row r="223" spans="1:6" x14ac:dyDescent="0.2">
      <c r="A223" t="s">
        <v>482</v>
      </c>
      <c r="B223" t="str">
        <f t="shared" si="9"/>
        <v>GW</v>
      </c>
      <c r="C223">
        <v>74</v>
      </c>
      <c r="D223">
        <v>983</v>
      </c>
      <c r="E223">
        <f t="shared" si="10"/>
        <v>64</v>
      </c>
      <c r="F223">
        <f t="shared" si="11"/>
        <v>853</v>
      </c>
    </row>
    <row r="224" spans="1:6" x14ac:dyDescent="0.2">
      <c r="A224" t="s">
        <v>483</v>
      </c>
      <c r="B224" t="str">
        <f t="shared" si="9"/>
        <v>GW</v>
      </c>
      <c r="C224">
        <v>32</v>
      </c>
      <c r="D224">
        <v>317</v>
      </c>
      <c r="E224">
        <f t="shared" si="10"/>
        <v>28</v>
      </c>
      <c r="F224">
        <f t="shared" si="11"/>
        <v>275</v>
      </c>
    </row>
    <row r="225" spans="1:6" x14ac:dyDescent="0.2">
      <c r="A225" t="s">
        <v>484</v>
      </c>
      <c r="B225" t="str">
        <f t="shared" si="9"/>
        <v>GW</v>
      </c>
      <c r="C225">
        <v>61</v>
      </c>
      <c r="D225">
        <v>513</v>
      </c>
      <c r="E225">
        <f t="shared" si="10"/>
        <v>53</v>
      </c>
      <c r="F225">
        <f t="shared" si="11"/>
        <v>445</v>
      </c>
    </row>
    <row r="226" spans="1:6" x14ac:dyDescent="0.2">
      <c r="A226" t="s">
        <v>486</v>
      </c>
      <c r="B226" t="str">
        <f t="shared" si="9"/>
        <v>GW</v>
      </c>
      <c r="C226">
        <v>26</v>
      </c>
      <c r="D226">
        <v>332</v>
      </c>
      <c r="E226">
        <f t="shared" si="10"/>
        <v>23</v>
      </c>
      <c r="F226">
        <f t="shared" si="11"/>
        <v>288</v>
      </c>
    </row>
    <row r="227" spans="1:6" x14ac:dyDescent="0.2">
      <c r="A227" t="s">
        <v>491</v>
      </c>
      <c r="B227" t="str">
        <f t="shared" si="9"/>
        <v>GW</v>
      </c>
      <c r="C227">
        <v>28</v>
      </c>
      <c r="D227">
        <v>367</v>
      </c>
      <c r="E227">
        <f t="shared" si="10"/>
        <v>24</v>
      </c>
      <c r="F227">
        <f t="shared" si="11"/>
        <v>318</v>
      </c>
    </row>
    <row r="228" spans="1:6" x14ac:dyDescent="0.2">
      <c r="A228" t="s">
        <v>488</v>
      </c>
      <c r="B228" t="str">
        <f t="shared" si="9"/>
        <v>GW</v>
      </c>
      <c r="C228">
        <v>72</v>
      </c>
      <c r="D228">
        <v>1051</v>
      </c>
      <c r="E228">
        <f t="shared" si="10"/>
        <v>62</v>
      </c>
      <c r="F228">
        <f t="shared" si="11"/>
        <v>912</v>
      </c>
    </row>
    <row r="229" spans="1:6" x14ac:dyDescent="0.2">
      <c r="A229" t="s">
        <v>481</v>
      </c>
      <c r="B229" t="str">
        <f t="shared" si="9"/>
        <v>GW</v>
      </c>
      <c r="C229">
        <v>20</v>
      </c>
      <c r="D229">
        <v>243</v>
      </c>
      <c r="E229">
        <f t="shared" si="10"/>
        <v>17</v>
      </c>
      <c r="F229">
        <f t="shared" si="11"/>
        <v>211</v>
      </c>
    </row>
    <row r="230" spans="1:6" x14ac:dyDescent="0.2">
      <c r="A230" t="s">
        <v>284</v>
      </c>
      <c r="B230" t="str">
        <f t="shared" si="9"/>
        <v>GW</v>
      </c>
      <c r="C230">
        <v>0</v>
      </c>
      <c r="D230">
        <v>0</v>
      </c>
      <c r="E230">
        <f t="shared" si="10"/>
        <v>0</v>
      </c>
      <c r="F230">
        <f t="shared" si="11"/>
        <v>0</v>
      </c>
    </row>
    <row r="231" spans="1:6" x14ac:dyDescent="0.2">
      <c r="A231" t="s">
        <v>285</v>
      </c>
      <c r="B231" t="str">
        <f t="shared" si="9"/>
        <v>GW</v>
      </c>
      <c r="C231">
        <v>40</v>
      </c>
      <c r="D231">
        <v>599</v>
      </c>
      <c r="E231">
        <f t="shared" si="10"/>
        <v>35</v>
      </c>
      <c r="F231">
        <f t="shared" si="11"/>
        <v>520</v>
      </c>
    </row>
    <row r="232" spans="1:6" x14ac:dyDescent="0.2">
      <c r="A232" t="s">
        <v>474</v>
      </c>
      <c r="B232" t="str">
        <f t="shared" si="9"/>
        <v>TW</v>
      </c>
      <c r="C232">
        <v>0</v>
      </c>
      <c r="D232">
        <v>0</v>
      </c>
      <c r="E232">
        <f t="shared" si="10"/>
        <v>0</v>
      </c>
      <c r="F232">
        <f t="shared" si="11"/>
        <v>0</v>
      </c>
    </row>
    <row r="233" spans="1:6" x14ac:dyDescent="0.2">
      <c r="A233" t="s">
        <v>286</v>
      </c>
      <c r="B233" t="str">
        <f t="shared" si="9"/>
        <v>GW</v>
      </c>
      <c r="C233">
        <v>38</v>
      </c>
      <c r="D233">
        <v>0</v>
      </c>
      <c r="E233">
        <f t="shared" si="10"/>
        <v>33</v>
      </c>
      <c r="F233">
        <f t="shared" si="11"/>
        <v>0</v>
      </c>
    </row>
    <row r="234" spans="1:6" x14ac:dyDescent="0.2">
      <c r="A234" t="s">
        <v>287</v>
      </c>
      <c r="B234" t="str">
        <f t="shared" si="9"/>
        <v>GW</v>
      </c>
      <c r="C234">
        <v>10</v>
      </c>
      <c r="D234">
        <v>45</v>
      </c>
      <c r="E234">
        <f t="shared" si="10"/>
        <v>9</v>
      </c>
      <c r="F234">
        <f t="shared" si="11"/>
        <v>39</v>
      </c>
    </row>
    <row r="235" spans="1:6" x14ac:dyDescent="0.2">
      <c r="A235" t="s">
        <v>288</v>
      </c>
      <c r="B235" t="str">
        <f t="shared" si="9"/>
        <v>GW</v>
      </c>
      <c r="C235">
        <v>100</v>
      </c>
      <c r="D235">
        <v>162</v>
      </c>
      <c r="E235">
        <f t="shared" si="10"/>
        <v>87</v>
      </c>
      <c r="F235">
        <f t="shared" si="11"/>
        <v>141</v>
      </c>
    </row>
    <row r="236" spans="1:6" x14ac:dyDescent="0.2">
      <c r="A236" t="s">
        <v>289</v>
      </c>
      <c r="B236" t="str">
        <f t="shared" si="9"/>
        <v>GW</v>
      </c>
      <c r="C236">
        <v>20</v>
      </c>
      <c r="D236">
        <v>66</v>
      </c>
      <c r="E236">
        <f t="shared" si="10"/>
        <v>17</v>
      </c>
      <c r="F236">
        <f t="shared" si="11"/>
        <v>57</v>
      </c>
    </row>
    <row r="237" spans="1:6" x14ac:dyDescent="0.2">
      <c r="A237" t="s">
        <v>440</v>
      </c>
      <c r="B237" t="str">
        <f t="shared" si="9"/>
        <v>TW</v>
      </c>
      <c r="C237">
        <v>0</v>
      </c>
      <c r="D237">
        <v>0</v>
      </c>
      <c r="E237">
        <f t="shared" si="10"/>
        <v>0</v>
      </c>
      <c r="F237">
        <f t="shared" si="11"/>
        <v>0</v>
      </c>
    </row>
    <row r="238" spans="1:6" x14ac:dyDescent="0.2">
      <c r="A238" t="s">
        <v>363</v>
      </c>
      <c r="B238" t="str">
        <f t="shared" si="9"/>
        <v>GW</v>
      </c>
      <c r="C238">
        <v>12</v>
      </c>
      <c r="D238">
        <v>0</v>
      </c>
      <c r="E238">
        <f t="shared" si="10"/>
        <v>10</v>
      </c>
      <c r="F238">
        <f t="shared" si="11"/>
        <v>0</v>
      </c>
    </row>
    <row r="239" spans="1:6" x14ac:dyDescent="0.2">
      <c r="A239" t="s">
        <v>290</v>
      </c>
      <c r="B239" t="str">
        <f t="shared" si="9"/>
        <v>GW</v>
      </c>
      <c r="C239">
        <v>0</v>
      </c>
      <c r="D239">
        <v>5</v>
      </c>
      <c r="E239">
        <f t="shared" si="10"/>
        <v>0</v>
      </c>
      <c r="F239">
        <f t="shared" si="11"/>
        <v>4</v>
      </c>
    </row>
    <row r="240" spans="1:6" x14ac:dyDescent="0.2">
      <c r="A240" t="s">
        <v>291</v>
      </c>
      <c r="B240" t="str">
        <f t="shared" si="9"/>
        <v>GW</v>
      </c>
      <c r="C240">
        <v>0</v>
      </c>
      <c r="D240">
        <v>0</v>
      </c>
      <c r="E240">
        <f t="shared" si="10"/>
        <v>0</v>
      </c>
      <c r="F240">
        <f t="shared" si="11"/>
        <v>0</v>
      </c>
    </row>
    <row r="241" spans="1:6" x14ac:dyDescent="0.2">
      <c r="A241" t="s">
        <v>293</v>
      </c>
      <c r="B241" t="str">
        <f t="shared" si="9"/>
        <v>GW</v>
      </c>
      <c r="C241">
        <v>0</v>
      </c>
      <c r="D241">
        <v>351</v>
      </c>
      <c r="E241">
        <f t="shared" si="10"/>
        <v>0</v>
      </c>
      <c r="F241">
        <f t="shared" si="11"/>
        <v>304</v>
      </c>
    </row>
    <row r="242" spans="1:6" x14ac:dyDescent="0.2">
      <c r="A242" t="s">
        <v>294</v>
      </c>
      <c r="B242" t="str">
        <f t="shared" si="9"/>
        <v>GW</v>
      </c>
      <c r="C242">
        <v>12</v>
      </c>
      <c r="D242">
        <v>202</v>
      </c>
      <c r="E242">
        <f t="shared" si="10"/>
        <v>10</v>
      </c>
      <c r="F242">
        <f t="shared" si="11"/>
        <v>175</v>
      </c>
    </row>
    <row r="243" spans="1:6" x14ac:dyDescent="0.2">
      <c r="A243" t="s">
        <v>295</v>
      </c>
      <c r="B243" t="str">
        <f t="shared" si="9"/>
        <v>GW</v>
      </c>
      <c r="C243">
        <v>86</v>
      </c>
      <c r="D243">
        <v>443</v>
      </c>
      <c r="E243">
        <f t="shared" si="10"/>
        <v>75</v>
      </c>
      <c r="F243">
        <f t="shared" si="11"/>
        <v>384</v>
      </c>
    </row>
    <row r="244" spans="1:6" x14ac:dyDescent="0.2">
      <c r="A244" t="s">
        <v>402</v>
      </c>
      <c r="B244" t="str">
        <f t="shared" si="9"/>
        <v>GW</v>
      </c>
      <c r="C244">
        <v>8</v>
      </c>
      <c r="D244">
        <v>116</v>
      </c>
      <c r="E244">
        <f t="shared" si="10"/>
        <v>7</v>
      </c>
      <c r="F244">
        <f t="shared" si="11"/>
        <v>101</v>
      </c>
    </row>
    <row r="245" spans="1:6" x14ac:dyDescent="0.2">
      <c r="C245">
        <f>SUM(C2:C244)</f>
        <v>9594</v>
      </c>
      <c r="D245">
        <f>SUM(D2:D244)</f>
        <v>75660</v>
      </c>
      <c r="E245">
        <f>SUM(E2:E244)</f>
        <v>8400</v>
      </c>
      <c r="F245">
        <f>SUM(F2:F244)</f>
        <v>66100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opLeftCell="A240" workbookViewId="0"/>
  </sheetViews>
  <sheetFormatPr defaultRowHeight="12.75" x14ac:dyDescent="0.2"/>
  <cols>
    <col min="1" max="1" width="15.5703125" bestFit="1" customWidth="1"/>
    <col min="2" max="2" width="9.5703125" bestFit="1" customWidth="1"/>
    <col min="3" max="3" width="38.42578125" bestFit="1" customWidth="1"/>
    <col min="4" max="4" width="4.28515625" bestFit="1" customWidth="1"/>
  </cols>
  <sheetData>
    <row r="1" spans="1:4" x14ac:dyDescent="0.2">
      <c r="A1" t="s">
        <v>297</v>
      </c>
      <c r="B1" t="s">
        <v>298</v>
      </c>
      <c r="C1" t="s">
        <v>138</v>
      </c>
      <c r="D1" s="177" t="s">
        <v>583</v>
      </c>
    </row>
    <row r="2" spans="1:4" x14ac:dyDescent="0.2">
      <c r="A2" t="s">
        <v>408</v>
      </c>
      <c r="B2" t="s">
        <v>409</v>
      </c>
      <c r="C2" t="s">
        <v>410</v>
      </c>
      <c r="D2" s="177" t="s">
        <v>583</v>
      </c>
    </row>
    <row r="3" spans="1:4" x14ac:dyDescent="0.2">
      <c r="A3" t="s">
        <v>134</v>
      </c>
      <c r="B3" t="s">
        <v>135</v>
      </c>
      <c r="C3" t="s">
        <v>138</v>
      </c>
      <c r="D3" s="177" t="s">
        <v>577</v>
      </c>
    </row>
    <row r="4" spans="1:4" x14ac:dyDescent="0.2">
      <c r="A4" t="s">
        <v>419</v>
      </c>
      <c r="B4">
        <v>1055201</v>
      </c>
      <c r="C4" t="s">
        <v>420</v>
      </c>
      <c r="D4" s="177" t="s">
        <v>576</v>
      </c>
    </row>
    <row r="5" spans="1:4" x14ac:dyDescent="0.2">
      <c r="A5" t="s">
        <v>421</v>
      </c>
      <c r="B5">
        <v>1058501</v>
      </c>
      <c r="C5" t="s">
        <v>420</v>
      </c>
      <c r="D5" s="177" t="s">
        <v>576</v>
      </c>
    </row>
    <row r="6" spans="1:4" x14ac:dyDescent="0.2">
      <c r="A6" t="s">
        <v>422</v>
      </c>
      <c r="B6">
        <v>1059901</v>
      </c>
      <c r="C6" t="s">
        <v>420</v>
      </c>
      <c r="D6" s="177" t="s">
        <v>576</v>
      </c>
    </row>
    <row r="7" spans="1:4" x14ac:dyDescent="0.2">
      <c r="A7" t="s">
        <v>391</v>
      </c>
      <c r="B7">
        <v>1062901</v>
      </c>
      <c r="C7" t="s">
        <v>392</v>
      </c>
      <c r="D7" s="177" t="s">
        <v>575</v>
      </c>
    </row>
    <row r="8" spans="1:4" x14ac:dyDescent="0.2">
      <c r="A8" t="s">
        <v>393</v>
      </c>
      <c r="B8">
        <v>1063001</v>
      </c>
      <c r="C8" t="s">
        <v>392</v>
      </c>
      <c r="D8" s="177" t="s">
        <v>575</v>
      </c>
    </row>
    <row r="9" spans="1:4" x14ac:dyDescent="0.2">
      <c r="A9" t="s">
        <v>423</v>
      </c>
      <c r="B9">
        <v>1063501</v>
      </c>
      <c r="C9" t="s">
        <v>420</v>
      </c>
      <c r="D9" s="177" t="s">
        <v>576</v>
      </c>
    </row>
    <row r="10" spans="1:4" x14ac:dyDescent="0.2">
      <c r="A10" t="s">
        <v>428</v>
      </c>
      <c r="B10">
        <v>2096101</v>
      </c>
      <c r="C10" t="s">
        <v>429</v>
      </c>
      <c r="D10" s="177" t="s">
        <v>575</v>
      </c>
    </row>
    <row r="11" spans="1:4" x14ac:dyDescent="0.2">
      <c r="A11" t="s">
        <v>142</v>
      </c>
      <c r="B11">
        <v>2150501</v>
      </c>
      <c r="C11" t="s">
        <v>143</v>
      </c>
      <c r="D11" s="177" t="s">
        <v>576</v>
      </c>
    </row>
    <row r="12" spans="1:4" x14ac:dyDescent="0.2">
      <c r="A12" t="s">
        <v>394</v>
      </c>
      <c r="B12">
        <v>2151401</v>
      </c>
      <c r="C12" t="s">
        <v>392</v>
      </c>
      <c r="D12" s="177" t="s">
        <v>575</v>
      </c>
    </row>
    <row r="13" spans="1:4" x14ac:dyDescent="0.2">
      <c r="A13" t="s">
        <v>144</v>
      </c>
      <c r="B13">
        <v>2152501</v>
      </c>
      <c r="C13" t="s">
        <v>130</v>
      </c>
      <c r="D13" s="177" t="s">
        <v>576</v>
      </c>
    </row>
    <row r="14" spans="1:4" x14ac:dyDescent="0.2">
      <c r="A14" t="s">
        <v>584</v>
      </c>
      <c r="B14">
        <v>2159601</v>
      </c>
      <c r="C14" t="s">
        <v>429</v>
      </c>
      <c r="D14" s="177" t="s">
        <v>575</v>
      </c>
    </row>
    <row r="15" spans="1:4" x14ac:dyDescent="0.2">
      <c r="A15" t="s">
        <v>145</v>
      </c>
      <c r="B15">
        <v>3130401</v>
      </c>
      <c r="C15" t="s">
        <v>146</v>
      </c>
      <c r="D15" s="177" t="s">
        <v>576</v>
      </c>
    </row>
    <row r="16" spans="1:4" x14ac:dyDescent="0.2">
      <c r="A16" t="s">
        <v>458</v>
      </c>
      <c r="B16">
        <v>3130501</v>
      </c>
      <c r="C16" t="s">
        <v>457</v>
      </c>
      <c r="D16" s="177" t="s">
        <v>576</v>
      </c>
    </row>
    <row r="17" spans="1:4" x14ac:dyDescent="0.2">
      <c r="A17" t="s">
        <v>147</v>
      </c>
      <c r="B17">
        <v>3225601</v>
      </c>
      <c r="C17" t="s">
        <v>148</v>
      </c>
      <c r="D17" s="177" t="s">
        <v>576</v>
      </c>
    </row>
    <row r="18" spans="1:4" x14ac:dyDescent="0.2">
      <c r="A18" t="s">
        <v>149</v>
      </c>
      <c r="B18">
        <v>3330401</v>
      </c>
      <c r="C18" t="s">
        <v>146</v>
      </c>
      <c r="D18" s="177" t="s">
        <v>576</v>
      </c>
    </row>
    <row r="19" spans="1:4" x14ac:dyDescent="0.2">
      <c r="A19" t="s">
        <v>470</v>
      </c>
      <c r="B19">
        <v>3421301</v>
      </c>
      <c r="C19" t="s">
        <v>457</v>
      </c>
      <c r="D19" s="177" t="s">
        <v>583</v>
      </c>
    </row>
    <row r="20" spans="1:4" x14ac:dyDescent="0.2">
      <c r="A20" t="s">
        <v>150</v>
      </c>
      <c r="B20">
        <v>3423501</v>
      </c>
      <c r="C20" t="s">
        <v>151</v>
      </c>
      <c r="D20" s="177" t="s">
        <v>576</v>
      </c>
    </row>
    <row r="21" spans="1:4" x14ac:dyDescent="0.2">
      <c r="A21" t="s">
        <v>152</v>
      </c>
      <c r="B21">
        <v>3423601</v>
      </c>
      <c r="C21" t="s">
        <v>151</v>
      </c>
      <c r="D21" s="177" t="s">
        <v>576</v>
      </c>
    </row>
    <row r="22" spans="1:4" x14ac:dyDescent="0.2">
      <c r="A22" t="s">
        <v>153</v>
      </c>
      <c r="B22">
        <v>3423701</v>
      </c>
      <c r="C22" t="s">
        <v>151</v>
      </c>
      <c r="D22" s="177" t="s">
        <v>576</v>
      </c>
    </row>
    <row r="23" spans="1:4" x14ac:dyDescent="0.2">
      <c r="A23" t="s">
        <v>154</v>
      </c>
      <c r="B23">
        <v>3423801</v>
      </c>
      <c r="C23" t="s">
        <v>151</v>
      </c>
      <c r="D23" s="177" t="s">
        <v>576</v>
      </c>
    </row>
    <row r="24" spans="1:4" x14ac:dyDescent="0.2">
      <c r="A24" t="s">
        <v>472</v>
      </c>
      <c r="B24">
        <v>3425201</v>
      </c>
      <c r="C24" t="s">
        <v>457</v>
      </c>
      <c r="D24" s="177" t="s">
        <v>576</v>
      </c>
    </row>
    <row r="25" spans="1:4" x14ac:dyDescent="0.2">
      <c r="A25" t="s">
        <v>397</v>
      </c>
      <c r="B25">
        <v>3425601</v>
      </c>
      <c r="C25" t="s">
        <v>121</v>
      </c>
      <c r="D25" s="177" t="s">
        <v>576</v>
      </c>
    </row>
    <row r="26" spans="1:4" x14ac:dyDescent="0.2">
      <c r="A26" t="s">
        <v>155</v>
      </c>
      <c r="B26">
        <v>3428401</v>
      </c>
      <c r="C26" t="s">
        <v>151</v>
      </c>
      <c r="D26" s="177" t="s">
        <v>576</v>
      </c>
    </row>
    <row r="27" spans="1:4" x14ac:dyDescent="0.2">
      <c r="A27" t="s">
        <v>156</v>
      </c>
      <c r="B27">
        <v>3429001</v>
      </c>
      <c r="C27" t="s">
        <v>151</v>
      </c>
      <c r="D27" s="177" t="s">
        <v>576</v>
      </c>
    </row>
    <row r="28" spans="1:4" x14ac:dyDescent="0.2">
      <c r="A28" t="s">
        <v>157</v>
      </c>
      <c r="B28">
        <v>3429601</v>
      </c>
      <c r="C28" t="s">
        <v>151</v>
      </c>
      <c r="D28" s="177" t="s">
        <v>576</v>
      </c>
    </row>
    <row r="29" spans="1:4" x14ac:dyDescent="0.2">
      <c r="A29" t="s">
        <v>475</v>
      </c>
      <c r="B29">
        <v>3472501</v>
      </c>
      <c r="C29" t="s">
        <v>457</v>
      </c>
      <c r="D29" s="177" t="s">
        <v>576</v>
      </c>
    </row>
    <row r="30" spans="1:4" x14ac:dyDescent="0.2">
      <c r="A30" t="s">
        <v>299</v>
      </c>
      <c r="B30">
        <v>3478201</v>
      </c>
      <c r="C30" t="s">
        <v>151</v>
      </c>
      <c r="D30" s="177" t="s">
        <v>583</v>
      </c>
    </row>
    <row r="31" spans="1:4" x14ac:dyDescent="0.2">
      <c r="A31" t="s">
        <v>158</v>
      </c>
      <c r="B31">
        <v>3502801</v>
      </c>
      <c r="C31" t="s">
        <v>151</v>
      </c>
      <c r="D31" s="177" t="s">
        <v>576</v>
      </c>
    </row>
    <row r="32" spans="1:4" x14ac:dyDescent="0.2">
      <c r="A32" t="s">
        <v>477</v>
      </c>
      <c r="B32">
        <v>3505301</v>
      </c>
      <c r="C32" t="s">
        <v>478</v>
      </c>
      <c r="D32" s="177" t="s">
        <v>576</v>
      </c>
    </row>
    <row r="33" spans="1:4" x14ac:dyDescent="0.2">
      <c r="A33" t="s">
        <v>159</v>
      </c>
      <c r="B33">
        <v>3507801</v>
      </c>
      <c r="C33" t="s">
        <v>160</v>
      </c>
      <c r="D33" s="177" t="s">
        <v>576</v>
      </c>
    </row>
    <row r="34" spans="1:4" x14ac:dyDescent="0.2">
      <c r="A34" t="s">
        <v>161</v>
      </c>
      <c r="B34">
        <v>3507901</v>
      </c>
      <c r="C34" t="s">
        <v>160</v>
      </c>
      <c r="D34" s="177" t="s">
        <v>576</v>
      </c>
    </row>
    <row r="35" spans="1:4" x14ac:dyDescent="0.2">
      <c r="A35" t="s">
        <v>162</v>
      </c>
      <c r="B35">
        <v>3508401</v>
      </c>
      <c r="C35" t="s">
        <v>160</v>
      </c>
      <c r="D35" s="177" t="s">
        <v>576</v>
      </c>
    </row>
    <row r="36" spans="1:4" x14ac:dyDescent="0.2">
      <c r="A36" t="s">
        <v>489</v>
      </c>
      <c r="B36">
        <v>3539901</v>
      </c>
      <c r="C36" t="s">
        <v>457</v>
      </c>
      <c r="D36" s="177" t="s">
        <v>576</v>
      </c>
    </row>
    <row r="37" spans="1:4" x14ac:dyDescent="0.2">
      <c r="A37" t="s">
        <v>490</v>
      </c>
      <c r="B37">
        <v>3540501</v>
      </c>
      <c r="C37" t="s">
        <v>478</v>
      </c>
      <c r="D37" s="177" t="s">
        <v>576</v>
      </c>
    </row>
    <row r="38" spans="1:4" x14ac:dyDescent="0.2">
      <c r="A38" t="s">
        <v>165</v>
      </c>
      <c r="B38">
        <v>3549301</v>
      </c>
      <c r="C38" t="s">
        <v>166</v>
      </c>
      <c r="D38" s="177" t="s">
        <v>576</v>
      </c>
    </row>
    <row r="39" spans="1:4" x14ac:dyDescent="0.2">
      <c r="A39" t="s">
        <v>494</v>
      </c>
      <c r="B39">
        <v>3549701</v>
      </c>
      <c r="C39" t="s">
        <v>420</v>
      </c>
      <c r="D39" s="177" t="s">
        <v>576</v>
      </c>
    </row>
    <row r="40" spans="1:4" x14ac:dyDescent="0.2">
      <c r="A40" t="s">
        <v>495</v>
      </c>
      <c r="B40">
        <v>3552201</v>
      </c>
      <c r="C40" t="s">
        <v>420</v>
      </c>
      <c r="D40" s="177" t="s">
        <v>576</v>
      </c>
    </row>
    <row r="41" spans="1:4" x14ac:dyDescent="0.2">
      <c r="A41" t="s">
        <v>167</v>
      </c>
      <c r="B41">
        <v>3552801</v>
      </c>
      <c r="C41" t="s">
        <v>168</v>
      </c>
      <c r="D41" s="177" t="s">
        <v>576</v>
      </c>
    </row>
    <row r="42" spans="1:4" x14ac:dyDescent="0.2">
      <c r="A42" t="s">
        <v>169</v>
      </c>
      <c r="B42">
        <v>3553701</v>
      </c>
      <c r="C42" t="s">
        <v>164</v>
      </c>
      <c r="D42" s="177" t="s">
        <v>576</v>
      </c>
    </row>
    <row r="43" spans="1:4" x14ac:dyDescent="0.2">
      <c r="A43" t="s">
        <v>496</v>
      </c>
      <c r="B43">
        <v>3557101</v>
      </c>
      <c r="C43" t="s">
        <v>420</v>
      </c>
      <c r="D43" s="177" t="s">
        <v>576</v>
      </c>
    </row>
    <row r="44" spans="1:4" x14ac:dyDescent="0.2">
      <c r="A44" t="s">
        <v>114</v>
      </c>
      <c r="B44">
        <v>3557501</v>
      </c>
      <c r="C44" t="s">
        <v>574</v>
      </c>
      <c r="D44" s="177" t="s">
        <v>575</v>
      </c>
    </row>
    <row r="45" spans="1:4" x14ac:dyDescent="0.2">
      <c r="A45" t="s">
        <v>170</v>
      </c>
      <c r="B45">
        <v>3558301</v>
      </c>
      <c r="C45" t="s">
        <v>164</v>
      </c>
      <c r="D45" s="177" t="s">
        <v>576</v>
      </c>
    </row>
    <row r="46" spans="1:4" x14ac:dyDescent="0.2">
      <c r="A46" t="s">
        <v>171</v>
      </c>
      <c r="B46">
        <v>3564601</v>
      </c>
      <c r="C46" t="s">
        <v>172</v>
      </c>
      <c r="D46" s="177" t="s">
        <v>576</v>
      </c>
    </row>
    <row r="47" spans="1:4" x14ac:dyDescent="0.2">
      <c r="A47" t="s">
        <v>578</v>
      </c>
      <c r="B47">
        <v>3564701</v>
      </c>
      <c r="C47" t="s">
        <v>84</v>
      </c>
      <c r="D47" s="177" t="s">
        <v>576</v>
      </c>
    </row>
    <row r="48" spans="1:4" x14ac:dyDescent="0.2">
      <c r="A48" t="s">
        <v>580</v>
      </c>
      <c r="B48">
        <v>3564801</v>
      </c>
      <c r="C48" t="s">
        <v>84</v>
      </c>
      <c r="D48" s="177" t="s">
        <v>576</v>
      </c>
    </row>
    <row r="49" spans="1:4" x14ac:dyDescent="0.2">
      <c r="A49" t="s">
        <v>174</v>
      </c>
      <c r="B49">
        <v>3565501</v>
      </c>
      <c r="C49" t="s">
        <v>175</v>
      </c>
      <c r="D49" s="177" t="s">
        <v>576</v>
      </c>
    </row>
    <row r="50" spans="1:4" x14ac:dyDescent="0.2">
      <c r="A50" t="s">
        <v>176</v>
      </c>
      <c r="B50">
        <v>3573701</v>
      </c>
      <c r="C50" t="s">
        <v>175</v>
      </c>
      <c r="D50" s="177" t="s">
        <v>576</v>
      </c>
    </row>
    <row r="51" spans="1:4" x14ac:dyDescent="0.2">
      <c r="A51" t="s">
        <v>355</v>
      </c>
      <c r="B51">
        <v>3576601</v>
      </c>
      <c r="C51" t="s">
        <v>10</v>
      </c>
      <c r="D51" s="177" t="s">
        <v>576</v>
      </c>
    </row>
    <row r="52" spans="1:4" x14ac:dyDescent="0.2">
      <c r="A52" t="s">
        <v>300</v>
      </c>
      <c r="B52">
        <v>3582101</v>
      </c>
      <c r="C52" t="s">
        <v>166</v>
      </c>
      <c r="D52" s="177" t="s">
        <v>583</v>
      </c>
    </row>
    <row r="53" spans="1:4" x14ac:dyDescent="0.2">
      <c r="A53" t="s">
        <v>360</v>
      </c>
      <c r="B53">
        <v>3584101</v>
      </c>
      <c r="C53" t="s">
        <v>361</v>
      </c>
      <c r="D53" s="177" t="s">
        <v>576</v>
      </c>
    </row>
    <row r="54" spans="1:4" x14ac:dyDescent="0.2">
      <c r="A54" t="s">
        <v>362</v>
      </c>
      <c r="B54">
        <v>3584201</v>
      </c>
      <c r="C54" t="s">
        <v>361</v>
      </c>
      <c r="D54" s="177" t="s">
        <v>576</v>
      </c>
    </row>
    <row r="55" spans="1:4" x14ac:dyDescent="0.2">
      <c r="A55" t="s">
        <v>356</v>
      </c>
      <c r="B55">
        <v>3584401</v>
      </c>
      <c r="C55" t="s">
        <v>10</v>
      </c>
      <c r="D55" s="177" t="s">
        <v>576</v>
      </c>
    </row>
    <row r="56" spans="1:4" x14ac:dyDescent="0.2">
      <c r="A56" t="s">
        <v>50</v>
      </c>
      <c r="B56">
        <v>3585801</v>
      </c>
      <c r="C56" t="s">
        <v>175</v>
      </c>
      <c r="D56" s="177" t="s">
        <v>576</v>
      </c>
    </row>
    <row r="57" spans="1:4" x14ac:dyDescent="0.2">
      <c r="A57" t="s">
        <v>357</v>
      </c>
      <c r="B57">
        <v>3587701</v>
      </c>
      <c r="C57" t="s">
        <v>121</v>
      </c>
      <c r="D57" s="177" t="s">
        <v>576</v>
      </c>
    </row>
    <row r="58" spans="1:4" x14ac:dyDescent="0.2">
      <c r="A58" t="s">
        <v>517</v>
      </c>
      <c r="B58">
        <v>4099201</v>
      </c>
      <c r="C58" t="s">
        <v>502</v>
      </c>
      <c r="D58" s="177" t="s">
        <v>576</v>
      </c>
    </row>
    <row r="59" spans="1:4" x14ac:dyDescent="0.2">
      <c r="A59" t="s">
        <v>365</v>
      </c>
      <c r="B59">
        <v>4132101</v>
      </c>
      <c r="C59" t="s">
        <v>613</v>
      </c>
      <c r="D59" s="177" t="s">
        <v>575</v>
      </c>
    </row>
    <row r="60" spans="1:4" x14ac:dyDescent="0.2">
      <c r="A60" t="s">
        <v>367</v>
      </c>
      <c r="B60">
        <v>4132201</v>
      </c>
      <c r="C60" t="s">
        <v>613</v>
      </c>
      <c r="D60" s="177" t="s">
        <v>575</v>
      </c>
    </row>
    <row r="61" spans="1:4" x14ac:dyDescent="0.2">
      <c r="A61" t="s">
        <v>368</v>
      </c>
      <c r="B61">
        <v>4134301</v>
      </c>
      <c r="C61" t="s">
        <v>613</v>
      </c>
      <c r="D61" s="177" t="s">
        <v>575</v>
      </c>
    </row>
    <row r="62" spans="1:4" x14ac:dyDescent="0.2">
      <c r="A62" t="s">
        <v>369</v>
      </c>
      <c r="B62">
        <v>4137901</v>
      </c>
      <c r="C62" t="s">
        <v>613</v>
      </c>
      <c r="D62" s="177" t="s">
        <v>575</v>
      </c>
    </row>
    <row r="63" spans="1:4" x14ac:dyDescent="0.2">
      <c r="A63" t="s">
        <v>370</v>
      </c>
      <c r="B63">
        <v>4235001</v>
      </c>
      <c r="C63" t="s">
        <v>613</v>
      </c>
      <c r="D63" s="177" t="s">
        <v>575</v>
      </c>
    </row>
    <row r="64" spans="1:4" x14ac:dyDescent="0.2">
      <c r="A64" t="s">
        <v>371</v>
      </c>
      <c r="B64">
        <v>4281001</v>
      </c>
      <c r="C64" t="s">
        <v>372</v>
      </c>
      <c r="D64" s="177" t="s">
        <v>575</v>
      </c>
    </row>
    <row r="65" spans="1:4" x14ac:dyDescent="0.2">
      <c r="A65" t="s">
        <v>115</v>
      </c>
      <c r="B65">
        <v>4315601</v>
      </c>
      <c r="C65" t="s">
        <v>116</v>
      </c>
      <c r="D65" s="177" t="s">
        <v>575</v>
      </c>
    </row>
    <row r="66" spans="1:4" x14ac:dyDescent="0.2">
      <c r="A66" t="s">
        <v>177</v>
      </c>
      <c r="B66">
        <v>4333501</v>
      </c>
      <c r="C66" t="s">
        <v>164</v>
      </c>
      <c r="D66" s="177" t="s">
        <v>576</v>
      </c>
    </row>
    <row r="67" spans="1:4" x14ac:dyDescent="0.2">
      <c r="A67" t="s">
        <v>178</v>
      </c>
      <c r="B67">
        <v>4336901</v>
      </c>
      <c r="C67" t="s">
        <v>164</v>
      </c>
      <c r="D67" s="177" t="s">
        <v>576</v>
      </c>
    </row>
    <row r="68" spans="1:4" x14ac:dyDescent="0.2">
      <c r="A68" t="s">
        <v>179</v>
      </c>
      <c r="B68">
        <v>4341201</v>
      </c>
      <c r="C68" t="s">
        <v>164</v>
      </c>
      <c r="D68" s="177" t="s">
        <v>576</v>
      </c>
    </row>
    <row r="69" spans="1:4" x14ac:dyDescent="0.2">
      <c r="A69" t="s">
        <v>180</v>
      </c>
      <c r="B69">
        <v>4342301</v>
      </c>
      <c r="C69" t="s">
        <v>181</v>
      </c>
      <c r="D69" s="177" t="s">
        <v>576</v>
      </c>
    </row>
    <row r="70" spans="1:4" x14ac:dyDescent="0.2">
      <c r="A70" t="s">
        <v>182</v>
      </c>
      <c r="B70">
        <v>4343301</v>
      </c>
      <c r="C70" t="s">
        <v>164</v>
      </c>
      <c r="D70" s="177" t="s">
        <v>576</v>
      </c>
    </row>
    <row r="71" spans="1:4" x14ac:dyDescent="0.2">
      <c r="A71" t="s">
        <v>183</v>
      </c>
      <c r="B71">
        <v>4345701</v>
      </c>
      <c r="C71" t="s">
        <v>164</v>
      </c>
      <c r="D71" s="177" t="s">
        <v>576</v>
      </c>
    </row>
    <row r="72" spans="1:4" x14ac:dyDescent="0.2">
      <c r="A72" t="s">
        <v>184</v>
      </c>
      <c r="B72">
        <v>4345801</v>
      </c>
      <c r="C72" t="s">
        <v>164</v>
      </c>
      <c r="D72" s="177" t="s">
        <v>576</v>
      </c>
    </row>
    <row r="73" spans="1:4" x14ac:dyDescent="0.2">
      <c r="A73" t="s">
        <v>117</v>
      </c>
      <c r="B73">
        <v>4348401</v>
      </c>
      <c r="C73" t="s">
        <v>574</v>
      </c>
      <c r="D73" s="177" t="s">
        <v>575</v>
      </c>
    </row>
    <row r="74" spans="1:4" x14ac:dyDescent="0.2">
      <c r="A74" t="s">
        <v>185</v>
      </c>
      <c r="B74">
        <v>4349401</v>
      </c>
      <c r="C74" t="s">
        <v>164</v>
      </c>
      <c r="D74" s="177" t="s">
        <v>576</v>
      </c>
    </row>
    <row r="75" spans="1:4" x14ac:dyDescent="0.2">
      <c r="A75" t="s">
        <v>187</v>
      </c>
      <c r="B75">
        <v>4362001</v>
      </c>
      <c r="C75" t="s">
        <v>164</v>
      </c>
      <c r="D75" s="177" t="s">
        <v>576</v>
      </c>
    </row>
    <row r="76" spans="1:4" x14ac:dyDescent="0.2">
      <c r="A76" t="s">
        <v>189</v>
      </c>
      <c r="B76">
        <v>4362801</v>
      </c>
      <c r="C76" t="s">
        <v>164</v>
      </c>
      <c r="D76" s="177" t="s">
        <v>576</v>
      </c>
    </row>
    <row r="77" spans="1:4" x14ac:dyDescent="0.2">
      <c r="A77" t="s">
        <v>190</v>
      </c>
      <c r="B77">
        <v>4362901</v>
      </c>
      <c r="C77" t="s">
        <v>168</v>
      </c>
      <c r="D77" s="177" t="s">
        <v>576</v>
      </c>
    </row>
    <row r="78" spans="1:4" x14ac:dyDescent="0.2">
      <c r="A78" t="s">
        <v>191</v>
      </c>
      <c r="B78">
        <v>4364001</v>
      </c>
      <c r="C78" t="s">
        <v>164</v>
      </c>
      <c r="D78" s="177" t="s">
        <v>576</v>
      </c>
    </row>
    <row r="79" spans="1:4" x14ac:dyDescent="0.2">
      <c r="A79" t="s">
        <v>193</v>
      </c>
      <c r="B79">
        <v>4366901</v>
      </c>
      <c r="C79" t="s">
        <v>194</v>
      </c>
      <c r="D79" s="177" t="s">
        <v>576</v>
      </c>
    </row>
    <row r="80" spans="1:4" x14ac:dyDescent="0.2">
      <c r="A80" t="s">
        <v>19</v>
      </c>
      <c r="B80">
        <v>4370801</v>
      </c>
      <c r="C80" t="s">
        <v>613</v>
      </c>
      <c r="D80" s="177" t="s">
        <v>575</v>
      </c>
    </row>
    <row r="81" spans="1:4" x14ac:dyDescent="0.2">
      <c r="A81" t="s">
        <v>20</v>
      </c>
      <c r="B81">
        <v>4370901</v>
      </c>
      <c r="C81" t="s">
        <v>613</v>
      </c>
      <c r="D81" s="177" t="s">
        <v>576</v>
      </c>
    </row>
    <row r="82" spans="1:4" x14ac:dyDescent="0.2">
      <c r="A82" t="s">
        <v>614</v>
      </c>
      <c r="B82">
        <v>4371101</v>
      </c>
      <c r="C82" t="s">
        <v>372</v>
      </c>
      <c r="D82" s="177" t="s">
        <v>575</v>
      </c>
    </row>
    <row r="83" spans="1:4" x14ac:dyDescent="0.2">
      <c r="A83" t="s">
        <v>407</v>
      </c>
      <c r="B83">
        <v>4371201</v>
      </c>
      <c r="C83" t="s">
        <v>613</v>
      </c>
      <c r="D83" s="177" t="s">
        <v>575</v>
      </c>
    </row>
    <row r="84" spans="1:4" x14ac:dyDescent="0.2">
      <c r="A84" t="s">
        <v>49</v>
      </c>
      <c r="B84">
        <v>4371701</v>
      </c>
      <c r="C84" t="s">
        <v>613</v>
      </c>
      <c r="D84" s="177" t="s">
        <v>575</v>
      </c>
    </row>
    <row r="85" spans="1:4" x14ac:dyDescent="0.2">
      <c r="A85" t="s">
        <v>615</v>
      </c>
      <c r="B85">
        <v>4373001</v>
      </c>
      <c r="C85" t="s">
        <v>613</v>
      </c>
      <c r="D85" s="177" t="s">
        <v>575</v>
      </c>
    </row>
    <row r="86" spans="1:4" x14ac:dyDescent="0.2">
      <c r="A86" t="s">
        <v>535</v>
      </c>
      <c r="B86">
        <v>5156201</v>
      </c>
      <c r="C86" t="s">
        <v>502</v>
      </c>
      <c r="D86" s="177" t="s">
        <v>575</v>
      </c>
    </row>
    <row r="87" spans="1:4" x14ac:dyDescent="0.2">
      <c r="A87" t="s">
        <v>536</v>
      </c>
      <c r="B87">
        <v>5171101</v>
      </c>
      <c r="C87" t="s">
        <v>502</v>
      </c>
      <c r="D87" s="177" t="s">
        <v>575</v>
      </c>
    </row>
    <row r="88" spans="1:4" x14ac:dyDescent="0.2">
      <c r="A88" t="s">
        <v>195</v>
      </c>
      <c r="B88" t="s">
        <v>196</v>
      </c>
      <c r="C88" t="s">
        <v>130</v>
      </c>
      <c r="D88" s="177" t="s">
        <v>576</v>
      </c>
    </row>
    <row r="89" spans="1:4" x14ac:dyDescent="0.2">
      <c r="A89" t="s">
        <v>197</v>
      </c>
      <c r="B89">
        <v>3402401</v>
      </c>
      <c r="C89" t="s">
        <v>198</v>
      </c>
      <c r="D89" s="177" t="s">
        <v>576</v>
      </c>
    </row>
    <row r="90" spans="1:4" x14ac:dyDescent="0.2">
      <c r="A90" t="s">
        <v>199</v>
      </c>
      <c r="B90">
        <v>3190601</v>
      </c>
      <c r="C90" t="s">
        <v>200</v>
      </c>
      <c r="D90" s="177" t="s">
        <v>576</v>
      </c>
    </row>
    <row r="91" spans="1:4" x14ac:dyDescent="0.2">
      <c r="A91" t="s">
        <v>515</v>
      </c>
      <c r="B91">
        <v>4085901</v>
      </c>
      <c r="C91" t="s">
        <v>556</v>
      </c>
      <c r="D91" s="177" t="s">
        <v>576</v>
      </c>
    </row>
    <row r="92" spans="1:4" x14ac:dyDescent="0.2">
      <c r="A92" t="s">
        <v>201</v>
      </c>
      <c r="B92">
        <v>3250501</v>
      </c>
      <c r="C92" t="s">
        <v>148</v>
      </c>
      <c r="D92" s="177" t="s">
        <v>576</v>
      </c>
    </row>
    <row r="93" spans="1:4" x14ac:dyDescent="0.2">
      <c r="A93" t="s">
        <v>203</v>
      </c>
      <c r="B93">
        <v>3016301</v>
      </c>
      <c r="C93" t="s">
        <v>204</v>
      </c>
      <c r="D93" s="177" t="s">
        <v>576</v>
      </c>
    </row>
    <row r="94" spans="1:4" x14ac:dyDescent="0.2">
      <c r="A94" t="s">
        <v>205</v>
      </c>
      <c r="B94">
        <v>3153701</v>
      </c>
      <c r="C94" t="s">
        <v>204</v>
      </c>
      <c r="D94" s="177" t="s">
        <v>576</v>
      </c>
    </row>
    <row r="95" spans="1:4" x14ac:dyDescent="0.2">
      <c r="A95" t="s">
        <v>207</v>
      </c>
      <c r="B95">
        <v>3316501</v>
      </c>
      <c r="C95" t="s">
        <v>204</v>
      </c>
      <c r="D95" s="177" t="s">
        <v>576</v>
      </c>
    </row>
    <row r="96" spans="1:4" x14ac:dyDescent="0.2">
      <c r="A96" t="s">
        <v>208</v>
      </c>
      <c r="B96">
        <v>3316601</v>
      </c>
      <c r="C96" t="s">
        <v>204</v>
      </c>
      <c r="D96" s="177" t="s">
        <v>576</v>
      </c>
    </row>
    <row r="97" spans="1:4" x14ac:dyDescent="0.2">
      <c r="A97" t="s">
        <v>209</v>
      </c>
      <c r="B97">
        <v>3294701</v>
      </c>
      <c r="C97" t="s">
        <v>210</v>
      </c>
      <c r="D97" s="177" t="s">
        <v>576</v>
      </c>
    </row>
    <row r="98" spans="1:4" x14ac:dyDescent="0.2">
      <c r="A98" t="s">
        <v>211</v>
      </c>
      <c r="B98">
        <v>4180601</v>
      </c>
      <c r="C98" t="s">
        <v>212</v>
      </c>
      <c r="D98" s="177" t="s">
        <v>576</v>
      </c>
    </row>
    <row r="99" spans="1:4" x14ac:dyDescent="0.2">
      <c r="A99" t="s">
        <v>213</v>
      </c>
      <c r="B99">
        <v>4188401</v>
      </c>
      <c r="C99" t="s">
        <v>212</v>
      </c>
      <c r="D99" s="177" t="s">
        <v>576</v>
      </c>
    </row>
    <row r="100" spans="1:4" x14ac:dyDescent="0.2">
      <c r="A100" t="s">
        <v>214</v>
      </c>
      <c r="B100">
        <v>4058801</v>
      </c>
      <c r="C100" t="s">
        <v>215</v>
      </c>
      <c r="D100" s="177" t="s">
        <v>576</v>
      </c>
    </row>
    <row r="101" spans="1:4" x14ac:dyDescent="0.2">
      <c r="A101" t="s">
        <v>216</v>
      </c>
      <c r="B101">
        <v>3234701</v>
      </c>
      <c r="C101" t="s">
        <v>217</v>
      </c>
      <c r="D101" s="177" t="s">
        <v>576</v>
      </c>
    </row>
    <row r="102" spans="1:4" x14ac:dyDescent="0.2">
      <c r="A102" t="s">
        <v>301</v>
      </c>
      <c r="B102">
        <v>3514402</v>
      </c>
      <c r="C102" t="s">
        <v>217</v>
      </c>
      <c r="D102" s="177" t="s">
        <v>583</v>
      </c>
    </row>
    <row r="103" spans="1:4" x14ac:dyDescent="0.2">
      <c r="A103" t="s">
        <v>459</v>
      </c>
      <c r="B103">
        <v>3139001</v>
      </c>
      <c r="C103" t="s">
        <v>556</v>
      </c>
      <c r="D103" s="177" t="s">
        <v>576</v>
      </c>
    </row>
    <row r="104" spans="1:4" x14ac:dyDescent="0.2">
      <c r="A104" t="s">
        <v>436</v>
      </c>
      <c r="B104">
        <v>3017201</v>
      </c>
      <c r="C104" t="s">
        <v>556</v>
      </c>
      <c r="D104" s="177" t="s">
        <v>576</v>
      </c>
    </row>
    <row r="105" spans="1:4" x14ac:dyDescent="0.2">
      <c r="A105" t="s">
        <v>218</v>
      </c>
      <c r="B105">
        <v>4043501</v>
      </c>
      <c r="C105" t="s">
        <v>215</v>
      </c>
      <c r="D105" s="177" t="s">
        <v>576</v>
      </c>
    </row>
    <row r="106" spans="1:4" x14ac:dyDescent="0.2">
      <c r="A106" t="s">
        <v>118</v>
      </c>
      <c r="B106">
        <v>4133001</v>
      </c>
      <c r="C106" t="s">
        <v>119</v>
      </c>
      <c r="D106" s="177" t="s">
        <v>575</v>
      </c>
    </row>
    <row r="107" spans="1:4" x14ac:dyDescent="0.2">
      <c r="A107" t="s">
        <v>219</v>
      </c>
      <c r="B107">
        <v>4044401</v>
      </c>
      <c r="C107" t="s">
        <v>555</v>
      </c>
      <c r="D107" s="177" t="s">
        <v>576</v>
      </c>
    </row>
    <row r="108" spans="1:4" x14ac:dyDescent="0.2">
      <c r="A108" t="s">
        <v>220</v>
      </c>
      <c r="B108">
        <v>3086501</v>
      </c>
      <c r="C108" t="s">
        <v>221</v>
      </c>
      <c r="D108" s="177" t="s">
        <v>576</v>
      </c>
    </row>
    <row r="109" spans="1:4" x14ac:dyDescent="0.2">
      <c r="A109" t="s">
        <v>222</v>
      </c>
      <c r="B109">
        <v>3050201</v>
      </c>
      <c r="C109" t="s">
        <v>223</v>
      </c>
      <c r="D109" s="177" t="s">
        <v>576</v>
      </c>
    </row>
    <row r="110" spans="1:4" x14ac:dyDescent="0.2">
      <c r="A110" t="s">
        <v>224</v>
      </c>
      <c r="B110">
        <v>3053201</v>
      </c>
      <c r="C110" t="s">
        <v>223</v>
      </c>
      <c r="D110" s="177" t="s">
        <v>576</v>
      </c>
    </row>
    <row r="111" spans="1:4" x14ac:dyDescent="0.2">
      <c r="A111" t="s">
        <v>442</v>
      </c>
      <c r="B111">
        <v>3024701</v>
      </c>
      <c r="C111" t="s">
        <v>420</v>
      </c>
      <c r="D111" s="177" t="s">
        <v>576</v>
      </c>
    </row>
    <row r="112" spans="1:4" x14ac:dyDescent="0.2">
      <c r="A112" t="s">
        <v>443</v>
      </c>
      <c r="B112">
        <v>3024901</v>
      </c>
      <c r="C112" t="s">
        <v>420</v>
      </c>
      <c r="D112" s="177" t="s">
        <v>576</v>
      </c>
    </row>
    <row r="113" spans="1:4" x14ac:dyDescent="0.2">
      <c r="A113" t="s">
        <v>581</v>
      </c>
      <c r="B113">
        <v>3026101</v>
      </c>
      <c r="C113" t="s">
        <v>420</v>
      </c>
      <c r="D113" s="177" t="s">
        <v>576</v>
      </c>
    </row>
    <row r="114" spans="1:4" x14ac:dyDescent="0.2">
      <c r="A114" t="s">
        <v>445</v>
      </c>
      <c r="B114">
        <v>3026401</v>
      </c>
      <c r="C114" t="s">
        <v>420</v>
      </c>
      <c r="D114" s="177" t="s">
        <v>576</v>
      </c>
    </row>
    <row r="115" spans="1:4" x14ac:dyDescent="0.2">
      <c r="A115" t="s">
        <v>444</v>
      </c>
      <c r="B115">
        <v>3025701</v>
      </c>
      <c r="C115" t="s">
        <v>420</v>
      </c>
      <c r="D115" s="177" t="s">
        <v>576</v>
      </c>
    </row>
    <row r="116" spans="1:4" x14ac:dyDescent="0.2">
      <c r="A116" t="s">
        <v>446</v>
      </c>
      <c r="B116">
        <v>3026601</v>
      </c>
      <c r="C116" t="s">
        <v>420</v>
      </c>
      <c r="D116" s="177" t="s">
        <v>576</v>
      </c>
    </row>
    <row r="117" spans="1:4" x14ac:dyDescent="0.2">
      <c r="A117" t="s">
        <v>439</v>
      </c>
      <c r="B117">
        <v>3021701</v>
      </c>
      <c r="C117" t="s">
        <v>420</v>
      </c>
      <c r="D117" s="177" t="s">
        <v>583</v>
      </c>
    </row>
    <row r="118" spans="1:4" x14ac:dyDescent="0.2">
      <c r="A118" t="s">
        <v>448</v>
      </c>
      <c r="B118">
        <v>3029801</v>
      </c>
      <c r="C118" t="s">
        <v>420</v>
      </c>
      <c r="D118" s="177" t="s">
        <v>576</v>
      </c>
    </row>
    <row r="119" spans="1:4" x14ac:dyDescent="0.2">
      <c r="A119" t="s">
        <v>447</v>
      </c>
      <c r="B119">
        <v>3029601</v>
      </c>
      <c r="C119" t="s">
        <v>420</v>
      </c>
      <c r="D119" s="177" t="s">
        <v>576</v>
      </c>
    </row>
    <row r="120" spans="1:4" x14ac:dyDescent="0.2">
      <c r="A120" t="s">
        <v>450</v>
      </c>
      <c r="B120">
        <v>3031701</v>
      </c>
      <c r="C120" t="s">
        <v>420</v>
      </c>
      <c r="D120" s="177" t="s">
        <v>576</v>
      </c>
    </row>
    <row r="121" spans="1:4" x14ac:dyDescent="0.2">
      <c r="A121" t="s">
        <v>463</v>
      </c>
      <c r="B121">
        <v>3209901</v>
      </c>
      <c r="C121" t="s">
        <v>420</v>
      </c>
      <c r="D121" s="177" t="s">
        <v>576</v>
      </c>
    </row>
    <row r="122" spans="1:4" x14ac:dyDescent="0.2">
      <c r="A122" t="s">
        <v>451</v>
      </c>
      <c r="B122">
        <v>3033601</v>
      </c>
      <c r="C122" t="s">
        <v>420</v>
      </c>
      <c r="D122" s="177" t="s">
        <v>576</v>
      </c>
    </row>
    <row r="123" spans="1:4" x14ac:dyDescent="0.2">
      <c r="A123" t="s">
        <v>469</v>
      </c>
      <c r="B123">
        <v>3313401</v>
      </c>
      <c r="C123" t="s">
        <v>420</v>
      </c>
      <c r="D123" s="177" t="s">
        <v>576</v>
      </c>
    </row>
    <row r="124" spans="1:4" x14ac:dyDescent="0.2">
      <c r="A124" t="s">
        <v>433</v>
      </c>
      <c r="B124">
        <v>3014901</v>
      </c>
      <c r="C124" t="s">
        <v>420</v>
      </c>
      <c r="D124" s="177" t="s">
        <v>576</v>
      </c>
    </row>
    <row r="125" spans="1:4" x14ac:dyDescent="0.2">
      <c r="A125" t="s">
        <v>452</v>
      </c>
      <c r="B125">
        <v>3034501</v>
      </c>
      <c r="C125" t="s">
        <v>420</v>
      </c>
      <c r="D125" s="177" t="s">
        <v>576</v>
      </c>
    </row>
    <row r="126" spans="1:4" x14ac:dyDescent="0.2">
      <c r="A126" t="s">
        <v>453</v>
      </c>
      <c r="B126">
        <v>3038001</v>
      </c>
      <c r="C126" t="s">
        <v>420</v>
      </c>
      <c r="D126" s="177" t="s">
        <v>576</v>
      </c>
    </row>
    <row r="127" spans="1:4" x14ac:dyDescent="0.2">
      <c r="A127" t="s">
        <v>460</v>
      </c>
      <c r="B127">
        <v>3141701</v>
      </c>
      <c r="C127" t="s">
        <v>457</v>
      </c>
      <c r="D127" s="177" t="s">
        <v>576</v>
      </c>
    </row>
    <row r="128" spans="1:4" x14ac:dyDescent="0.2">
      <c r="A128" t="s">
        <v>225</v>
      </c>
      <c r="B128">
        <v>3329801</v>
      </c>
      <c r="C128" t="s">
        <v>223</v>
      </c>
      <c r="D128" s="177" t="s">
        <v>576</v>
      </c>
    </row>
    <row r="129" spans="1:4" x14ac:dyDescent="0.2">
      <c r="A129" t="s">
        <v>226</v>
      </c>
      <c r="B129">
        <v>4106301</v>
      </c>
      <c r="C129" t="s">
        <v>164</v>
      </c>
      <c r="D129" s="177" t="s">
        <v>576</v>
      </c>
    </row>
    <row r="130" spans="1:4" x14ac:dyDescent="0.2">
      <c r="A130" t="s">
        <v>227</v>
      </c>
      <c r="B130">
        <v>3001401</v>
      </c>
      <c r="C130" t="s">
        <v>594</v>
      </c>
      <c r="D130" s="177" t="s">
        <v>576</v>
      </c>
    </row>
    <row r="131" spans="1:4" x14ac:dyDescent="0.2">
      <c r="A131" t="s">
        <v>228</v>
      </c>
      <c r="B131">
        <v>3001601</v>
      </c>
      <c r="C131" t="s">
        <v>594</v>
      </c>
      <c r="D131" s="177" t="s">
        <v>576</v>
      </c>
    </row>
    <row r="132" spans="1:4" x14ac:dyDescent="0.2">
      <c r="A132" t="s">
        <v>229</v>
      </c>
      <c r="B132">
        <v>3043201</v>
      </c>
      <c r="C132" t="s">
        <v>594</v>
      </c>
      <c r="D132" s="177" t="s">
        <v>576</v>
      </c>
    </row>
    <row r="133" spans="1:4" x14ac:dyDescent="0.2">
      <c r="A133" t="s">
        <v>230</v>
      </c>
      <c r="B133">
        <v>3043401</v>
      </c>
      <c r="C133" t="s">
        <v>594</v>
      </c>
      <c r="D133" s="177" t="s">
        <v>576</v>
      </c>
    </row>
    <row r="134" spans="1:4" x14ac:dyDescent="0.2">
      <c r="A134" t="s">
        <v>231</v>
      </c>
      <c r="B134">
        <v>3038201</v>
      </c>
      <c r="C134" t="s">
        <v>594</v>
      </c>
      <c r="D134" s="177" t="s">
        <v>576</v>
      </c>
    </row>
    <row r="135" spans="1:4" x14ac:dyDescent="0.2">
      <c r="A135" t="s">
        <v>464</v>
      </c>
      <c r="B135">
        <v>3245701</v>
      </c>
      <c r="C135" t="s">
        <v>465</v>
      </c>
      <c r="D135" s="177" t="s">
        <v>576</v>
      </c>
    </row>
    <row r="136" spans="1:4" x14ac:dyDescent="0.2">
      <c r="A136" t="s">
        <v>456</v>
      </c>
      <c r="B136">
        <v>3095101</v>
      </c>
      <c r="C136" t="s">
        <v>457</v>
      </c>
      <c r="D136" s="177" t="s">
        <v>576</v>
      </c>
    </row>
    <row r="137" spans="1:4" x14ac:dyDescent="0.2">
      <c r="A137" t="s">
        <v>516</v>
      </c>
      <c r="B137">
        <v>4098601</v>
      </c>
      <c r="C137" t="s">
        <v>502</v>
      </c>
      <c r="D137" s="177" t="s">
        <v>576</v>
      </c>
    </row>
    <row r="138" spans="1:4" x14ac:dyDescent="0.2">
      <c r="A138" t="s">
        <v>518</v>
      </c>
      <c r="B138">
        <v>4110101</v>
      </c>
      <c r="C138" t="s">
        <v>502</v>
      </c>
      <c r="D138" s="177" t="s">
        <v>576</v>
      </c>
    </row>
    <row r="139" spans="1:4" x14ac:dyDescent="0.2">
      <c r="A139" t="s">
        <v>519</v>
      </c>
      <c r="B139">
        <v>4110201</v>
      </c>
      <c r="C139" t="s">
        <v>502</v>
      </c>
      <c r="D139" s="177" t="s">
        <v>576</v>
      </c>
    </row>
    <row r="140" spans="1:4" x14ac:dyDescent="0.2">
      <c r="A140" t="s">
        <v>505</v>
      </c>
      <c r="B140">
        <v>4023001</v>
      </c>
      <c r="C140" t="s">
        <v>502</v>
      </c>
      <c r="D140" s="177" t="s">
        <v>576</v>
      </c>
    </row>
    <row r="141" spans="1:4" x14ac:dyDescent="0.2">
      <c r="A141" t="s">
        <v>520</v>
      </c>
      <c r="B141">
        <v>4110301</v>
      </c>
      <c r="C141" t="s">
        <v>502</v>
      </c>
      <c r="D141" s="177" t="s">
        <v>576</v>
      </c>
    </row>
    <row r="142" spans="1:4" x14ac:dyDescent="0.2">
      <c r="A142" t="s">
        <v>504</v>
      </c>
      <c r="B142">
        <v>4017601</v>
      </c>
      <c r="C142" t="s">
        <v>502</v>
      </c>
      <c r="D142" s="177" t="s">
        <v>576</v>
      </c>
    </row>
    <row r="143" spans="1:4" x14ac:dyDescent="0.2">
      <c r="A143" t="s">
        <v>501</v>
      </c>
      <c r="B143">
        <v>4004301</v>
      </c>
      <c r="C143" t="s">
        <v>502</v>
      </c>
      <c r="D143" s="177" t="s">
        <v>576</v>
      </c>
    </row>
    <row r="144" spans="1:4" x14ac:dyDescent="0.2">
      <c r="A144" t="s">
        <v>521</v>
      </c>
      <c r="B144">
        <v>4110401</v>
      </c>
      <c r="C144" t="s">
        <v>502</v>
      </c>
      <c r="D144" s="177" t="s">
        <v>576</v>
      </c>
    </row>
    <row r="145" spans="1:4" x14ac:dyDescent="0.2">
      <c r="A145" t="s">
        <v>522</v>
      </c>
      <c r="B145">
        <v>4110701</v>
      </c>
      <c r="C145" t="s">
        <v>502</v>
      </c>
      <c r="D145" s="177" t="s">
        <v>576</v>
      </c>
    </row>
    <row r="146" spans="1:4" x14ac:dyDescent="0.2">
      <c r="A146" t="s">
        <v>508</v>
      </c>
      <c r="B146">
        <v>4036701</v>
      </c>
      <c r="C146" t="s">
        <v>502</v>
      </c>
      <c r="D146" s="177" t="s">
        <v>576</v>
      </c>
    </row>
    <row r="147" spans="1:4" x14ac:dyDescent="0.2">
      <c r="A147" t="s">
        <v>509</v>
      </c>
      <c r="B147">
        <v>4037201</v>
      </c>
      <c r="C147" t="s">
        <v>502</v>
      </c>
      <c r="D147" s="177" t="s">
        <v>576</v>
      </c>
    </row>
    <row r="148" spans="1:4" x14ac:dyDescent="0.2">
      <c r="A148" t="s">
        <v>513</v>
      </c>
      <c r="B148">
        <v>4075401</v>
      </c>
      <c r="C148" t="s">
        <v>502</v>
      </c>
      <c r="D148" s="177" t="s">
        <v>576</v>
      </c>
    </row>
    <row r="149" spans="1:4" x14ac:dyDescent="0.2">
      <c r="A149" t="s">
        <v>512</v>
      </c>
      <c r="B149">
        <v>4065201</v>
      </c>
      <c r="C149" t="s">
        <v>502</v>
      </c>
      <c r="D149" s="177" t="s">
        <v>576</v>
      </c>
    </row>
    <row r="150" spans="1:4" x14ac:dyDescent="0.2">
      <c r="A150" t="s">
        <v>511</v>
      </c>
      <c r="B150">
        <v>4051201</v>
      </c>
      <c r="C150" t="s">
        <v>502</v>
      </c>
      <c r="D150" s="177" t="s">
        <v>576</v>
      </c>
    </row>
    <row r="151" spans="1:4" x14ac:dyDescent="0.2">
      <c r="A151" t="s">
        <v>395</v>
      </c>
      <c r="B151">
        <v>2053201</v>
      </c>
      <c r="C151" t="s">
        <v>392</v>
      </c>
      <c r="D151" s="177" t="s">
        <v>575</v>
      </c>
    </row>
    <row r="152" spans="1:4" x14ac:dyDescent="0.2">
      <c r="A152" t="s">
        <v>396</v>
      </c>
      <c r="B152">
        <v>2052901</v>
      </c>
      <c r="C152" t="s">
        <v>392</v>
      </c>
      <c r="D152" s="177" t="s">
        <v>575</v>
      </c>
    </row>
    <row r="153" spans="1:4" x14ac:dyDescent="0.2">
      <c r="A153" t="s">
        <v>449</v>
      </c>
      <c r="B153">
        <v>3031301</v>
      </c>
      <c r="C153" t="s">
        <v>420</v>
      </c>
      <c r="D153" s="177" t="s">
        <v>576</v>
      </c>
    </row>
    <row r="154" spans="1:4" x14ac:dyDescent="0.2">
      <c r="A154" t="s">
        <v>466</v>
      </c>
      <c r="B154">
        <v>3297001</v>
      </c>
      <c r="C154" t="s">
        <v>420</v>
      </c>
      <c r="D154" s="177" t="s">
        <v>576</v>
      </c>
    </row>
    <row r="155" spans="1:4" x14ac:dyDescent="0.2">
      <c r="A155" t="s">
        <v>232</v>
      </c>
      <c r="B155">
        <v>3223401</v>
      </c>
      <c r="C155" t="s">
        <v>146</v>
      </c>
      <c r="D155" s="177" t="s">
        <v>576</v>
      </c>
    </row>
    <row r="156" spans="1:4" x14ac:dyDescent="0.2">
      <c r="A156" t="s">
        <v>304</v>
      </c>
      <c r="B156">
        <v>3124201</v>
      </c>
      <c r="C156" t="s">
        <v>146</v>
      </c>
      <c r="D156" s="177" t="s">
        <v>583</v>
      </c>
    </row>
    <row r="157" spans="1:4" x14ac:dyDescent="0.2">
      <c r="A157" t="s">
        <v>233</v>
      </c>
      <c r="B157">
        <v>3245501</v>
      </c>
      <c r="C157" t="s">
        <v>146</v>
      </c>
      <c r="D157" s="177" t="s">
        <v>576</v>
      </c>
    </row>
    <row r="158" spans="1:4" x14ac:dyDescent="0.2">
      <c r="A158" t="s">
        <v>398</v>
      </c>
      <c r="B158">
        <v>3241501</v>
      </c>
      <c r="C158" t="s">
        <v>121</v>
      </c>
      <c r="D158" s="177" t="s">
        <v>576</v>
      </c>
    </row>
    <row r="159" spans="1:4" x14ac:dyDescent="0.2">
      <c r="A159" t="s">
        <v>399</v>
      </c>
      <c r="B159">
        <v>3533901</v>
      </c>
      <c r="C159" t="s">
        <v>121</v>
      </c>
      <c r="D159" s="177" t="s">
        <v>576</v>
      </c>
    </row>
    <row r="160" spans="1:4" x14ac:dyDescent="0.2">
      <c r="A160" t="s">
        <v>234</v>
      </c>
      <c r="B160">
        <v>3231101</v>
      </c>
      <c r="C160" t="s">
        <v>148</v>
      </c>
      <c r="D160" s="177" t="s">
        <v>576</v>
      </c>
    </row>
    <row r="161" spans="1:4" x14ac:dyDescent="0.2">
      <c r="A161" t="s">
        <v>235</v>
      </c>
      <c r="B161">
        <v>3226701</v>
      </c>
      <c r="C161" t="s">
        <v>175</v>
      </c>
      <c r="D161" s="177" t="s">
        <v>576</v>
      </c>
    </row>
    <row r="162" spans="1:4" x14ac:dyDescent="0.2">
      <c r="A162" t="s">
        <v>236</v>
      </c>
      <c r="B162">
        <v>3219301</v>
      </c>
      <c r="C162" t="s">
        <v>175</v>
      </c>
      <c r="D162" s="177" t="s">
        <v>576</v>
      </c>
    </row>
    <row r="163" spans="1:4" x14ac:dyDescent="0.2">
      <c r="A163" t="s">
        <v>237</v>
      </c>
      <c r="B163">
        <v>3551401</v>
      </c>
      <c r="C163" t="s">
        <v>175</v>
      </c>
      <c r="D163" s="177" t="s">
        <v>576</v>
      </c>
    </row>
    <row r="164" spans="1:4" x14ac:dyDescent="0.2">
      <c r="A164" t="s">
        <v>238</v>
      </c>
      <c r="B164">
        <v>3409901</v>
      </c>
      <c r="C164" t="s">
        <v>175</v>
      </c>
      <c r="D164" s="177" t="s">
        <v>576</v>
      </c>
    </row>
    <row r="165" spans="1:4" x14ac:dyDescent="0.2">
      <c r="A165" t="s">
        <v>239</v>
      </c>
      <c r="B165">
        <v>3290201</v>
      </c>
      <c r="C165" t="s">
        <v>175</v>
      </c>
      <c r="D165" s="177" t="s">
        <v>576</v>
      </c>
    </row>
    <row r="166" spans="1:4" x14ac:dyDescent="0.2">
      <c r="A166" t="s">
        <v>240</v>
      </c>
      <c r="B166">
        <v>3123401</v>
      </c>
      <c r="C166" t="s">
        <v>175</v>
      </c>
      <c r="D166" s="177" t="s">
        <v>576</v>
      </c>
    </row>
    <row r="167" spans="1:4" x14ac:dyDescent="0.2">
      <c r="A167" t="s">
        <v>241</v>
      </c>
      <c r="B167">
        <v>3290902</v>
      </c>
      <c r="C167" t="s">
        <v>242</v>
      </c>
      <c r="D167" s="177" t="s">
        <v>576</v>
      </c>
    </row>
    <row r="168" spans="1:4" x14ac:dyDescent="0.2">
      <c r="A168" t="s">
        <v>400</v>
      </c>
      <c r="B168">
        <v>3415201</v>
      </c>
      <c r="C168" t="s">
        <v>121</v>
      </c>
      <c r="D168" s="177" t="s">
        <v>576</v>
      </c>
    </row>
    <row r="169" spans="1:4" x14ac:dyDescent="0.2">
      <c r="A169" t="s">
        <v>245</v>
      </c>
      <c r="B169">
        <v>4023601</v>
      </c>
      <c r="C169" t="s">
        <v>164</v>
      </c>
      <c r="D169" s="177" t="s">
        <v>576</v>
      </c>
    </row>
    <row r="170" spans="1:4" x14ac:dyDescent="0.2">
      <c r="A170" t="s">
        <v>432</v>
      </c>
      <c r="B170">
        <v>3013701</v>
      </c>
      <c r="C170" t="s">
        <v>457</v>
      </c>
      <c r="D170" s="177" t="s">
        <v>576</v>
      </c>
    </row>
    <row r="171" spans="1:4" x14ac:dyDescent="0.2">
      <c r="A171" t="s">
        <v>403</v>
      </c>
      <c r="B171">
        <v>4244501</v>
      </c>
      <c r="C171" t="s">
        <v>404</v>
      </c>
      <c r="D171" s="177" t="s">
        <v>576</v>
      </c>
    </row>
    <row r="172" spans="1:4" x14ac:dyDescent="0.2">
      <c r="A172" t="s">
        <v>246</v>
      </c>
      <c r="B172">
        <v>3427001</v>
      </c>
      <c r="C172" t="s">
        <v>160</v>
      </c>
      <c r="D172" s="177" t="s">
        <v>576</v>
      </c>
    </row>
    <row r="173" spans="1:4" x14ac:dyDescent="0.2">
      <c r="A173" t="s">
        <v>405</v>
      </c>
      <c r="B173">
        <v>3425301</v>
      </c>
      <c r="C173" t="s">
        <v>404</v>
      </c>
      <c r="D173" s="177" t="s">
        <v>576</v>
      </c>
    </row>
    <row r="174" spans="1:4" x14ac:dyDescent="0.2">
      <c r="A174" t="s">
        <v>247</v>
      </c>
      <c r="B174">
        <v>3426101</v>
      </c>
      <c r="C174" t="s">
        <v>166</v>
      </c>
      <c r="D174" s="177" t="s">
        <v>576</v>
      </c>
    </row>
    <row r="175" spans="1:4" x14ac:dyDescent="0.2">
      <c r="A175" t="s">
        <v>454</v>
      </c>
      <c r="B175">
        <v>3038601</v>
      </c>
      <c r="C175" t="s">
        <v>455</v>
      </c>
      <c r="D175" s="177" t="s">
        <v>576</v>
      </c>
    </row>
    <row r="176" spans="1:4" x14ac:dyDescent="0.2">
      <c r="A176" t="s">
        <v>248</v>
      </c>
      <c r="B176">
        <v>4324601</v>
      </c>
      <c r="C176" t="s">
        <v>249</v>
      </c>
      <c r="D176" s="177" t="s">
        <v>576</v>
      </c>
    </row>
    <row r="177" spans="1:4" x14ac:dyDescent="0.2">
      <c r="A177" t="s">
        <v>305</v>
      </c>
      <c r="B177">
        <v>3405001</v>
      </c>
      <c r="C177" t="s">
        <v>166</v>
      </c>
      <c r="D177" s="177" t="s">
        <v>583</v>
      </c>
    </row>
    <row r="178" spans="1:4" x14ac:dyDescent="0.2">
      <c r="A178" t="s">
        <v>250</v>
      </c>
      <c r="B178">
        <v>3420401</v>
      </c>
      <c r="C178" t="s">
        <v>166</v>
      </c>
      <c r="D178" s="177" t="s">
        <v>576</v>
      </c>
    </row>
    <row r="179" spans="1:4" x14ac:dyDescent="0.2">
      <c r="A179" t="s">
        <v>503</v>
      </c>
      <c r="B179">
        <v>4004801</v>
      </c>
      <c r="C179" t="s">
        <v>502</v>
      </c>
      <c r="D179" s="177" t="s">
        <v>576</v>
      </c>
    </row>
    <row r="180" spans="1:4" x14ac:dyDescent="0.2">
      <c r="A180" t="s">
        <v>306</v>
      </c>
      <c r="B180">
        <v>3136601</v>
      </c>
      <c r="C180" t="s">
        <v>175</v>
      </c>
      <c r="D180" s="177" t="s">
        <v>583</v>
      </c>
    </row>
    <row r="181" spans="1:4" x14ac:dyDescent="0.2">
      <c r="A181" t="s">
        <v>401</v>
      </c>
      <c r="B181">
        <v>3133001</v>
      </c>
      <c r="C181" t="s">
        <v>121</v>
      </c>
      <c r="D181" s="177" t="s">
        <v>576</v>
      </c>
    </row>
    <row r="182" spans="1:4" x14ac:dyDescent="0.2">
      <c r="A182" t="s">
        <v>251</v>
      </c>
      <c r="B182">
        <v>3422001</v>
      </c>
      <c r="C182" t="s">
        <v>252</v>
      </c>
      <c r="D182" s="177" t="s">
        <v>576</v>
      </c>
    </row>
    <row r="183" spans="1:4" x14ac:dyDescent="0.2">
      <c r="A183" t="s">
        <v>253</v>
      </c>
      <c r="B183">
        <v>3120601</v>
      </c>
      <c r="C183" t="s">
        <v>254</v>
      </c>
      <c r="D183" s="177" t="s">
        <v>576</v>
      </c>
    </row>
    <row r="184" spans="1:4" x14ac:dyDescent="0.2">
      <c r="A184" t="s">
        <v>255</v>
      </c>
      <c r="B184">
        <v>4336801</v>
      </c>
      <c r="C184" t="s">
        <v>164</v>
      </c>
      <c r="D184" s="177" t="s">
        <v>576</v>
      </c>
    </row>
    <row r="185" spans="1:4" x14ac:dyDescent="0.2">
      <c r="A185" t="s">
        <v>256</v>
      </c>
      <c r="B185">
        <v>3129101</v>
      </c>
      <c r="C185" t="s">
        <v>257</v>
      </c>
      <c r="D185" s="177" t="s">
        <v>576</v>
      </c>
    </row>
    <row r="186" spans="1:4" x14ac:dyDescent="0.2">
      <c r="A186" t="s">
        <v>258</v>
      </c>
      <c r="B186">
        <v>3326301</v>
      </c>
      <c r="C186" t="s">
        <v>259</v>
      </c>
      <c r="D186" s="177" t="s">
        <v>576</v>
      </c>
    </row>
    <row r="187" spans="1:4" x14ac:dyDescent="0.2">
      <c r="A187" t="s">
        <v>260</v>
      </c>
      <c r="B187">
        <v>2038501</v>
      </c>
      <c r="C187" t="s">
        <v>261</v>
      </c>
      <c r="D187" s="177" t="s">
        <v>576</v>
      </c>
    </row>
    <row r="188" spans="1:4" x14ac:dyDescent="0.2">
      <c r="A188" t="s">
        <v>262</v>
      </c>
      <c r="B188">
        <v>3509101</v>
      </c>
      <c r="C188" t="s">
        <v>166</v>
      </c>
      <c r="D188" s="177" t="s">
        <v>576</v>
      </c>
    </row>
    <row r="189" spans="1:4" x14ac:dyDescent="0.2">
      <c r="A189" t="s">
        <v>263</v>
      </c>
      <c r="B189">
        <v>3506201</v>
      </c>
      <c r="C189" t="s">
        <v>166</v>
      </c>
      <c r="D189" s="177" t="s">
        <v>576</v>
      </c>
    </row>
    <row r="190" spans="1:4" x14ac:dyDescent="0.2">
      <c r="A190" t="s">
        <v>125</v>
      </c>
      <c r="B190">
        <v>2062201</v>
      </c>
      <c r="C190" t="s">
        <v>126</v>
      </c>
      <c r="D190" s="177" t="s">
        <v>575</v>
      </c>
    </row>
    <row r="191" spans="1:4" x14ac:dyDescent="0.2">
      <c r="A191" t="s">
        <v>430</v>
      </c>
      <c r="B191">
        <v>3008001</v>
      </c>
      <c r="C191" t="s">
        <v>431</v>
      </c>
      <c r="D191" s="177" t="s">
        <v>576</v>
      </c>
    </row>
    <row r="192" spans="1:4" x14ac:dyDescent="0.2">
      <c r="A192" t="s">
        <v>127</v>
      </c>
      <c r="B192">
        <v>2026901</v>
      </c>
      <c r="C192" t="s">
        <v>128</v>
      </c>
      <c r="D192" s="177" t="s">
        <v>575</v>
      </c>
    </row>
    <row r="193" spans="1:4" x14ac:dyDescent="0.2">
      <c r="A193" t="s">
        <v>264</v>
      </c>
      <c r="B193">
        <v>3512101</v>
      </c>
      <c r="C193" t="s">
        <v>130</v>
      </c>
      <c r="D193" s="177" t="s">
        <v>576</v>
      </c>
    </row>
    <row r="194" spans="1:4" x14ac:dyDescent="0.2">
      <c r="A194" t="s">
        <v>265</v>
      </c>
      <c r="B194">
        <v>3524201</v>
      </c>
      <c r="C194" t="s">
        <v>130</v>
      </c>
      <c r="D194" s="177" t="s">
        <v>576</v>
      </c>
    </row>
    <row r="195" spans="1:4" x14ac:dyDescent="0.2">
      <c r="A195" t="s">
        <v>266</v>
      </c>
      <c r="B195">
        <v>3541601</v>
      </c>
      <c r="C195" t="s">
        <v>130</v>
      </c>
      <c r="D195" s="177" t="s">
        <v>576</v>
      </c>
    </row>
    <row r="196" spans="1:4" x14ac:dyDescent="0.2">
      <c r="A196" t="s">
        <v>123</v>
      </c>
      <c r="B196">
        <v>4092601</v>
      </c>
      <c r="C196" t="s">
        <v>119</v>
      </c>
      <c r="D196" s="177" t="s">
        <v>576</v>
      </c>
    </row>
    <row r="197" spans="1:4" x14ac:dyDescent="0.2">
      <c r="A197" t="s">
        <v>267</v>
      </c>
      <c r="B197">
        <v>4044101</v>
      </c>
      <c r="C197" t="s">
        <v>217</v>
      </c>
      <c r="D197" s="177" t="s">
        <v>576</v>
      </c>
    </row>
    <row r="198" spans="1:4" x14ac:dyDescent="0.2">
      <c r="A198" t="s">
        <v>268</v>
      </c>
      <c r="B198">
        <v>3007601</v>
      </c>
      <c r="C198" t="s">
        <v>217</v>
      </c>
      <c r="D198" s="177" t="s">
        <v>576</v>
      </c>
    </row>
    <row r="199" spans="1:4" x14ac:dyDescent="0.2">
      <c r="A199" t="s">
        <v>269</v>
      </c>
      <c r="B199">
        <v>3427701</v>
      </c>
      <c r="C199" t="s">
        <v>217</v>
      </c>
      <c r="D199" s="177" t="s">
        <v>576</v>
      </c>
    </row>
    <row r="200" spans="1:4" x14ac:dyDescent="0.2">
      <c r="A200" t="s">
        <v>270</v>
      </c>
      <c r="B200">
        <v>3284701</v>
      </c>
      <c r="C200" t="s">
        <v>121</v>
      </c>
      <c r="D200" s="177" t="s">
        <v>576</v>
      </c>
    </row>
    <row r="201" spans="1:4" x14ac:dyDescent="0.2">
      <c r="A201" t="s">
        <v>434</v>
      </c>
      <c r="B201">
        <v>3015901</v>
      </c>
      <c r="C201" t="s">
        <v>431</v>
      </c>
      <c r="D201" s="177" t="s">
        <v>576</v>
      </c>
    </row>
    <row r="202" spans="1:4" x14ac:dyDescent="0.2">
      <c r="A202" t="s">
        <v>271</v>
      </c>
      <c r="B202">
        <v>3127501</v>
      </c>
      <c r="C202" t="s">
        <v>272</v>
      </c>
      <c r="D202" s="177" t="s">
        <v>576</v>
      </c>
    </row>
    <row r="203" spans="1:4" x14ac:dyDescent="0.2">
      <c r="A203" t="s">
        <v>273</v>
      </c>
      <c r="B203">
        <v>3130301</v>
      </c>
      <c r="C203" t="s">
        <v>121</v>
      </c>
      <c r="D203" s="177" t="s">
        <v>576</v>
      </c>
    </row>
    <row r="204" spans="1:4" x14ac:dyDescent="0.2">
      <c r="A204" t="s">
        <v>274</v>
      </c>
      <c r="B204">
        <v>3178601</v>
      </c>
      <c r="C204" t="s">
        <v>130</v>
      </c>
      <c r="D204" s="177" t="s">
        <v>576</v>
      </c>
    </row>
    <row r="205" spans="1:4" x14ac:dyDescent="0.2">
      <c r="A205" t="s">
        <v>275</v>
      </c>
      <c r="B205">
        <v>3405301</v>
      </c>
      <c r="C205" t="s">
        <v>130</v>
      </c>
      <c r="D205" s="177" t="s">
        <v>576</v>
      </c>
    </row>
    <row r="206" spans="1:4" x14ac:dyDescent="0.2">
      <c r="A206" t="s">
        <v>129</v>
      </c>
      <c r="B206">
        <v>2075601</v>
      </c>
      <c r="C206" t="s">
        <v>130</v>
      </c>
      <c r="D206" s="177" t="s">
        <v>575</v>
      </c>
    </row>
    <row r="207" spans="1:4" x14ac:dyDescent="0.2">
      <c r="A207" t="s">
        <v>307</v>
      </c>
      <c r="B207">
        <v>3394401</v>
      </c>
      <c r="C207" t="s">
        <v>121</v>
      </c>
      <c r="D207" s="177" t="s">
        <v>583</v>
      </c>
    </row>
    <row r="208" spans="1:4" x14ac:dyDescent="0.2">
      <c r="A208" t="s">
        <v>276</v>
      </c>
      <c r="B208">
        <v>4243601</v>
      </c>
      <c r="C208" t="s">
        <v>121</v>
      </c>
      <c r="D208" s="177" t="s">
        <v>576</v>
      </c>
    </row>
    <row r="209" spans="1:4" x14ac:dyDescent="0.2">
      <c r="A209" t="s">
        <v>277</v>
      </c>
      <c r="B209">
        <v>3422901</v>
      </c>
      <c r="C209" t="s">
        <v>130</v>
      </c>
      <c r="D209" s="177" t="s">
        <v>576</v>
      </c>
    </row>
    <row r="210" spans="1:4" x14ac:dyDescent="0.2">
      <c r="A210" t="s">
        <v>278</v>
      </c>
      <c r="B210">
        <v>3510601</v>
      </c>
      <c r="C210" t="s">
        <v>130</v>
      </c>
      <c r="D210" s="177" t="s">
        <v>576</v>
      </c>
    </row>
    <row r="211" spans="1:4" x14ac:dyDescent="0.2">
      <c r="A211" t="s">
        <v>279</v>
      </c>
      <c r="B211">
        <v>3513301</v>
      </c>
      <c r="C211" t="s">
        <v>130</v>
      </c>
      <c r="D211" s="177" t="s">
        <v>576</v>
      </c>
    </row>
    <row r="212" spans="1:4" x14ac:dyDescent="0.2">
      <c r="A212" t="s">
        <v>280</v>
      </c>
      <c r="B212">
        <v>3510801</v>
      </c>
      <c r="C212" t="s">
        <v>130</v>
      </c>
      <c r="D212" s="177" t="s">
        <v>576</v>
      </c>
    </row>
    <row r="213" spans="1:4" x14ac:dyDescent="0.2">
      <c r="A213" t="s">
        <v>309</v>
      </c>
      <c r="B213">
        <v>3525501</v>
      </c>
      <c r="C213" t="s">
        <v>130</v>
      </c>
      <c r="D213" s="177" t="s">
        <v>575</v>
      </c>
    </row>
    <row r="214" spans="1:4" x14ac:dyDescent="0.2">
      <c r="A214" t="s">
        <v>131</v>
      </c>
      <c r="B214">
        <v>2095501</v>
      </c>
      <c r="C214" t="s">
        <v>132</v>
      </c>
      <c r="D214" s="177" t="s">
        <v>575</v>
      </c>
    </row>
    <row r="215" spans="1:4" x14ac:dyDescent="0.2">
      <c r="A215" t="s">
        <v>487</v>
      </c>
      <c r="B215">
        <v>3529101</v>
      </c>
      <c r="C215" t="s">
        <v>478</v>
      </c>
      <c r="D215" s="177" t="s">
        <v>576</v>
      </c>
    </row>
    <row r="216" spans="1:4" x14ac:dyDescent="0.2">
      <c r="A216" t="s">
        <v>281</v>
      </c>
      <c r="B216">
        <v>3526101</v>
      </c>
      <c r="C216" t="s">
        <v>130</v>
      </c>
      <c r="D216" s="177" t="s">
        <v>576</v>
      </c>
    </row>
    <row r="217" spans="1:4" x14ac:dyDescent="0.2">
      <c r="A217" t="s">
        <v>282</v>
      </c>
      <c r="B217">
        <v>3475001</v>
      </c>
      <c r="C217" t="s">
        <v>166</v>
      </c>
      <c r="D217" s="177" t="s">
        <v>576</v>
      </c>
    </row>
    <row r="218" spans="1:4" x14ac:dyDescent="0.2">
      <c r="A218" t="s">
        <v>283</v>
      </c>
      <c r="B218">
        <v>3325801</v>
      </c>
      <c r="C218" t="s">
        <v>121</v>
      </c>
      <c r="D218" s="177" t="s">
        <v>576</v>
      </c>
    </row>
    <row r="219" spans="1:4" x14ac:dyDescent="0.2">
      <c r="A219" t="s">
        <v>120</v>
      </c>
      <c r="B219">
        <v>4156001</v>
      </c>
      <c r="C219" t="s">
        <v>121</v>
      </c>
      <c r="D219" s="177" t="s">
        <v>575</v>
      </c>
    </row>
    <row r="220" spans="1:4" x14ac:dyDescent="0.2">
      <c r="A220" t="s">
        <v>311</v>
      </c>
      <c r="B220">
        <v>3134901</v>
      </c>
      <c r="C220" t="s">
        <v>613</v>
      </c>
      <c r="D220" s="177" t="s">
        <v>577</v>
      </c>
    </row>
    <row r="221" spans="1:4" x14ac:dyDescent="0.2">
      <c r="A221" t="s">
        <v>492</v>
      </c>
      <c r="B221">
        <v>3543801</v>
      </c>
      <c r="C221" t="s">
        <v>493</v>
      </c>
      <c r="D221" s="177" t="s">
        <v>576</v>
      </c>
    </row>
    <row r="222" spans="1:4" x14ac:dyDescent="0.2">
      <c r="A222" t="s">
        <v>480</v>
      </c>
      <c r="B222">
        <v>3511801</v>
      </c>
      <c r="C222" t="s">
        <v>478</v>
      </c>
      <c r="D222" s="177" t="s">
        <v>576</v>
      </c>
    </row>
    <row r="223" spans="1:4" x14ac:dyDescent="0.2">
      <c r="A223" t="s">
        <v>485</v>
      </c>
      <c r="B223">
        <v>3528901</v>
      </c>
      <c r="C223" t="s">
        <v>478</v>
      </c>
      <c r="D223" s="177" t="s">
        <v>576</v>
      </c>
    </row>
    <row r="224" spans="1:4" x14ac:dyDescent="0.2">
      <c r="A224" t="s">
        <v>482</v>
      </c>
      <c r="B224">
        <v>3517001</v>
      </c>
      <c r="C224" t="s">
        <v>478</v>
      </c>
      <c r="D224" s="177" t="s">
        <v>576</v>
      </c>
    </row>
    <row r="225" spans="1:4" x14ac:dyDescent="0.2">
      <c r="A225" t="s">
        <v>483</v>
      </c>
      <c r="B225">
        <v>3522201</v>
      </c>
      <c r="C225" t="s">
        <v>478</v>
      </c>
      <c r="D225" s="177" t="s">
        <v>576</v>
      </c>
    </row>
    <row r="226" spans="1:4" x14ac:dyDescent="0.2">
      <c r="A226" t="s">
        <v>484</v>
      </c>
      <c r="B226">
        <v>3522901</v>
      </c>
      <c r="C226" t="s">
        <v>478</v>
      </c>
      <c r="D226" s="177" t="s">
        <v>576</v>
      </c>
    </row>
    <row r="227" spans="1:4" x14ac:dyDescent="0.2">
      <c r="A227" t="s">
        <v>486</v>
      </c>
      <c r="B227">
        <v>3529001</v>
      </c>
      <c r="C227" t="s">
        <v>478</v>
      </c>
      <c r="D227" s="177" t="s">
        <v>576</v>
      </c>
    </row>
    <row r="228" spans="1:4" x14ac:dyDescent="0.2">
      <c r="A228" t="s">
        <v>491</v>
      </c>
      <c r="B228">
        <v>3542401</v>
      </c>
      <c r="C228" t="s">
        <v>478</v>
      </c>
      <c r="D228" s="177" t="s">
        <v>576</v>
      </c>
    </row>
    <row r="229" spans="1:4" x14ac:dyDescent="0.2">
      <c r="A229" t="s">
        <v>488</v>
      </c>
      <c r="B229">
        <v>3532301</v>
      </c>
      <c r="C229" t="s">
        <v>478</v>
      </c>
      <c r="D229" s="177" t="s">
        <v>576</v>
      </c>
    </row>
    <row r="230" spans="1:4" x14ac:dyDescent="0.2">
      <c r="A230" t="s">
        <v>481</v>
      </c>
      <c r="B230">
        <v>3516301</v>
      </c>
      <c r="C230" t="s">
        <v>478</v>
      </c>
      <c r="D230" s="177" t="s">
        <v>576</v>
      </c>
    </row>
    <row r="231" spans="1:4" x14ac:dyDescent="0.2">
      <c r="A231" t="s">
        <v>284</v>
      </c>
      <c r="B231">
        <v>4334701</v>
      </c>
      <c r="C231" t="s">
        <v>130</v>
      </c>
      <c r="D231" s="177" t="s">
        <v>576</v>
      </c>
    </row>
    <row r="232" spans="1:4" x14ac:dyDescent="0.2">
      <c r="A232" t="s">
        <v>285</v>
      </c>
      <c r="B232">
        <v>2041001</v>
      </c>
      <c r="C232" t="s">
        <v>210</v>
      </c>
      <c r="D232" s="177" t="s">
        <v>576</v>
      </c>
    </row>
    <row r="233" spans="1:4" x14ac:dyDescent="0.2">
      <c r="A233" t="s">
        <v>474</v>
      </c>
      <c r="B233">
        <v>3425901</v>
      </c>
      <c r="C233" t="s">
        <v>457</v>
      </c>
      <c r="D233" s="177" t="s">
        <v>583</v>
      </c>
    </row>
    <row r="234" spans="1:4" x14ac:dyDescent="0.2">
      <c r="A234" t="s">
        <v>286</v>
      </c>
      <c r="B234">
        <v>3131001</v>
      </c>
      <c r="C234" t="s">
        <v>146</v>
      </c>
      <c r="D234" s="177" t="s">
        <v>576</v>
      </c>
    </row>
    <row r="235" spans="1:4" x14ac:dyDescent="0.2">
      <c r="A235" t="s">
        <v>287</v>
      </c>
      <c r="B235">
        <v>3127401</v>
      </c>
      <c r="C235" t="s">
        <v>146</v>
      </c>
      <c r="D235" s="177" t="s">
        <v>576</v>
      </c>
    </row>
    <row r="236" spans="1:4" x14ac:dyDescent="0.2">
      <c r="A236" t="s">
        <v>288</v>
      </c>
      <c r="B236">
        <v>3131101</v>
      </c>
      <c r="C236" t="s">
        <v>146</v>
      </c>
      <c r="D236" s="177" t="s">
        <v>576</v>
      </c>
    </row>
    <row r="237" spans="1:4" x14ac:dyDescent="0.2">
      <c r="A237" t="s">
        <v>289</v>
      </c>
      <c r="B237">
        <v>3327701</v>
      </c>
      <c r="C237" t="s">
        <v>146</v>
      </c>
      <c r="D237" s="177" t="s">
        <v>576</v>
      </c>
    </row>
    <row r="238" spans="1:4" x14ac:dyDescent="0.2">
      <c r="A238" t="s">
        <v>440</v>
      </c>
      <c r="B238">
        <v>3023201</v>
      </c>
      <c r="C238" t="s">
        <v>420</v>
      </c>
      <c r="D238" s="177" t="s">
        <v>583</v>
      </c>
    </row>
    <row r="239" spans="1:4" x14ac:dyDescent="0.2">
      <c r="A239" t="s">
        <v>441</v>
      </c>
      <c r="B239">
        <v>3023401</v>
      </c>
      <c r="C239" t="s">
        <v>420</v>
      </c>
      <c r="D239" s="177" t="s">
        <v>576</v>
      </c>
    </row>
    <row r="240" spans="1:4" x14ac:dyDescent="0.2">
      <c r="A240" t="s">
        <v>363</v>
      </c>
      <c r="B240">
        <v>3571701</v>
      </c>
      <c r="C240" t="s">
        <v>166</v>
      </c>
      <c r="D240" s="177" t="s">
        <v>576</v>
      </c>
    </row>
    <row r="241" spans="1:4" x14ac:dyDescent="0.2">
      <c r="A241" t="s">
        <v>290</v>
      </c>
      <c r="B241">
        <v>1091301</v>
      </c>
      <c r="C241" t="s">
        <v>168</v>
      </c>
      <c r="D241" s="177" t="s">
        <v>576</v>
      </c>
    </row>
    <row r="242" spans="1:4" x14ac:dyDescent="0.2">
      <c r="A242" t="s">
        <v>291</v>
      </c>
      <c r="B242">
        <v>1078001</v>
      </c>
      <c r="C242" t="s">
        <v>168</v>
      </c>
      <c r="D242" s="177" t="s">
        <v>576</v>
      </c>
    </row>
    <row r="243" spans="1:4" x14ac:dyDescent="0.2">
      <c r="A243" t="s">
        <v>293</v>
      </c>
      <c r="B243">
        <v>4354501</v>
      </c>
      <c r="C243" t="s">
        <v>168</v>
      </c>
      <c r="D243" s="177" t="s">
        <v>576</v>
      </c>
    </row>
    <row r="244" spans="1:4" x14ac:dyDescent="0.2">
      <c r="A244" t="s">
        <v>294</v>
      </c>
      <c r="B244">
        <v>3046501</v>
      </c>
      <c r="C244" t="s">
        <v>175</v>
      </c>
      <c r="D244" s="177" t="s">
        <v>576</v>
      </c>
    </row>
    <row r="245" spans="1:4" x14ac:dyDescent="0.2">
      <c r="A245" t="s">
        <v>295</v>
      </c>
      <c r="B245">
        <v>3562001</v>
      </c>
      <c r="C245" t="s">
        <v>175</v>
      </c>
      <c r="D245" s="177" t="s">
        <v>576</v>
      </c>
    </row>
    <row r="246" spans="1:4" x14ac:dyDescent="0.2">
      <c r="A246" t="s">
        <v>402</v>
      </c>
      <c r="B246">
        <v>3410301</v>
      </c>
      <c r="C246" t="s">
        <v>121</v>
      </c>
      <c r="D246" s="177" t="s">
        <v>576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172" workbookViewId="0">
      <selection activeCell="A173" sqref="A17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297</v>
      </c>
      <c r="B1">
        <v>1289</v>
      </c>
      <c r="C1">
        <v>1568</v>
      </c>
    </row>
    <row r="2" spans="1:3" x14ac:dyDescent="0.2">
      <c r="A2" t="s">
        <v>408</v>
      </c>
      <c r="B2">
        <v>141</v>
      </c>
      <c r="C2">
        <v>162</v>
      </c>
    </row>
    <row r="3" spans="1:3" x14ac:dyDescent="0.2">
      <c r="A3" t="s">
        <v>134</v>
      </c>
      <c r="B3">
        <v>85</v>
      </c>
      <c r="C3">
        <v>94</v>
      </c>
    </row>
    <row r="4" spans="1:3" x14ac:dyDescent="0.2">
      <c r="A4" t="s">
        <v>419</v>
      </c>
      <c r="B4">
        <v>0</v>
      </c>
      <c r="C4">
        <v>0</v>
      </c>
    </row>
    <row r="5" spans="1:3" x14ac:dyDescent="0.2">
      <c r="A5" t="s">
        <v>421</v>
      </c>
      <c r="B5">
        <v>0</v>
      </c>
      <c r="C5">
        <v>0</v>
      </c>
    </row>
    <row r="6" spans="1:3" x14ac:dyDescent="0.2">
      <c r="A6" t="s">
        <v>422</v>
      </c>
      <c r="B6">
        <v>374</v>
      </c>
      <c r="C6">
        <v>416</v>
      </c>
    </row>
    <row r="7" spans="1:3" x14ac:dyDescent="0.2">
      <c r="A7" t="s">
        <v>391</v>
      </c>
      <c r="B7">
        <v>131</v>
      </c>
      <c r="C7">
        <v>134</v>
      </c>
    </row>
    <row r="8" spans="1:3" x14ac:dyDescent="0.2">
      <c r="A8" t="s">
        <v>393</v>
      </c>
      <c r="B8">
        <v>26</v>
      </c>
      <c r="C8">
        <v>27</v>
      </c>
    </row>
    <row r="9" spans="1:3" x14ac:dyDescent="0.2">
      <c r="A9" t="s">
        <v>423</v>
      </c>
      <c r="B9">
        <v>0</v>
      </c>
      <c r="C9">
        <v>0</v>
      </c>
    </row>
    <row r="10" spans="1:3" x14ac:dyDescent="0.2">
      <c r="A10" t="s">
        <v>428</v>
      </c>
      <c r="B10">
        <v>0</v>
      </c>
      <c r="C10">
        <v>0</v>
      </c>
    </row>
    <row r="11" spans="1:3" x14ac:dyDescent="0.2">
      <c r="A11" t="s">
        <v>142</v>
      </c>
      <c r="B11">
        <v>514</v>
      </c>
      <c r="C11">
        <v>654</v>
      </c>
    </row>
    <row r="12" spans="1:3" x14ac:dyDescent="0.2">
      <c r="A12" t="s">
        <v>394</v>
      </c>
      <c r="B12">
        <v>610</v>
      </c>
      <c r="C12">
        <v>627</v>
      </c>
    </row>
    <row r="13" spans="1:3" x14ac:dyDescent="0.2">
      <c r="A13" t="s">
        <v>144</v>
      </c>
      <c r="B13">
        <v>19</v>
      </c>
      <c r="C13">
        <v>23</v>
      </c>
    </row>
    <row r="14" spans="1:3" x14ac:dyDescent="0.2">
      <c r="A14" t="s">
        <v>584</v>
      </c>
      <c r="B14">
        <v>97</v>
      </c>
      <c r="C14">
        <v>107</v>
      </c>
    </row>
    <row r="15" spans="1:3" x14ac:dyDescent="0.2">
      <c r="A15" t="s">
        <v>145</v>
      </c>
      <c r="B15">
        <v>16</v>
      </c>
      <c r="C15">
        <v>20</v>
      </c>
    </row>
    <row r="16" spans="1:3" x14ac:dyDescent="0.2">
      <c r="A16" t="s">
        <v>458</v>
      </c>
      <c r="B16">
        <v>238</v>
      </c>
      <c r="C16">
        <v>347</v>
      </c>
    </row>
    <row r="17" spans="1:3" x14ac:dyDescent="0.2">
      <c r="A17" t="s">
        <v>147</v>
      </c>
      <c r="B17">
        <v>6</v>
      </c>
      <c r="C17">
        <v>10</v>
      </c>
    </row>
    <row r="18" spans="1:3" x14ac:dyDescent="0.2">
      <c r="A18" t="s">
        <v>149</v>
      </c>
      <c r="B18">
        <v>783</v>
      </c>
      <c r="C18">
        <v>932</v>
      </c>
    </row>
    <row r="19" spans="1:3" x14ac:dyDescent="0.2">
      <c r="A19" t="s">
        <v>470</v>
      </c>
      <c r="B19">
        <v>24</v>
      </c>
      <c r="C19">
        <v>30</v>
      </c>
    </row>
    <row r="20" spans="1:3" x14ac:dyDescent="0.2">
      <c r="A20" t="s">
        <v>150</v>
      </c>
      <c r="B20">
        <v>0</v>
      </c>
      <c r="C20">
        <v>0</v>
      </c>
    </row>
    <row r="21" spans="1:3" x14ac:dyDescent="0.2">
      <c r="A21" t="s">
        <v>152</v>
      </c>
      <c r="B21">
        <v>97</v>
      </c>
      <c r="C21">
        <v>124</v>
      </c>
    </row>
    <row r="22" spans="1:3" x14ac:dyDescent="0.2">
      <c r="A22" t="s">
        <v>153</v>
      </c>
      <c r="B22">
        <v>123</v>
      </c>
      <c r="C22">
        <v>146</v>
      </c>
    </row>
    <row r="23" spans="1:3" x14ac:dyDescent="0.2">
      <c r="A23" t="s">
        <v>154</v>
      </c>
      <c r="B23">
        <v>498</v>
      </c>
      <c r="C23">
        <v>606</v>
      </c>
    </row>
    <row r="24" spans="1:3" x14ac:dyDescent="0.2">
      <c r="A24" t="s">
        <v>472</v>
      </c>
      <c r="B24">
        <v>45</v>
      </c>
      <c r="C24">
        <v>62</v>
      </c>
    </row>
    <row r="25" spans="1:3" x14ac:dyDescent="0.2">
      <c r="A25" t="s">
        <v>397</v>
      </c>
      <c r="B25">
        <v>288</v>
      </c>
      <c r="C25">
        <v>400</v>
      </c>
    </row>
    <row r="26" spans="1:3" x14ac:dyDescent="0.2">
      <c r="A26" t="s">
        <v>155</v>
      </c>
      <c r="B26">
        <v>149</v>
      </c>
      <c r="C26">
        <v>183</v>
      </c>
    </row>
    <row r="27" spans="1:3" x14ac:dyDescent="0.2">
      <c r="A27" t="s">
        <v>156</v>
      </c>
      <c r="B27">
        <v>650</v>
      </c>
      <c r="C27">
        <v>798</v>
      </c>
    </row>
    <row r="28" spans="1:3" x14ac:dyDescent="0.2">
      <c r="A28" t="s">
        <v>157</v>
      </c>
      <c r="B28">
        <v>240</v>
      </c>
      <c r="C28">
        <v>317</v>
      </c>
    </row>
    <row r="29" spans="1:3" x14ac:dyDescent="0.2">
      <c r="A29" t="s">
        <v>475</v>
      </c>
      <c r="B29">
        <v>0</v>
      </c>
      <c r="C29">
        <v>0</v>
      </c>
    </row>
    <row r="30" spans="1:3" x14ac:dyDescent="0.2">
      <c r="A30" t="s">
        <v>299</v>
      </c>
      <c r="B30">
        <v>111</v>
      </c>
      <c r="C30">
        <v>140</v>
      </c>
    </row>
    <row r="31" spans="1:3" x14ac:dyDescent="0.2">
      <c r="A31" t="s">
        <v>158</v>
      </c>
      <c r="B31">
        <v>0</v>
      </c>
      <c r="C31">
        <v>0</v>
      </c>
    </row>
    <row r="32" spans="1:3" x14ac:dyDescent="0.2">
      <c r="A32" t="s">
        <v>477</v>
      </c>
      <c r="B32">
        <v>982</v>
      </c>
      <c r="C32">
        <v>1175</v>
      </c>
    </row>
    <row r="33" spans="1:3" x14ac:dyDescent="0.2">
      <c r="A33" t="s">
        <v>159</v>
      </c>
      <c r="B33">
        <v>553</v>
      </c>
      <c r="C33">
        <v>692</v>
      </c>
    </row>
    <row r="34" spans="1:3" x14ac:dyDescent="0.2">
      <c r="A34" t="s">
        <v>161</v>
      </c>
      <c r="B34">
        <v>343</v>
      </c>
      <c r="C34">
        <v>413</v>
      </c>
    </row>
    <row r="35" spans="1:3" x14ac:dyDescent="0.2">
      <c r="A35" t="s">
        <v>162</v>
      </c>
      <c r="B35">
        <v>47</v>
      </c>
      <c r="C35">
        <v>57</v>
      </c>
    </row>
    <row r="36" spans="1:3" x14ac:dyDescent="0.2">
      <c r="A36" t="s">
        <v>489</v>
      </c>
      <c r="B36">
        <v>0</v>
      </c>
      <c r="C36">
        <v>0</v>
      </c>
    </row>
    <row r="37" spans="1:3" x14ac:dyDescent="0.2">
      <c r="A37" t="s">
        <v>490</v>
      </c>
      <c r="B37">
        <v>2096</v>
      </c>
      <c r="C37">
        <v>2574</v>
      </c>
    </row>
    <row r="38" spans="1:3" x14ac:dyDescent="0.2">
      <c r="A38" t="s">
        <v>165</v>
      </c>
      <c r="B38">
        <v>68</v>
      </c>
      <c r="C38">
        <v>88</v>
      </c>
    </row>
    <row r="39" spans="1:3" x14ac:dyDescent="0.2">
      <c r="A39" t="s">
        <v>494</v>
      </c>
      <c r="B39">
        <v>199</v>
      </c>
      <c r="C39">
        <v>217</v>
      </c>
    </row>
    <row r="40" spans="1:3" x14ac:dyDescent="0.2">
      <c r="A40" t="s">
        <v>495</v>
      </c>
      <c r="B40">
        <v>4</v>
      </c>
      <c r="C40">
        <v>4</v>
      </c>
    </row>
    <row r="41" spans="1:3" x14ac:dyDescent="0.2">
      <c r="A41" t="s">
        <v>167</v>
      </c>
      <c r="B41">
        <v>0</v>
      </c>
      <c r="C41">
        <v>0</v>
      </c>
    </row>
    <row r="42" spans="1:3" x14ac:dyDescent="0.2">
      <c r="A42" t="s">
        <v>169</v>
      </c>
      <c r="B42">
        <v>0</v>
      </c>
      <c r="C42">
        <v>0</v>
      </c>
    </row>
    <row r="43" spans="1:3" x14ac:dyDescent="0.2">
      <c r="A43" t="s">
        <v>496</v>
      </c>
      <c r="B43">
        <v>0</v>
      </c>
      <c r="C43">
        <v>0</v>
      </c>
    </row>
    <row r="44" spans="1:3" x14ac:dyDescent="0.2">
      <c r="A44" t="s">
        <v>114</v>
      </c>
      <c r="B44">
        <v>117</v>
      </c>
      <c r="C44">
        <v>128</v>
      </c>
    </row>
    <row r="45" spans="1:3" x14ac:dyDescent="0.2">
      <c r="A45" t="s">
        <v>170</v>
      </c>
      <c r="B45">
        <v>258</v>
      </c>
      <c r="C45">
        <v>286</v>
      </c>
    </row>
    <row r="46" spans="1:3" x14ac:dyDescent="0.2">
      <c r="A46" t="s">
        <v>171</v>
      </c>
      <c r="B46">
        <v>10</v>
      </c>
      <c r="C46">
        <v>17</v>
      </c>
    </row>
    <row r="47" spans="1:3" x14ac:dyDescent="0.2">
      <c r="A47" t="s">
        <v>174</v>
      </c>
      <c r="B47">
        <v>103</v>
      </c>
      <c r="C47">
        <v>121</v>
      </c>
    </row>
    <row r="48" spans="1:3" x14ac:dyDescent="0.2">
      <c r="A48" t="s">
        <v>176</v>
      </c>
      <c r="B48">
        <v>201</v>
      </c>
      <c r="C48">
        <v>250</v>
      </c>
    </row>
    <row r="49" spans="1:3" x14ac:dyDescent="0.2">
      <c r="A49" t="s">
        <v>355</v>
      </c>
      <c r="B49">
        <v>0</v>
      </c>
      <c r="C49">
        <v>0</v>
      </c>
    </row>
    <row r="50" spans="1:3" x14ac:dyDescent="0.2">
      <c r="A50" t="s">
        <v>300</v>
      </c>
      <c r="B50">
        <v>2</v>
      </c>
      <c r="C50">
        <v>2</v>
      </c>
    </row>
    <row r="51" spans="1:3" x14ac:dyDescent="0.2">
      <c r="A51" t="s">
        <v>360</v>
      </c>
      <c r="B51">
        <v>14</v>
      </c>
      <c r="C51">
        <v>14</v>
      </c>
    </row>
    <row r="52" spans="1:3" x14ac:dyDescent="0.2">
      <c r="A52" t="s">
        <v>362</v>
      </c>
      <c r="B52">
        <v>41</v>
      </c>
      <c r="C52">
        <v>47</v>
      </c>
    </row>
    <row r="53" spans="1:3" x14ac:dyDescent="0.2">
      <c r="A53" t="s">
        <v>356</v>
      </c>
      <c r="B53">
        <v>12</v>
      </c>
      <c r="C53">
        <v>14</v>
      </c>
    </row>
    <row r="54" spans="1:3" x14ac:dyDescent="0.2">
      <c r="A54" t="s">
        <v>50</v>
      </c>
      <c r="B54">
        <v>1525</v>
      </c>
      <c r="C54">
        <v>1922</v>
      </c>
    </row>
    <row r="55" spans="1:3" x14ac:dyDescent="0.2">
      <c r="A55" t="s">
        <v>357</v>
      </c>
      <c r="B55">
        <v>152</v>
      </c>
      <c r="C55">
        <v>188</v>
      </c>
    </row>
    <row r="56" spans="1:3" x14ac:dyDescent="0.2">
      <c r="A56" t="s">
        <v>517</v>
      </c>
      <c r="B56">
        <v>163</v>
      </c>
      <c r="C56">
        <v>190</v>
      </c>
    </row>
    <row r="57" spans="1:3" x14ac:dyDescent="0.2">
      <c r="A57" t="s">
        <v>365</v>
      </c>
      <c r="B57">
        <v>76</v>
      </c>
      <c r="C57">
        <v>82</v>
      </c>
    </row>
    <row r="58" spans="1:3" x14ac:dyDescent="0.2">
      <c r="A58" t="s">
        <v>367</v>
      </c>
      <c r="B58">
        <v>27</v>
      </c>
      <c r="C58">
        <v>31</v>
      </c>
    </row>
    <row r="59" spans="1:3" x14ac:dyDescent="0.2">
      <c r="A59" t="s">
        <v>368</v>
      </c>
      <c r="B59">
        <v>14</v>
      </c>
      <c r="C59">
        <v>13</v>
      </c>
    </row>
    <row r="60" spans="1:3" x14ac:dyDescent="0.2">
      <c r="A60" t="s">
        <v>369</v>
      </c>
      <c r="B60">
        <v>48</v>
      </c>
      <c r="C60">
        <v>53</v>
      </c>
    </row>
    <row r="61" spans="1:3" x14ac:dyDescent="0.2">
      <c r="A61" t="s">
        <v>370</v>
      </c>
      <c r="B61">
        <v>161</v>
      </c>
      <c r="C61">
        <v>182</v>
      </c>
    </row>
    <row r="62" spans="1:3" x14ac:dyDescent="0.2">
      <c r="A62" t="s">
        <v>371</v>
      </c>
      <c r="B62">
        <v>0</v>
      </c>
      <c r="C62">
        <v>0</v>
      </c>
    </row>
    <row r="63" spans="1:3" x14ac:dyDescent="0.2">
      <c r="A63" t="s">
        <v>177</v>
      </c>
      <c r="B63">
        <v>0</v>
      </c>
      <c r="C63">
        <v>0</v>
      </c>
    </row>
    <row r="64" spans="1:3" x14ac:dyDescent="0.2">
      <c r="A64" t="s">
        <v>178</v>
      </c>
      <c r="B64">
        <v>106</v>
      </c>
      <c r="C64">
        <v>120</v>
      </c>
    </row>
    <row r="65" spans="1:3" x14ac:dyDescent="0.2">
      <c r="A65" t="s">
        <v>179</v>
      </c>
      <c r="B65">
        <v>44</v>
      </c>
      <c r="C65">
        <v>50</v>
      </c>
    </row>
    <row r="66" spans="1:3" x14ac:dyDescent="0.2">
      <c r="A66" t="s">
        <v>180</v>
      </c>
      <c r="B66">
        <v>285</v>
      </c>
      <c r="C66">
        <v>320</v>
      </c>
    </row>
    <row r="67" spans="1:3" x14ac:dyDescent="0.2">
      <c r="A67" t="s">
        <v>182</v>
      </c>
      <c r="B67">
        <v>220</v>
      </c>
      <c r="C67">
        <v>274</v>
      </c>
    </row>
    <row r="68" spans="1:3" x14ac:dyDescent="0.2">
      <c r="A68" t="s">
        <v>183</v>
      </c>
      <c r="B68">
        <v>157</v>
      </c>
      <c r="C68">
        <v>174</v>
      </c>
    </row>
    <row r="69" spans="1:3" x14ac:dyDescent="0.2">
      <c r="A69" t="s">
        <v>184</v>
      </c>
      <c r="B69">
        <v>23</v>
      </c>
      <c r="C69">
        <v>26</v>
      </c>
    </row>
    <row r="70" spans="1:3" x14ac:dyDescent="0.2">
      <c r="A70" t="s">
        <v>117</v>
      </c>
      <c r="B70">
        <v>27</v>
      </c>
      <c r="C70">
        <v>29</v>
      </c>
    </row>
    <row r="71" spans="1:3" x14ac:dyDescent="0.2">
      <c r="A71" t="s">
        <v>185</v>
      </c>
      <c r="B71">
        <v>203</v>
      </c>
      <c r="C71">
        <v>235</v>
      </c>
    </row>
    <row r="72" spans="1:3" x14ac:dyDescent="0.2">
      <c r="A72" t="s">
        <v>187</v>
      </c>
      <c r="B72">
        <v>51</v>
      </c>
      <c r="C72">
        <v>71</v>
      </c>
    </row>
    <row r="73" spans="1:3" x14ac:dyDescent="0.2">
      <c r="A73" t="s">
        <v>189</v>
      </c>
      <c r="B73">
        <v>201</v>
      </c>
      <c r="C73">
        <v>232</v>
      </c>
    </row>
    <row r="74" spans="1:3" x14ac:dyDescent="0.2">
      <c r="A74" t="s">
        <v>190</v>
      </c>
      <c r="B74">
        <v>189</v>
      </c>
      <c r="C74">
        <v>219</v>
      </c>
    </row>
    <row r="75" spans="1:3" x14ac:dyDescent="0.2">
      <c r="A75" t="s">
        <v>191</v>
      </c>
      <c r="B75">
        <v>401</v>
      </c>
      <c r="C75">
        <v>445</v>
      </c>
    </row>
    <row r="76" spans="1:3" x14ac:dyDescent="0.2">
      <c r="A76" t="s">
        <v>193</v>
      </c>
      <c r="B76">
        <v>609</v>
      </c>
      <c r="C76">
        <v>672</v>
      </c>
    </row>
    <row r="77" spans="1:3" x14ac:dyDescent="0.2">
      <c r="A77" t="s">
        <v>19</v>
      </c>
      <c r="B77">
        <v>67</v>
      </c>
      <c r="C77">
        <v>71</v>
      </c>
    </row>
    <row r="78" spans="1:3" x14ac:dyDescent="0.2">
      <c r="A78" t="s">
        <v>20</v>
      </c>
      <c r="B78">
        <v>44</v>
      </c>
      <c r="C78">
        <v>54</v>
      </c>
    </row>
    <row r="79" spans="1:3" x14ac:dyDescent="0.2">
      <c r="A79" t="s">
        <v>614</v>
      </c>
      <c r="B79">
        <v>146</v>
      </c>
      <c r="C79">
        <v>155</v>
      </c>
    </row>
    <row r="80" spans="1:3" x14ac:dyDescent="0.2">
      <c r="A80" t="s">
        <v>407</v>
      </c>
      <c r="B80">
        <v>37</v>
      </c>
      <c r="C80">
        <v>40</v>
      </c>
    </row>
    <row r="81" spans="1:3" x14ac:dyDescent="0.2">
      <c r="A81" t="s">
        <v>49</v>
      </c>
      <c r="B81">
        <v>74</v>
      </c>
      <c r="C81">
        <v>76</v>
      </c>
    </row>
    <row r="82" spans="1:3" x14ac:dyDescent="0.2">
      <c r="A82" t="s">
        <v>615</v>
      </c>
      <c r="B82">
        <v>13</v>
      </c>
      <c r="C82">
        <v>14</v>
      </c>
    </row>
    <row r="83" spans="1:3" x14ac:dyDescent="0.2">
      <c r="A83" t="s">
        <v>373</v>
      </c>
      <c r="B83">
        <v>0</v>
      </c>
      <c r="C83">
        <v>0</v>
      </c>
    </row>
    <row r="84" spans="1:3" x14ac:dyDescent="0.2">
      <c r="A84" t="s">
        <v>535</v>
      </c>
      <c r="B84">
        <v>777</v>
      </c>
      <c r="C84">
        <v>804</v>
      </c>
    </row>
    <row r="85" spans="1:3" x14ac:dyDescent="0.2">
      <c r="A85" t="s">
        <v>536</v>
      </c>
      <c r="B85">
        <v>147</v>
      </c>
      <c r="C85">
        <v>155</v>
      </c>
    </row>
    <row r="86" spans="1:3" x14ac:dyDescent="0.2">
      <c r="A86" t="s">
        <v>195</v>
      </c>
      <c r="B86">
        <v>72</v>
      </c>
      <c r="C86">
        <v>81</v>
      </c>
    </row>
    <row r="87" spans="1:3" x14ac:dyDescent="0.2">
      <c r="A87" t="s">
        <v>197</v>
      </c>
      <c r="B87">
        <v>425</v>
      </c>
      <c r="C87">
        <v>562</v>
      </c>
    </row>
    <row r="88" spans="1:3" x14ac:dyDescent="0.2">
      <c r="A88" t="s">
        <v>199</v>
      </c>
      <c r="B88">
        <v>156</v>
      </c>
      <c r="C88">
        <v>180</v>
      </c>
    </row>
    <row r="89" spans="1:3" x14ac:dyDescent="0.2">
      <c r="A89" t="s">
        <v>515</v>
      </c>
      <c r="B89">
        <v>102</v>
      </c>
      <c r="C89">
        <v>117</v>
      </c>
    </row>
    <row r="90" spans="1:3" x14ac:dyDescent="0.2">
      <c r="A90" t="s">
        <v>201</v>
      </c>
      <c r="B90">
        <v>97</v>
      </c>
      <c r="C90">
        <v>130</v>
      </c>
    </row>
    <row r="91" spans="1:3" x14ac:dyDescent="0.2">
      <c r="A91" t="s">
        <v>203</v>
      </c>
      <c r="B91">
        <v>2192</v>
      </c>
      <c r="C91">
        <v>3355</v>
      </c>
    </row>
    <row r="92" spans="1:3" x14ac:dyDescent="0.2">
      <c r="A92" t="s">
        <v>205</v>
      </c>
      <c r="B92">
        <v>1399</v>
      </c>
      <c r="C92">
        <v>1739</v>
      </c>
    </row>
    <row r="93" spans="1:3" x14ac:dyDescent="0.2">
      <c r="A93" t="s">
        <v>207</v>
      </c>
      <c r="B93">
        <v>615</v>
      </c>
      <c r="C93">
        <v>744</v>
      </c>
    </row>
    <row r="94" spans="1:3" x14ac:dyDescent="0.2">
      <c r="A94" t="s">
        <v>208</v>
      </c>
      <c r="B94">
        <v>959</v>
      </c>
      <c r="C94">
        <v>1270</v>
      </c>
    </row>
    <row r="95" spans="1:3" x14ac:dyDescent="0.2">
      <c r="A95" t="s">
        <v>209</v>
      </c>
      <c r="B95">
        <v>109</v>
      </c>
      <c r="C95">
        <v>127</v>
      </c>
    </row>
    <row r="96" spans="1:3" x14ac:dyDescent="0.2">
      <c r="A96" t="s">
        <v>211</v>
      </c>
      <c r="B96">
        <v>8</v>
      </c>
      <c r="C96">
        <v>11</v>
      </c>
    </row>
    <row r="97" spans="1:3" x14ac:dyDescent="0.2">
      <c r="A97" t="s">
        <v>213</v>
      </c>
      <c r="B97">
        <v>16</v>
      </c>
      <c r="C97">
        <v>20</v>
      </c>
    </row>
    <row r="98" spans="1:3" x14ac:dyDescent="0.2">
      <c r="A98" t="s">
        <v>214</v>
      </c>
      <c r="B98">
        <v>139</v>
      </c>
      <c r="C98">
        <v>169</v>
      </c>
    </row>
    <row r="99" spans="1:3" x14ac:dyDescent="0.2">
      <c r="A99" t="s">
        <v>216</v>
      </c>
      <c r="B99">
        <v>0</v>
      </c>
      <c r="C99">
        <v>0</v>
      </c>
    </row>
    <row r="100" spans="1:3" x14ac:dyDescent="0.2">
      <c r="A100" t="s">
        <v>301</v>
      </c>
      <c r="B100">
        <v>0</v>
      </c>
      <c r="C100">
        <v>0</v>
      </c>
    </row>
    <row r="101" spans="1:3" x14ac:dyDescent="0.2">
      <c r="A101" t="s">
        <v>459</v>
      </c>
      <c r="B101">
        <v>168</v>
      </c>
      <c r="C101">
        <v>243</v>
      </c>
    </row>
    <row r="102" spans="1:3" x14ac:dyDescent="0.2">
      <c r="A102" t="s">
        <v>436</v>
      </c>
      <c r="B102">
        <v>169</v>
      </c>
      <c r="C102">
        <v>208</v>
      </c>
    </row>
    <row r="103" spans="1:3" x14ac:dyDescent="0.2">
      <c r="A103" t="s">
        <v>218</v>
      </c>
      <c r="B103">
        <v>70</v>
      </c>
      <c r="C103">
        <v>96</v>
      </c>
    </row>
    <row r="104" spans="1:3" x14ac:dyDescent="0.2">
      <c r="A104" t="s">
        <v>118</v>
      </c>
      <c r="B104">
        <v>0</v>
      </c>
      <c r="C104">
        <v>0</v>
      </c>
    </row>
    <row r="105" spans="1:3" x14ac:dyDescent="0.2">
      <c r="A105" t="s">
        <v>219</v>
      </c>
      <c r="B105">
        <v>134</v>
      </c>
      <c r="C105">
        <v>156</v>
      </c>
    </row>
    <row r="106" spans="1:3" x14ac:dyDescent="0.2">
      <c r="A106" t="s">
        <v>220</v>
      </c>
      <c r="B106">
        <v>3</v>
      </c>
      <c r="C106">
        <v>3</v>
      </c>
    </row>
    <row r="107" spans="1:3" x14ac:dyDescent="0.2">
      <c r="A107" t="s">
        <v>222</v>
      </c>
      <c r="B107">
        <v>38</v>
      </c>
      <c r="C107">
        <v>55</v>
      </c>
    </row>
    <row r="108" spans="1:3" x14ac:dyDescent="0.2">
      <c r="A108" t="s">
        <v>224</v>
      </c>
      <c r="B108">
        <v>162</v>
      </c>
      <c r="C108">
        <v>246</v>
      </c>
    </row>
    <row r="109" spans="1:3" x14ac:dyDescent="0.2">
      <c r="A109" t="s">
        <v>442</v>
      </c>
      <c r="B109">
        <v>10</v>
      </c>
      <c r="C109">
        <v>10</v>
      </c>
    </row>
    <row r="110" spans="1:3" x14ac:dyDescent="0.2">
      <c r="A110" t="s">
        <v>443</v>
      </c>
      <c r="B110">
        <v>0</v>
      </c>
      <c r="C110">
        <v>0</v>
      </c>
    </row>
    <row r="111" spans="1:3" x14ac:dyDescent="0.2">
      <c r="A111" t="s">
        <v>581</v>
      </c>
      <c r="B111">
        <v>0</v>
      </c>
      <c r="C111">
        <v>0</v>
      </c>
    </row>
    <row r="112" spans="1:3" x14ac:dyDescent="0.2">
      <c r="A112" t="s">
        <v>445</v>
      </c>
      <c r="B112">
        <v>0</v>
      </c>
      <c r="C112">
        <v>0</v>
      </c>
    </row>
    <row r="113" spans="1:3" x14ac:dyDescent="0.2">
      <c r="A113" t="s">
        <v>444</v>
      </c>
      <c r="B113">
        <v>117</v>
      </c>
      <c r="C113">
        <v>131</v>
      </c>
    </row>
    <row r="114" spans="1:3" x14ac:dyDescent="0.2">
      <c r="A114" t="s">
        <v>446</v>
      </c>
      <c r="B114">
        <v>0</v>
      </c>
      <c r="C114">
        <v>0</v>
      </c>
    </row>
    <row r="115" spans="1:3" x14ac:dyDescent="0.2">
      <c r="A115" t="s">
        <v>439</v>
      </c>
      <c r="B115">
        <v>0</v>
      </c>
      <c r="C115">
        <v>0</v>
      </c>
    </row>
    <row r="116" spans="1:3" x14ac:dyDescent="0.2">
      <c r="A116" t="s">
        <v>448</v>
      </c>
      <c r="B116">
        <v>0</v>
      </c>
      <c r="C116">
        <v>0</v>
      </c>
    </row>
    <row r="117" spans="1:3" x14ac:dyDescent="0.2">
      <c r="A117" t="s">
        <v>447</v>
      </c>
      <c r="B117">
        <v>0</v>
      </c>
      <c r="C117">
        <v>0</v>
      </c>
    </row>
    <row r="118" spans="1:3" x14ac:dyDescent="0.2">
      <c r="A118" t="s">
        <v>450</v>
      </c>
      <c r="B118">
        <v>0</v>
      </c>
      <c r="C118">
        <v>0</v>
      </c>
    </row>
    <row r="119" spans="1:3" x14ac:dyDescent="0.2">
      <c r="A119" t="s">
        <v>463</v>
      </c>
      <c r="B119">
        <v>0</v>
      </c>
      <c r="C119">
        <v>0</v>
      </c>
    </row>
    <row r="120" spans="1:3" x14ac:dyDescent="0.2">
      <c r="A120" t="s">
        <v>451</v>
      </c>
      <c r="B120">
        <v>0</v>
      </c>
      <c r="C120">
        <v>0</v>
      </c>
    </row>
    <row r="121" spans="1:3" x14ac:dyDescent="0.2">
      <c r="A121" t="s">
        <v>469</v>
      </c>
      <c r="B121">
        <v>0</v>
      </c>
      <c r="C121">
        <v>0</v>
      </c>
    </row>
    <row r="122" spans="1:3" x14ac:dyDescent="0.2">
      <c r="A122" t="s">
        <v>433</v>
      </c>
      <c r="B122">
        <v>0</v>
      </c>
      <c r="C122">
        <v>0</v>
      </c>
    </row>
    <row r="123" spans="1:3" x14ac:dyDescent="0.2">
      <c r="A123" t="s">
        <v>452</v>
      </c>
      <c r="B123">
        <v>0</v>
      </c>
      <c r="C123">
        <v>0</v>
      </c>
    </row>
    <row r="124" spans="1:3" x14ac:dyDescent="0.2">
      <c r="A124" t="s">
        <v>453</v>
      </c>
      <c r="B124">
        <v>0</v>
      </c>
      <c r="C124">
        <v>0</v>
      </c>
    </row>
    <row r="125" spans="1:3" x14ac:dyDescent="0.2">
      <c r="A125" t="s">
        <v>460</v>
      </c>
      <c r="B125">
        <v>31</v>
      </c>
      <c r="C125">
        <v>58</v>
      </c>
    </row>
    <row r="126" spans="1:3" x14ac:dyDescent="0.2">
      <c r="A126" t="s">
        <v>225</v>
      </c>
      <c r="B126">
        <v>248</v>
      </c>
      <c r="C126">
        <v>332</v>
      </c>
    </row>
    <row r="127" spans="1:3" x14ac:dyDescent="0.2">
      <c r="A127" t="s">
        <v>226</v>
      </c>
      <c r="B127">
        <v>26</v>
      </c>
      <c r="C127">
        <v>32</v>
      </c>
    </row>
    <row r="128" spans="1:3" x14ac:dyDescent="0.2">
      <c r="A128" t="s">
        <v>227</v>
      </c>
      <c r="B128">
        <v>316</v>
      </c>
      <c r="C128">
        <v>500</v>
      </c>
    </row>
    <row r="129" spans="1:3" x14ac:dyDescent="0.2">
      <c r="A129" t="s">
        <v>228</v>
      </c>
      <c r="B129">
        <v>134</v>
      </c>
      <c r="C129">
        <v>246</v>
      </c>
    </row>
    <row r="130" spans="1:3" x14ac:dyDescent="0.2">
      <c r="A130" t="s">
        <v>229</v>
      </c>
      <c r="B130">
        <v>55</v>
      </c>
      <c r="C130">
        <v>82</v>
      </c>
    </row>
    <row r="131" spans="1:3" x14ac:dyDescent="0.2">
      <c r="A131" t="s">
        <v>230</v>
      </c>
      <c r="B131">
        <v>0</v>
      </c>
      <c r="C131">
        <v>0</v>
      </c>
    </row>
    <row r="132" spans="1:3" x14ac:dyDescent="0.2">
      <c r="A132" t="s">
        <v>231</v>
      </c>
      <c r="B132">
        <v>299</v>
      </c>
      <c r="C132">
        <v>519</v>
      </c>
    </row>
    <row r="133" spans="1:3" x14ac:dyDescent="0.2">
      <c r="A133" t="s">
        <v>464</v>
      </c>
      <c r="B133">
        <v>489</v>
      </c>
      <c r="C133">
        <v>627</v>
      </c>
    </row>
    <row r="134" spans="1:3" x14ac:dyDescent="0.2">
      <c r="A134" t="s">
        <v>456</v>
      </c>
      <c r="B134">
        <v>1106</v>
      </c>
      <c r="C134">
        <v>1633</v>
      </c>
    </row>
    <row r="135" spans="1:3" x14ac:dyDescent="0.2">
      <c r="A135" t="s">
        <v>516</v>
      </c>
      <c r="B135">
        <v>272</v>
      </c>
      <c r="C135">
        <v>311</v>
      </c>
    </row>
    <row r="136" spans="1:3" x14ac:dyDescent="0.2">
      <c r="A136" t="s">
        <v>518</v>
      </c>
      <c r="B136">
        <v>532</v>
      </c>
      <c r="C136">
        <v>606</v>
      </c>
    </row>
    <row r="137" spans="1:3" x14ac:dyDescent="0.2">
      <c r="A137" t="s">
        <v>519</v>
      </c>
      <c r="B137">
        <v>756</v>
      </c>
      <c r="C137">
        <v>873</v>
      </c>
    </row>
    <row r="138" spans="1:3" x14ac:dyDescent="0.2">
      <c r="A138" t="s">
        <v>505</v>
      </c>
      <c r="B138">
        <v>142</v>
      </c>
      <c r="C138">
        <v>164</v>
      </c>
    </row>
    <row r="139" spans="1:3" x14ac:dyDescent="0.2">
      <c r="A139" t="s">
        <v>520</v>
      </c>
      <c r="B139">
        <v>318</v>
      </c>
      <c r="C139">
        <v>362</v>
      </c>
    </row>
    <row r="140" spans="1:3" x14ac:dyDescent="0.2">
      <c r="A140" t="s">
        <v>504</v>
      </c>
      <c r="B140">
        <v>369</v>
      </c>
      <c r="C140">
        <v>434</v>
      </c>
    </row>
    <row r="141" spans="1:3" x14ac:dyDescent="0.2">
      <c r="A141" t="s">
        <v>501</v>
      </c>
      <c r="B141">
        <v>270</v>
      </c>
      <c r="C141">
        <v>312</v>
      </c>
    </row>
    <row r="142" spans="1:3" x14ac:dyDescent="0.2">
      <c r="A142" t="s">
        <v>521</v>
      </c>
      <c r="B142">
        <v>566</v>
      </c>
      <c r="C142">
        <v>648</v>
      </c>
    </row>
    <row r="143" spans="1:3" x14ac:dyDescent="0.2">
      <c r="A143" t="s">
        <v>522</v>
      </c>
      <c r="B143">
        <v>842</v>
      </c>
      <c r="C143">
        <v>976</v>
      </c>
    </row>
    <row r="144" spans="1:3" x14ac:dyDescent="0.2">
      <c r="A144" t="s">
        <v>508</v>
      </c>
      <c r="B144">
        <v>632</v>
      </c>
      <c r="C144">
        <v>716</v>
      </c>
    </row>
    <row r="145" spans="1:3" x14ac:dyDescent="0.2">
      <c r="A145" t="s">
        <v>509</v>
      </c>
      <c r="B145">
        <v>314</v>
      </c>
      <c r="C145">
        <v>347</v>
      </c>
    </row>
    <row r="146" spans="1:3" x14ac:dyDescent="0.2">
      <c r="A146" t="s">
        <v>513</v>
      </c>
      <c r="B146">
        <v>372</v>
      </c>
      <c r="C146">
        <v>435</v>
      </c>
    </row>
    <row r="147" spans="1:3" x14ac:dyDescent="0.2">
      <c r="A147" t="s">
        <v>512</v>
      </c>
      <c r="B147">
        <v>468</v>
      </c>
      <c r="C147">
        <v>561</v>
      </c>
    </row>
    <row r="148" spans="1:3" x14ac:dyDescent="0.2">
      <c r="A148" t="s">
        <v>511</v>
      </c>
      <c r="B148">
        <v>177</v>
      </c>
      <c r="C148">
        <v>206</v>
      </c>
    </row>
    <row r="149" spans="1:3" x14ac:dyDescent="0.2">
      <c r="A149" t="s">
        <v>395</v>
      </c>
      <c r="B149">
        <v>0</v>
      </c>
      <c r="C149">
        <v>0</v>
      </c>
    </row>
    <row r="150" spans="1:3" x14ac:dyDescent="0.2">
      <c r="A150" t="s">
        <v>396</v>
      </c>
      <c r="B150">
        <v>0</v>
      </c>
      <c r="C150">
        <v>0</v>
      </c>
    </row>
    <row r="151" spans="1:3" x14ac:dyDescent="0.2">
      <c r="A151" t="s">
        <v>449</v>
      </c>
      <c r="B151">
        <v>281</v>
      </c>
      <c r="C151">
        <v>311</v>
      </c>
    </row>
    <row r="152" spans="1:3" x14ac:dyDescent="0.2">
      <c r="A152" t="s">
        <v>466</v>
      </c>
      <c r="B152">
        <v>0</v>
      </c>
      <c r="C152">
        <v>0</v>
      </c>
    </row>
    <row r="153" spans="1:3" x14ac:dyDescent="0.2">
      <c r="A153" t="s">
        <v>232</v>
      </c>
      <c r="B153">
        <v>24</v>
      </c>
      <c r="C153">
        <v>28</v>
      </c>
    </row>
    <row r="154" spans="1:3" x14ac:dyDescent="0.2">
      <c r="A154" t="s">
        <v>304</v>
      </c>
      <c r="B154">
        <v>0</v>
      </c>
      <c r="C154">
        <v>0</v>
      </c>
    </row>
    <row r="155" spans="1:3" x14ac:dyDescent="0.2">
      <c r="A155" t="s">
        <v>233</v>
      </c>
      <c r="B155">
        <v>0</v>
      </c>
      <c r="C155">
        <v>0</v>
      </c>
    </row>
    <row r="156" spans="1:3" x14ac:dyDescent="0.2">
      <c r="A156" t="s">
        <v>398</v>
      </c>
      <c r="B156">
        <v>357</v>
      </c>
      <c r="C156">
        <v>426</v>
      </c>
    </row>
    <row r="157" spans="1:3" x14ac:dyDescent="0.2">
      <c r="A157" t="s">
        <v>399</v>
      </c>
      <c r="B157">
        <v>164</v>
      </c>
      <c r="C157">
        <v>208</v>
      </c>
    </row>
    <row r="158" spans="1:3" x14ac:dyDescent="0.2">
      <c r="A158" t="s">
        <v>234</v>
      </c>
      <c r="B158">
        <v>369</v>
      </c>
      <c r="C158">
        <v>462</v>
      </c>
    </row>
    <row r="159" spans="1:3" x14ac:dyDescent="0.2">
      <c r="A159" t="s">
        <v>235</v>
      </c>
      <c r="B159">
        <v>186</v>
      </c>
      <c r="C159">
        <v>229</v>
      </c>
    </row>
    <row r="160" spans="1:3" x14ac:dyDescent="0.2">
      <c r="A160" t="s">
        <v>236</v>
      </c>
      <c r="B160">
        <v>0</v>
      </c>
      <c r="C160">
        <v>0</v>
      </c>
    </row>
    <row r="161" spans="1:3" x14ac:dyDescent="0.2">
      <c r="A161" t="s">
        <v>237</v>
      </c>
      <c r="B161">
        <v>78</v>
      </c>
      <c r="C161">
        <v>101</v>
      </c>
    </row>
    <row r="162" spans="1:3" x14ac:dyDescent="0.2">
      <c r="A162" t="s">
        <v>238</v>
      </c>
      <c r="B162">
        <v>518</v>
      </c>
      <c r="C162">
        <v>649</v>
      </c>
    </row>
    <row r="163" spans="1:3" x14ac:dyDescent="0.2">
      <c r="A163" t="s">
        <v>239</v>
      </c>
      <c r="B163">
        <v>1113</v>
      </c>
      <c r="C163">
        <v>1334</v>
      </c>
    </row>
    <row r="164" spans="1:3" x14ac:dyDescent="0.2">
      <c r="A164" t="s">
        <v>240</v>
      </c>
      <c r="B164">
        <v>513</v>
      </c>
      <c r="C164">
        <v>719</v>
      </c>
    </row>
    <row r="165" spans="1:3" x14ac:dyDescent="0.2">
      <c r="A165" t="s">
        <v>241</v>
      </c>
      <c r="B165">
        <v>2070</v>
      </c>
      <c r="C165">
        <v>2729</v>
      </c>
    </row>
    <row r="166" spans="1:3" x14ac:dyDescent="0.2">
      <c r="A166" t="s">
        <v>400</v>
      </c>
      <c r="B166">
        <v>0</v>
      </c>
      <c r="C166">
        <v>0</v>
      </c>
    </row>
    <row r="167" spans="1:3" x14ac:dyDescent="0.2">
      <c r="A167" t="s">
        <v>245</v>
      </c>
      <c r="B167">
        <v>60</v>
      </c>
      <c r="C167">
        <v>69</v>
      </c>
    </row>
    <row r="168" spans="1:3" x14ac:dyDescent="0.2">
      <c r="A168" t="s">
        <v>432</v>
      </c>
      <c r="B168">
        <v>31</v>
      </c>
      <c r="C168">
        <v>51</v>
      </c>
    </row>
    <row r="169" spans="1:3" x14ac:dyDescent="0.2">
      <c r="A169" t="s">
        <v>403</v>
      </c>
      <c r="B169">
        <v>173</v>
      </c>
      <c r="C169">
        <v>211</v>
      </c>
    </row>
    <row r="170" spans="1:3" x14ac:dyDescent="0.2">
      <c r="A170" t="s">
        <v>246</v>
      </c>
      <c r="B170">
        <v>279</v>
      </c>
      <c r="C170">
        <v>339</v>
      </c>
    </row>
    <row r="171" spans="1:3" x14ac:dyDescent="0.2">
      <c r="A171" t="s">
        <v>405</v>
      </c>
      <c r="B171">
        <v>312</v>
      </c>
      <c r="C171">
        <v>443</v>
      </c>
    </row>
    <row r="172" spans="1:3" x14ac:dyDescent="0.2">
      <c r="A172" t="s">
        <v>247</v>
      </c>
      <c r="B172">
        <v>164</v>
      </c>
      <c r="C172">
        <v>203</v>
      </c>
    </row>
    <row r="173" spans="1:3" x14ac:dyDescent="0.2">
      <c r="A173" t="s">
        <v>454</v>
      </c>
      <c r="B173">
        <v>8149</v>
      </c>
      <c r="C173">
        <v>11105</v>
      </c>
    </row>
    <row r="174" spans="1:3" x14ac:dyDescent="0.2">
      <c r="A174" t="s">
        <v>248</v>
      </c>
      <c r="B174">
        <v>103</v>
      </c>
      <c r="C174">
        <v>128</v>
      </c>
    </row>
    <row r="175" spans="1:3" x14ac:dyDescent="0.2">
      <c r="A175" t="s">
        <v>305</v>
      </c>
      <c r="B175">
        <v>4</v>
      </c>
      <c r="C175">
        <v>6</v>
      </c>
    </row>
    <row r="176" spans="1:3" x14ac:dyDescent="0.2">
      <c r="A176" t="s">
        <v>250</v>
      </c>
      <c r="B176">
        <v>0</v>
      </c>
      <c r="C176">
        <v>0</v>
      </c>
    </row>
    <row r="177" spans="1:3" x14ac:dyDescent="0.2">
      <c r="A177" t="s">
        <v>503</v>
      </c>
      <c r="B177">
        <v>1301</v>
      </c>
      <c r="C177">
        <v>1534</v>
      </c>
    </row>
    <row r="178" spans="1:3" x14ac:dyDescent="0.2">
      <c r="A178" t="s">
        <v>306</v>
      </c>
      <c r="B178">
        <v>213</v>
      </c>
      <c r="C178">
        <v>269</v>
      </c>
    </row>
    <row r="179" spans="1:3" x14ac:dyDescent="0.2">
      <c r="A179" t="s">
        <v>401</v>
      </c>
      <c r="B179">
        <v>185</v>
      </c>
      <c r="C179">
        <v>253</v>
      </c>
    </row>
    <row r="180" spans="1:3" x14ac:dyDescent="0.2">
      <c r="A180" t="s">
        <v>251</v>
      </c>
      <c r="B180">
        <v>0</v>
      </c>
      <c r="C180">
        <v>0</v>
      </c>
    </row>
    <row r="181" spans="1:3" x14ac:dyDescent="0.2">
      <c r="A181" t="s">
        <v>253</v>
      </c>
      <c r="B181">
        <v>6</v>
      </c>
      <c r="C181">
        <v>10</v>
      </c>
    </row>
    <row r="182" spans="1:3" x14ac:dyDescent="0.2">
      <c r="A182" t="s">
        <v>255</v>
      </c>
      <c r="B182">
        <v>440</v>
      </c>
      <c r="C182">
        <v>526</v>
      </c>
    </row>
    <row r="183" spans="1:3" x14ac:dyDescent="0.2">
      <c r="A183" t="s">
        <v>256</v>
      </c>
      <c r="B183">
        <v>62</v>
      </c>
      <c r="C183">
        <v>86</v>
      </c>
    </row>
    <row r="184" spans="1:3" x14ac:dyDescent="0.2">
      <c r="A184" t="s">
        <v>258</v>
      </c>
      <c r="B184">
        <v>0</v>
      </c>
      <c r="C184">
        <v>0</v>
      </c>
    </row>
    <row r="185" spans="1:3" x14ac:dyDescent="0.2">
      <c r="A185" t="s">
        <v>260</v>
      </c>
      <c r="B185">
        <v>478</v>
      </c>
      <c r="C185">
        <v>607</v>
      </c>
    </row>
    <row r="186" spans="1:3" x14ac:dyDescent="0.2">
      <c r="A186" t="s">
        <v>262</v>
      </c>
      <c r="B186">
        <v>45</v>
      </c>
      <c r="C186">
        <v>55</v>
      </c>
    </row>
    <row r="187" spans="1:3" x14ac:dyDescent="0.2">
      <c r="A187" t="s">
        <v>263</v>
      </c>
      <c r="B187">
        <v>41</v>
      </c>
      <c r="C187">
        <v>50</v>
      </c>
    </row>
    <row r="188" spans="1:3" x14ac:dyDescent="0.2">
      <c r="A188" t="s">
        <v>125</v>
      </c>
      <c r="B188">
        <v>310</v>
      </c>
      <c r="C188">
        <v>320</v>
      </c>
    </row>
    <row r="189" spans="1:3" x14ac:dyDescent="0.2">
      <c r="A189" t="s">
        <v>430</v>
      </c>
      <c r="B189">
        <v>476</v>
      </c>
      <c r="C189">
        <v>594</v>
      </c>
    </row>
    <row r="190" spans="1:3" x14ac:dyDescent="0.2">
      <c r="A190" t="s">
        <v>127</v>
      </c>
      <c r="B190">
        <v>430</v>
      </c>
      <c r="C190">
        <v>471</v>
      </c>
    </row>
    <row r="191" spans="1:3" x14ac:dyDescent="0.2">
      <c r="A191" t="s">
        <v>264</v>
      </c>
      <c r="B191">
        <v>0</v>
      </c>
      <c r="C191">
        <v>0</v>
      </c>
    </row>
    <row r="192" spans="1:3" x14ac:dyDescent="0.2">
      <c r="A192" t="s">
        <v>265</v>
      </c>
      <c r="B192">
        <v>57</v>
      </c>
      <c r="C192">
        <v>66</v>
      </c>
    </row>
    <row r="193" spans="1:3" x14ac:dyDescent="0.2">
      <c r="A193" t="s">
        <v>266</v>
      </c>
      <c r="B193">
        <v>52</v>
      </c>
      <c r="C193">
        <v>61</v>
      </c>
    </row>
    <row r="194" spans="1:3" x14ac:dyDescent="0.2">
      <c r="A194" t="s">
        <v>123</v>
      </c>
      <c r="B194">
        <v>834</v>
      </c>
      <c r="C194">
        <v>934</v>
      </c>
    </row>
    <row r="195" spans="1:3" x14ac:dyDescent="0.2">
      <c r="A195" t="s">
        <v>267</v>
      </c>
      <c r="B195">
        <v>0</v>
      </c>
      <c r="C195">
        <v>0</v>
      </c>
    </row>
    <row r="196" spans="1:3" x14ac:dyDescent="0.2">
      <c r="A196" t="s">
        <v>268</v>
      </c>
      <c r="B196">
        <v>48</v>
      </c>
      <c r="C196">
        <v>56</v>
      </c>
    </row>
    <row r="197" spans="1:3" x14ac:dyDescent="0.2">
      <c r="A197" t="s">
        <v>269</v>
      </c>
      <c r="B197">
        <v>116</v>
      </c>
      <c r="C197">
        <v>134</v>
      </c>
    </row>
    <row r="198" spans="1:3" x14ac:dyDescent="0.2">
      <c r="A198" t="s">
        <v>270</v>
      </c>
      <c r="B198">
        <v>70</v>
      </c>
      <c r="C198">
        <v>97</v>
      </c>
    </row>
    <row r="199" spans="1:3" x14ac:dyDescent="0.2">
      <c r="A199" t="s">
        <v>434</v>
      </c>
      <c r="B199">
        <v>762</v>
      </c>
      <c r="C199">
        <v>959</v>
      </c>
    </row>
    <row r="200" spans="1:3" x14ac:dyDescent="0.2">
      <c r="A200" t="s">
        <v>271</v>
      </c>
      <c r="B200">
        <v>211</v>
      </c>
      <c r="C200">
        <v>275</v>
      </c>
    </row>
    <row r="201" spans="1:3" x14ac:dyDescent="0.2">
      <c r="A201" t="s">
        <v>273</v>
      </c>
      <c r="B201">
        <v>501</v>
      </c>
      <c r="C201">
        <v>637</v>
      </c>
    </row>
    <row r="202" spans="1:3" x14ac:dyDescent="0.2">
      <c r="A202" t="s">
        <v>274</v>
      </c>
      <c r="B202">
        <v>1057</v>
      </c>
      <c r="C202">
        <v>1281</v>
      </c>
    </row>
    <row r="203" spans="1:3" x14ac:dyDescent="0.2">
      <c r="A203" t="s">
        <v>275</v>
      </c>
      <c r="B203">
        <v>271</v>
      </c>
      <c r="C203">
        <v>286</v>
      </c>
    </row>
    <row r="204" spans="1:3" x14ac:dyDescent="0.2">
      <c r="A204" t="s">
        <v>129</v>
      </c>
      <c r="B204">
        <v>715</v>
      </c>
      <c r="C204">
        <v>730</v>
      </c>
    </row>
    <row r="205" spans="1:3" x14ac:dyDescent="0.2">
      <c r="A205" t="s">
        <v>307</v>
      </c>
      <c r="B205">
        <v>320</v>
      </c>
      <c r="C205">
        <v>455</v>
      </c>
    </row>
    <row r="206" spans="1:3" x14ac:dyDescent="0.2">
      <c r="A206" t="s">
        <v>276</v>
      </c>
      <c r="B206">
        <v>246</v>
      </c>
      <c r="C206">
        <v>304</v>
      </c>
    </row>
    <row r="207" spans="1:3" x14ac:dyDescent="0.2">
      <c r="A207" t="s">
        <v>277</v>
      </c>
      <c r="B207">
        <v>114</v>
      </c>
      <c r="C207">
        <v>127</v>
      </c>
    </row>
    <row r="208" spans="1:3" x14ac:dyDescent="0.2">
      <c r="A208" t="s">
        <v>278</v>
      </c>
      <c r="B208">
        <v>32</v>
      </c>
      <c r="C208">
        <v>35</v>
      </c>
    </row>
    <row r="209" spans="1:3" x14ac:dyDescent="0.2">
      <c r="A209" t="s">
        <v>279</v>
      </c>
      <c r="B209">
        <v>286</v>
      </c>
      <c r="C209">
        <v>325</v>
      </c>
    </row>
    <row r="210" spans="1:3" x14ac:dyDescent="0.2">
      <c r="A210" t="s">
        <v>280</v>
      </c>
      <c r="B210">
        <v>0</v>
      </c>
      <c r="C210">
        <v>0</v>
      </c>
    </row>
    <row r="211" spans="1:3" x14ac:dyDescent="0.2">
      <c r="A211" t="s">
        <v>309</v>
      </c>
      <c r="B211">
        <v>235</v>
      </c>
      <c r="C211">
        <v>340</v>
      </c>
    </row>
    <row r="212" spans="1:3" x14ac:dyDescent="0.2">
      <c r="A212" t="s">
        <v>131</v>
      </c>
      <c r="B212">
        <v>98</v>
      </c>
      <c r="C212">
        <v>101</v>
      </c>
    </row>
    <row r="213" spans="1:3" x14ac:dyDescent="0.2">
      <c r="A213" t="s">
        <v>487</v>
      </c>
      <c r="B213">
        <v>356</v>
      </c>
      <c r="C213">
        <v>441</v>
      </c>
    </row>
    <row r="214" spans="1:3" x14ac:dyDescent="0.2">
      <c r="A214" t="s">
        <v>281</v>
      </c>
      <c r="B214">
        <v>267</v>
      </c>
      <c r="C214">
        <v>306</v>
      </c>
    </row>
    <row r="215" spans="1:3" x14ac:dyDescent="0.2">
      <c r="A215" t="s">
        <v>282</v>
      </c>
      <c r="B215">
        <v>105</v>
      </c>
      <c r="C215">
        <v>138</v>
      </c>
    </row>
    <row r="216" spans="1:3" x14ac:dyDescent="0.2">
      <c r="A216" t="s">
        <v>283</v>
      </c>
      <c r="B216">
        <v>239</v>
      </c>
      <c r="C216">
        <v>305</v>
      </c>
    </row>
    <row r="217" spans="1:3" x14ac:dyDescent="0.2">
      <c r="A217" t="s">
        <v>120</v>
      </c>
      <c r="B217">
        <v>0</v>
      </c>
      <c r="C217">
        <v>0</v>
      </c>
    </row>
    <row r="218" spans="1:3" x14ac:dyDescent="0.2">
      <c r="A218" t="s">
        <v>311</v>
      </c>
      <c r="B218">
        <v>591</v>
      </c>
      <c r="C218">
        <v>821</v>
      </c>
    </row>
    <row r="219" spans="1:3" x14ac:dyDescent="0.2">
      <c r="A219" t="s">
        <v>492</v>
      </c>
      <c r="B219">
        <v>130</v>
      </c>
      <c r="C219">
        <v>159</v>
      </c>
    </row>
    <row r="220" spans="1:3" x14ac:dyDescent="0.2">
      <c r="A220" t="s">
        <v>480</v>
      </c>
      <c r="B220">
        <v>1033</v>
      </c>
      <c r="C220">
        <v>1370</v>
      </c>
    </row>
    <row r="221" spans="1:3" x14ac:dyDescent="0.2">
      <c r="A221" t="s">
        <v>485</v>
      </c>
      <c r="B221">
        <v>1561</v>
      </c>
      <c r="C221">
        <v>1995</v>
      </c>
    </row>
    <row r="222" spans="1:3" x14ac:dyDescent="0.2">
      <c r="A222" t="s">
        <v>482</v>
      </c>
      <c r="B222">
        <v>848</v>
      </c>
      <c r="C222">
        <v>1057</v>
      </c>
    </row>
    <row r="223" spans="1:3" x14ac:dyDescent="0.2">
      <c r="A223" t="s">
        <v>483</v>
      </c>
      <c r="B223">
        <v>285</v>
      </c>
      <c r="C223">
        <v>349</v>
      </c>
    </row>
    <row r="224" spans="1:3" x14ac:dyDescent="0.2">
      <c r="A224" t="s">
        <v>484</v>
      </c>
      <c r="B224">
        <v>454</v>
      </c>
      <c r="C224">
        <v>574</v>
      </c>
    </row>
    <row r="225" spans="1:3" x14ac:dyDescent="0.2">
      <c r="A225" t="s">
        <v>486</v>
      </c>
      <c r="B225">
        <v>291</v>
      </c>
      <c r="C225">
        <v>358</v>
      </c>
    </row>
    <row r="226" spans="1:3" x14ac:dyDescent="0.2">
      <c r="A226" t="s">
        <v>491</v>
      </c>
      <c r="B226">
        <v>328</v>
      </c>
      <c r="C226">
        <v>395</v>
      </c>
    </row>
    <row r="227" spans="1:3" x14ac:dyDescent="0.2">
      <c r="A227" t="s">
        <v>488</v>
      </c>
      <c r="B227">
        <v>906</v>
      </c>
      <c r="C227">
        <v>1123</v>
      </c>
    </row>
    <row r="228" spans="1:3" x14ac:dyDescent="0.2">
      <c r="A228" t="s">
        <v>481</v>
      </c>
      <c r="B228">
        <v>227</v>
      </c>
      <c r="C228">
        <v>263</v>
      </c>
    </row>
    <row r="229" spans="1:3" x14ac:dyDescent="0.2">
      <c r="A229" t="s">
        <v>284</v>
      </c>
      <c r="B229">
        <v>0</v>
      </c>
      <c r="C229">
        <v>0</v>
      </c>
    </row>
    <row r="230" spans="1:3" x14ac:dyDescent="0.2">
      <c r="A230" t="s">
        <v>285</v>
      </c>
      <c r="B230">
        <v>513</v>
      </c>
      <c r="C230">
        <v>639</v>
      </c>
    </row>
    <row r="231" spans="1:3" x14ac:dyDescent="0.2">
      <c r="A231" t="s">
        <v>474</v>
      </c>
      <c r="B231">
        <v>0</v>
      </c>
      <c r="C231">
        <v>0</v>
      </c>
    </row>
    <row r="232" spans="1:3" x14ac:dyDescent="0.2">
      <c r="A232" t="s">
        <v>286</v>
      </c>
      <c r="B232">
        <v>30</v>
      </c>
      <c r="C232">
        <v>38</v>
      </c>
    </row>
    <row r="233" spans="1:3" x14ac:dyDescent="0.2">
      <c r="A233" t="s">
        <v>287</v>
      </c>
      <c r="B233">
        <v>38</v>
      </c>
      <c r="C233">
        <v>55</v>
      </c>
    </row>
    <row r="234" spans="1:3" x14ac:dyDescent="0.2">
      <c r="A234" t="s">
        <v>288</v>
      </c>
      <c r="B234">
        <v>198</v>
      </c>
      <c r="C234">
        <v>262</v>
      </c>
    </row>
    <row r="235" spans="1:3" x14ac:dyDescent="0.2">
      <c r="A235" t="s">
        <v>289</v>
      </c>
      <c r="B235">
        <v>64</v>
      </c>
      <c r="C235">
        <v>86</v>
      </c>
    </row>
    <row r="236" spans="1:3" x14ac:dyDescent="0.2">
      <c r="A236" t="s">
        <v>440</v>
      </c>
      <c r="B236">
        <v>0</v>
      </c>
      <c r="C236">
        <v>0</v>
      </c>
    </row>
    <row r="237" spans="1:3" x14ac:dyDescent="0.2">
      <c r="A237" t="s">
        <v>363</v>
      </c>
      <c r="B237">
        <v>8</v>
      </c>
      <c r="C237">
        <v>12</v>
      </c>
    </row>
    <row r="238" spans="1:3" x14ac:dyDescent="0.2">
      <c r="A238" t="s">
        <v>290</v>
      </c>
      <c r="B238">
        <v>4</v>
      </c>
      <c r="C238">
        <v>5</v>
      </c>
    </row>
    <row r="239" spans="1:3" x14ac:dyDescent="0.2">
      <c r="A239" t="s">
        <v>291</v>
      </c>
      <c r="B239">
        <v>0</v>
      </c>
      <c r="C239">
        <v>0</v>
      </c>
    </row>
    <row r="240" spans="1:3" x14ac:dyDescent="0.2">
      <c r="A240" t="s">
        <v>293</v>
      </c>
      <c r="B240">
        <v>314</v>
      </c>
      <c r="C240">
        <v>351</v>
      </c>
    </row>
    <row r="241" spans="1:3" x14ac:dyDescent="0.2">
      <c r="A241" t="s">
        <v>294</v>
      </c>
      <c r="B241">
        <v>150</v>
      </c>
      <c r="C241">
        <v>214</v>
      </c>
    </row>
    <row r="242" spans="1:3" x14ac:dyDescent="0.2">
      <c r="A242" t="s">
        <v>295</v>
      </c>
      <c r="B242">
        <v>432</v>
      </c>
      <c r="C242">
        <v>529</v>
      </c>
    </row>
    <row r="243" spans="1:3" x14ac:dyDescent="0.2">
      <c r="A243" t="s">
        <v>402</v>
      </c>
      <c r="B243">
        <v>67</v>
      </c>
      <c r="C243">
        <v>124</v>
      </c>
    </row>
    <row r="244" spans="1:3" x14ac:dyDescent="0.2">
      <c r="B244">
        <f>SUM(B1:B243)</f>
        <v>67884</v>
      </c>
      <c r="C244">
        <f>SUM(C1:C243)</f>
        <v>85254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C235" workbookViewId="0">
      <selection activeCell="C2" sqref="C2:I247"/>
    </sheetView>
  </sheetViews>
  <sheetFormatPr defaultRowHeight="12.75" x14ac:dyDescent="0.2"/>
  <cols>
    <col min="1" max="1" width="7" style="46" customWidth="1"/>
    <col min="2" max="2" width="11.28515625" style="46" customWidth="1"/>
    <col min="3" max="3" width="15.5703125" style="46" bestFit="1" customWidth="1"/>
    <col min="4" max="4" width="9.85546875" style="46" customWidth="1"/>
    <col min="5" max="5" width="30.5703125" style="46" customWidth="1"/>
    <col min="6" max="6" width="14.42578125" style="46" bestFit="1" customWidth="1"/>
    <col min="7" max="7" width="14.42578125" bestFit="1" customWidth="1"/>
    <col min="8" max="8" width="10.28515625" style="43" customWidth="1"/>
    <col min="9" max="9" width="5.5703125" customWidth="1"/>
    <col min="12" max="12" width="9.140625" hidden="1" customWidth="1"/>
    <col min="13" max="13" width="8.140625" style="122" hidden="1" customWidth="1"/>
    <col min="14" max="14" width="8" style="122" hidden="1" customWidth="1"/>
    <col min="15" max="15" width="9.140625" style="122" hidden="1" customWidth="1"/>
    <col min="16" max="16" width="9.140625" style="122"/>
    <col min="17" max="17" width="9.140625" style="43"/>
    <col min="28" max="28" width="11.5703125" style="46" customWidth="1"/>
    <col min="29" max="29" width="30.5703125" style="46" customWidth="1"/>
    <col min="30" max="30" width="20.7109375" customWidth="1"/>
  </cols>
  <sheetData>
    <row r="1" spans="1:30" x14ac:dyDescent="0.2">
      <c r="A1"/>
      <c r="B1" s="43" t="s">
        <v>413</v>
      </c>
      <c r="C1" s="44" t="s">
        <v>414</v>
      </c>
      <c r="D1" s="43" t="s">
        <v>415</v>
      </c>
      <c r="E1" s="44" t="s">
        <v>416</v>
      </c>
      <c r="J1" s="45" t="s">
        <v>417</v>
      </c>
      <c r="K1" s="45" t="s">
        <v>331</v>
      </c>
      <c r="L1" s="150" t="s">
        <v>381</v>
      </c>
      <c r="M1" s="125" t="s">
        <v>339</v>
      </c>
      <c r="N1" s="125" t="s">
        <v>341</v>
      </c>
      <c r="O1" s="125" t="s">
        <v>624</v>
      </c>
      <c r="P1" s="126" t="s">
        <v>340</v>
      </c>
      <c r="U1" t="s">
        <v>382</v>
      </c>
      <c r="V1" t="s">
        <v>383</v>
      </c>
      <c r="W1" t="s">
        <v>384</v>
      </c>
      <c r="X1" t="s">
        <v>385</v>
      </c>
      <c r="AB1" s="44"/>
      <c r="AC1" s="44"/>
    </row>
    <row r="2" spans="1:30" x14ac:dyDescent="0.2">
      <c r="A2" s="183" t="s">
        <v>554</v>
      </c>
      <c r="B2" t="s">
        <v>386</v>
      </c>
      <c r="C2" t="s">
        <v>258</v>
      </c>
      <c r="D2">
        <v>3326301</v>
      </c>
      <c r="E2" t="s">
        <v>259</v>
      </c>
      <c r="F2" s="177">
        <v>37196</v>
      </c>
      <c r="G2" s="177"/>
      <c r="H2" s="177"/>
      <c r="I2" s="177" t="s">
        <v>576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67">
        <f>VLOOKUP(I2,Retention,2,FALSE)</f>
        <v>2.2800000000000001E-2</v>
      </c>
      <c r="M2" s="127">
        <f>IF(OR(I2="TD",I2="TW"),0,J2*0.0228)</f>
        <v>0</v>
      </c>
      <c r="N2" s="127">
        <f t="shared" ref="N2:N100" si="0">IF(OR(I2="TD",I2="TW"),0,K2*0.0228)</f>
        <v>0</v>
      </c>
      <c r="O2" s="127">
        <f t="shared" ref="O2:O100" si="1">J2-ROUND(+$J2*(VLOOKUP($I2,cngded,6,FALSE)),0)</f>
        <v>0</v>
      </c>
      <c r="P2" s="127">
        <f t="shared" ref="P2:P100" si="2">K2-ROUND(+$K2*(VLOOKUP($I2,cngded,6,FALSE)),0)</f>
        <v>0</v>
      </c>
      <c r="Q2" s="43" t="str">
        <f>IF(ISNA(VLOOKUP(C2,INCNG,1,FALSE)),"--", "Y")</f>
        <v>Y</v>
      </c>
      <c r="R2" s="43">
        <f t="shared" ref="R2:R9" si="3">IF(ISNA(VLOOKUP(C2,INCNG,10,FALSE)),0,VLOOKUP(C2,INCNG,10,FALSE))</f>
        <v>0</v>
      </c>
      <c r="S2">
        <f t="shared" ref="S2:S100" si="4">+K2-R2</f>
        <v>0</v>
      </c>
      <c r="T2" s="18">
        <f>+P2-R2</f>
        <v>0</v>
      </c>
      <c r="U2" s="151">
        <f>ROUND(+$K2*(VLOOKUP($I2,Retention,2,FALSE)),0)</f>
        <v>0</v>
      </c>
      <c r="V2" s="151">
        <f>ROUND(+$K2*(VLOOKUP($I2,Retention,3,FALSE)),0)</f>
        <v>0</v>
      </c>
      <c r="W2" s="151">
        <f>ROUND(+$K2*(VLOOKUP($I2,Retention,4,FALSE)),0)</f>
        <v>0</v>
      </c>
      <c r="X2" s="151">
        <f>ROUND(+$K2*(VLOOKUP($I2,Retention,5,FALSE)),0)</f>
        <v>0</v>
      </c>
      <c r="Y2" s="18">
        <f t="shared" ref="Y2:Y100" si="5">SUM(U2:X2)</f>
        <v>0</v>
      </c>
      <c r="AB2" s="168"/>
      <c r="AC2" s="168"/>
      <c r="AD2" t="e">
        <f>VLOOKUP(AB2,INCNG,3,FALSE)</f>
        <v>#N/A</v>
      </c>
    </row>
    <row r="3" spans="1:30" x14ac:dyDescent="0.2">
      <c r="A3" s="183" t="s">
        <v>554</v>
      </c>
      <c r="B3" t="s">
        <v>386</v>
      </c>
      <c r="C3" t="s">
        <v>419</v>
      </c>
      <c r="D3">
        <v>1055201</v>
      </c>
      <c r="E3" t="s">
        <v>420</v>
      </c>
      <c r="F3" s="177">
        <v>37196</v>
      </c>
      <c r="G3" s="177"/>
      <c r="H3" s="177"/>
      <c r="I3" s="177" t="s">
        <v>576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67">
        <f t="shared" ref="L3:L101" si="7">VLOOKUP(I3,Retention,2,FALSE)</f>
        <v>2.2800000000000001E-2</v>
      </c>
      <c r="M3" s="127">
        <f t="shared" ref="M3:M101" si="8">IF(OR(I3="TD",I3="TW"),0,J3*0.0228)</f>
        <v>0</v>
      </c>
      <c r="N3" s="127">
        <f t="shared" si="0"/>
        <v>0</v>
      </c>
      <c r="O3" s="127">
        <f t="shared" si="1"/>
        <v>0</v>
      </c>
      <c r="P3" s="127">
        <f t="shared" si="2"/>
        <v>0</v>
      </c>
      <c r="Q3" s="43" t="str">
        <f t="shared" ref="Q3:Q101" si="9">IF(ISNA(VLOOKUP(C3,INCNG,1,FALSE)),"--", "Y")</f>
        <v>Y</v>
      </c>
      <c r="R3" s="43">
        <f t="shared" si="3"/>
        <v>0</v>
      </c>
      <c r="S3">
        <f t="shared" si="4"/>
        <v>0</v>
      </c>
      <c r="T3" s="18">
        <f t="shared" ref="T3:T66" si="10">+P3-R3</f>
        <v>0</v>
      </c>
      <c r="U3" s="151">
        <f t="shared" ref="U3:U101" si="11">ROUND(+$K3*(VLOOKUP($I3,Retention,2,FALSE)),0)</f>
        <v>0</v>
      </c>
      <c r="V3" s="151">
        <f t="shared" ref="V3:V101" si="12">ROUND(+$K3*(VLOOKUP($I3,Retention,3,FALSE)),0)</f>
        <v>0</v>
      </c>
      <c r="W3" s="151">
        <f t="shared" ref="W3:W101" si="13">ROUND(+$K3*(VLOOKUP($I3,Retention,4,FALSE)),0)</f>
        <v>0</v>
      </c>
      <c r="X3" s="151">
        <f t="shared" ref="X3:X101" si="14">ROUND(+$K3*(VLOOKUP($I3,Retention,5,FALSE)),0)</f>
        <v>0</v>
      </c>
      <c r="Y3" s="18">
        <f t="shared" si="5"/>
        <v>0</v>
      </c>
      <c r="AB3" s="168"/>
      <c r="AC3" s="168"/>
      <c r="AD3" t="e">
        <f t="shared" ref="AD3:AD97" si="15">VLOOKUP(AB3,INCNG,3,FALSE)</f>
        <v>#N/A</v>
      </c>
    </row>
    <row r="4" spans="1:30" x14ac:dyDescent="0.2">
      <c r="A4" s="183" t="s">
        <v>554</v>
      </c>
      <c r="B4" t="s">
        <v>386</v>
      </c>
      <c r="C4" t="s">
        <v>421</v>
      </c>
      <c r="D4">
        <v>1058501</v>
      </c>
      <c r="E4" t="s">
        <v>420</v>
      </c>
      <c r="F4" s="177">
        <v>37196</v>
      </c>
      <c r="G4" s="177"/>
      <c r="H4" s="177"/>
      <c r="I4" s="177" t="s">
        <v>576</v>
      </c>
      <c r="J4">
        <f t="shared" si="6"/>
        <v>0</v>
      </c>
      <c r="K4">
        <f t="shared" ref="K4:K69" si="16">IF(ISNA(VLOOKUP(C4,CNGx,3,0)),0,VLOOKUP(C4,CNGx,3,FALSE))</f>
        <v>0</v>
      </c>
      <c r="L4" s="67">
        <f t="shared" si="7"/>
        <v>2.2800000000000001E-2</v>
      </c>
      <c r="M4" s="127">
        <f t="shared" si="8"/>
        <v>0</v>
      </c>
      <c r="N4" s="127">
        <f t="shared" si="0"/>
        <v>0</v>
      </c>
      <c r="O4" s="127">
        <f t="shared" si="1"/>
        <v>0</v>
      </c>
      <c r="P4" s="127">
        <f t="shared" si="2"/>
        <v>0</v>
      </c>
      <c r="Q4" s="43" t="str">
        <f t="shared" si="9"/>
        <v>Y</v>
      </c>
      <c r="R4" s="43">
        <f t="shared" si="3"/>
        <v>0</v>
      </c>
      <c r="S4">
        <f t="shared" si="4"/>
        <v>0</v>
      </c>
      <c r="T4" s="18">
        <f t="shared" si="10"/>
        <v>0</v>
      </c>
      <c r="U4" s="151">
        <f t="shared" si="11"/>
        <v>0</v>
      </c>
      <c r="V4" s="151">
        <f t="shared" si="12"/>
        <v>0</v>
      </c>
      <c r="W4" s="151">
        <f t="shared" si="13"/>
        <v>0</v>
      </c>
      <c r="X4" s="151">
        <f t="shared" si="14"/>
        <v>0</v>
      </c>
      <c r="Y4" s="18">
        <f t="shared" si="5"/>
        <v>0</v>
      </c>
      <c r="AB4" s="168"/>
      <c r="AC4" s="168"/>
      <c r="AD4" t="e">
        <f t="shared" si="15"/>
        <v>#N/A</v>
      </c>
    </row>
    <row r="5" spans="1:30" x14ac:dyDescent="0.2">
      <c r="A5" s="183" t="s">
        <v>554</v>
      </c>
      <c r="B5" t="s">
        <v>386</v>
      </c>
      <c r="C5" t="s">
        <v>422</v>
      </c>
      <c r="D5">
        <v>1059901</v>
      </c>
      <c r="E5" t="s">
        <v>420</v>
      </c>
      <c r="F5" s="177">
        <v>37196</v>
      </c>
      <c r="G5" s="177"/>
      <c r="H5" s="177"/>
      <c r="I5" s="177" t="s">
        <v>576</v>
      </c>
      <c r="J5">
        <f t="shared" si="6"/>
        <v>374</v>
      </c>
      <c r="K5">
        <f>IF(ISNA(VLOOKUP(C5,CNGx,3,0)),0,VLOOKUP(C5,CNGx,3,FALSE))</f>
        <v>416</v>
      </c>
      <c r="L5" s="67">
        <f t="shared" si="7"/>
        <v>2.2800000000000001E-2</v>
      </c>
      <c r="M5" s="127">
        <f t="shared" si="8"/>
        <v>8.5272000000000006</v>
      </c>
      <c r="N5" s="127">
        <f t="shared" si="0"/>
        <v>9.4847999999999999</v>
      </c>
      <c r="O5" s="127">
        <f t="shared" si="1"/>
        <v>324</v>
      </c>
      <c r="P5" s="127">
        <f t="shared" si="2"/>
        <v>361</v>
      </c>
      <c r="Q5" s="43" t="str">
        <f t="shared" si="9"/>
        <v>Y</v>
      </c>
      <c r="R5" s="43">
        <f t="shared" si="3"/>
        <v>324</v>
      </c>
      <c r="S5">
        <f t="shared" si="4"/>
        <v>92</v>
      </c>
      <c r="T5" s="18">
        <f t="shared" si="10"/>
        <v>37</v>
      </c>
      <c r="U5" s="151">
        <f t="shared" si="11"/>
        <v>9</v>
      </c>
      <c r="V5" s="151">
        <f t="shared" si="12"/>
        <v>29</v>
      </c>
      <c r="W5" s="151">
        <f t="shared" si="13"/>
        <v>12</v>
      </c>
      <c r="X5" s="151">
        <f t="shared" si="14"/>
        <v>4</v>
      </c>
      <c r="Y5" s="18">
        <f t="shared" si="5"/>
        <v>54</v>
      </c>
      <c r="AB5" s="168"/>
      <c r="AC5" s="168"/>
      <c r="AD5" t="e">
        <f t="shared" si="15"/>
        <v>#N/A</v>
      </c>
    </row>
    <row r="6" spans="1:30" x14ac:dyDescent="0.2">
      <c r="A6" s="183" t="s">
        <v>554</v>
      </c>
      <c r="B6" t="s">
        <v>388</v>
      </c>
      <c r="C6" t="s">
        <v>391</v>
      </c>
      <c r="D6">
        <v>1062901</v>
      </c>
      <c r="E6" t="s">
        <v>392</v>
      </c>
      <c r="F6" s="177">
        <v>37196</v>
      </c>
      <c r="G6" s="177"/>
      <c r="H6" s="177"/>
      <c r="I6" s="177" t="s">
        <v>575</v>
      </c>
      <c r="J6">
        <f t="shared" si="6"/>
        <v>131</v>
      </c>
      <c r="K6">
        <f t="shared" si="16"/>
        <v>134</v>
      </c>
      <c r="L6" s="67">
        <f t="shared" si="7"/>
        <v>2.2800000000000001E-2</v>
      </c>
      <c r="M6" s="127">
        <f t="shared" si="8"/>
        <v>2.9868000000000001</v>
      </c>
      <c r="N6" s="127">
        <f t="shared" si="0"/>
        <v>3.0552000000000001</v>
      </c>
      <c r="O6" s="127">
        <f t="shared" si="1"/>
        <v>119</v>
      </c>
      <c r="P6" s="127">
        <f t="shared" si="2"/>
        <v>121</v>
      </c>
      <c r="Q6" s="43" t="str">
        <f t="shared" si="9"/>
        <v>Y</v>
      </c>
      <c r="R6" s="43">
        <f t="shared" si="3"/>
        <v>119</v>
      </c>
      <c r="S6">
        <f t="shared" si="4"/>
        <v>15</v>
      </c>
      <c r="T6" s="18">
        <f t="shared" si="10"/>
        <v>2</v>
      </c>
      <c r="U6" s="151">
        <f t="shared" si="11"/>
        <v>3</v>
      </c>
      <c r="V6" s="151">
        <f t="shared" si="12"/>
        <v>9</v>
      </c>
      <c r="W6" s="151">
        <f t="shared" si="13"/>
        <v>0</v>
      </c>
      <c r="X6" s="151">
        <f t="shared" si="14"/>
        <v>0</v>
      </c>
      <c r="Y6" s="18">
        <f t="shared" si="5"/>
        <v>12</v>
      </c>
      <c r="AB6" s="168"/>
      <c r="AC6" s="168"/>
      <c r="AD6" t="e">
        <f t="shared" si="15"/>
        <v>#N/A</v>
      </c>
    </row>
    <row r="7" spans="1:30" x14ac:dyDescent="0.2">
      <c r="A7" s="183" t="s">
        <v>554</v>
      </c>
      <c r="B7" t="s">
        <v>388</v>
      </c>
      <c r="C7" t="s">
        <v>393</v>
      </c>
      <c r="D7">
        <v>1063001</v>
      </c>
      <c r="E7" t="s">
        <v>392</v>
      </c>
      <c r="F7" s="177">
        <v>37196</v>
      </c>
      <c r="G7" s="177"/>
      <c r="H7" s="177"/>
      <c r="I7" s="177" t="s">
        <v>575</v>
      </c>
      <c r="J7">
        <f t="shared" si="6"/>
        <v>26</v>
      </c>
      <c r="K7">
        <f t="shared" si="16"/>
        <v>27</v>
      </c>
      <c r="L7" s="67">
        <f t="shared" si="7"/>
        <v>2.2800000000000001E-2</v>
      </c>
      <c r="M7" s="127">
        <f t="shared" si="8"/>
        <v>0.59279999999999999</v>
      </c>
      <c r="N7" s="127">
        <f t="shared" si="0"/>
        <v>0.61560000000000004</v>
      </c>
      <c r="O7" s="127">
        <f t="shared" si="1"/>
        <v>24</v>
      </c>
      <c r="P7" s="127">
        <f t="shared" si="2"/>
        <v>24</v>
      </c>
      <c r="Q7" s="43" t="str">
        <f t="shared" si="9"/>
        <v>Y</v>
      </c>
      <c r="R7" s="43">
        <f t="shared" si="3"/>
        <v>24</v>
      </c>
      <c r="S7">
        <f t="shared" si="4"/>
        <v>3</v>
      </c>
      <c r="T7" s="18">
        <f t="shared" si="10"/>
        <v>0</v>
      </c>
      <c r="U7" s="151">
        <f t="shared" si="11"/>
        <v>1</v>
      </c>
      <c r="V7" s="151">
        <f t="shared" si="12"/>
        <v>2</v>
      </c>
      <c r="W7" s="151">
        <f t="shared" si="13"/>
        <v>0</v>
      </c>
      <c r="X7" s="151">
        <f t="shared" si="14"/>
        <v>0</v>
      </c>
      <c r="Y7" s="18">
        <f t="shared" si="5"/>
        <v>3</v>
      </c>
      <c r="AB7" s="168"/>
      <c r="AC7" s="168"/>
      <c r="AD7" t="e">
        <f t="shared" si="15"/>
        <v>#N/A</v>
      </c>
    </row>
    <row r="8" spans="1:30" x14ac:dyDescent="0.2">
      <c r="A8" s="183" t="s">
        <v>554</v>
      </c>
      <c r="B8" t="s">
        <v>386</v>
      </c>
      <c r="C8" t="s">
        <v>423</v>
      </c>
      <c r="D8">
        <v>1063501</v>
      </c>
      <c r="E8" t="s">
        <v>420</v>
      </c>
      <c r="F8" s="177">
        <v>37196</v>
      </c>
      <c r="G8" s="177"/>
      <c r="H8" s="177"/>
      <c r="I8" s="177" t="s">
        <v>576</v>
      </c>
      <c r="J8">
        <f t="shared" si="6"/>
        <v>0</v>
      </c>
      <c r="K8">
        <f t="shared" si="16"/>
        <v>0</v>
      </c>
      <c r="L8" s="67">
        <f t="shared" si="7"/>
        <v>2.2800000000000001E-2</v>
      </c>
      <c r="M8" s="127">
        <f t="shared" si="8"/>
        <v>0</v>
      </c>
      <c r="N8" s="127">
        <f t="shared" si="0"/>
        <v>0</v>
      </c>
      <c r="O8" s="127">
        <f t="shared" si="1"/>
        <v>0</v>
      </c>
      <c r="P8" s="127">
        <f t="shared" si="2"/>
        <v>0</v>
      </c>
      <c r="Q8" s="43" t="str">
        <f t="shared" si="9"/>
        <v>Y</v>
      </c>
      <c r="R8" s="43">
        <f t="shared" si="3"/>
        <v>0</v>
      </c>
      <c r="S8">
        <f t="shared" si="4"/>
        <v>0</v>
      </c>
      <c r="T8" s="18">
        <f t="shared" si="10"/>
        <v>0</v>
      </c>
      <c r="U8" s="151">
        <f t="shared" si="11"/>
        <v>0</v>
      </c>
      <c r="V8" s="151">
        <f t="shared" si="12"/>
        <v>0</v>
      </c>
      <c r="W8" s="151">
        <f t="shared" si="13"/>
        <v>0</v>
      </c>
      <c r="X8" s="151">
        <f t="shared" si="14"/>
        <v>0</v>
      </c>
      <c r="Y8" s="18">
        <f t="shared" si="5"/>
        <v>0</v>
      </c>
      <c r="AB8" s="168"/>
      <c r="AC8" s="168"/>
      <c r="AD8" t="e">
        <f t="shared" si="15"/>
        <v>#N/A</v>
      </c>
    </row>
    <row r="9" spans="1:30" x14ac:dyDescent="0.2">
      <c r="A9" s="183" t="s">
        <v>554</v>
      </c>
      <c r="B9" t="s">
        <v>386</v>
      </c>
      <c r="C9" t="s">
        <v>291</v>
      </c>
      <c r="D9">
        <v>1078001</v>
      </c>
      <c r="E9" t="s">
        <v>168</v>
      </c>
      <c r="F9" s="177">
        <v>37196</v>
      </c>
      <c r="G9" s="177"/>
      <c r="H9" s="177"/>
      <c r="I9" s="177" t="s">
        <v>576</v>
      </c>
      <c r="J9">
        <f t="shared" si="6"/>
        <v>0</v>
      </c>
      <c r="K9">
        <f t="shared" si="16"/>
        <v>0</v>
      </c>
      <c r="L9" s="67">
        <f t="shared" si="7"/>
        <v>2.2800000000000001E-2</v>
      </c>
      <c r="M9" s="127">
        <f t="shared" si="8"/>
        <v>0</v>
      </c>
      <c r="N9" s="127">
        <f t="shared" si="0"/>
        <v>0</v>
      </c>
      <c r="O9" s="127">
        <f t="shared" si="1"/>
        <v>0</v>
      </c>
      <c r="P9" s="127">
        <f t="shared" si="2"/>
        <v>0</v>
      </c>
      <c r="Q9" s="43" t="str">
        <f t="shared" si="9"/>
        <v>Y</v>
      </c>
      <c r="R9" s="43">
        <f t="shared" si="3"/>
        <v>0</v>
      </c>
      <c r="S9">
        <f t="shared" si="4"/>
        <v>0</v>
      </c>
      <c r="T9" s="18">
        <f t="shared" si="10"/>
        <v>0</v>
      </c>
      <c r="U9" s="151">
        <f t="shared" si="11"/>
        <v>0</v>
      </c>
      <c r="V9" s="151">
        <f t="shared" si="12"/>
        <v>0</v>
      </c>
      <c r="W9" s="151">
        <f t="shared" si="13"/>
        <v>0</v>
      </c>
      <c r="X9" s="151">
        <f t="shared" si="14"/>
        <v>0</v>
      </c>
      <c r="Y9" s="18">
        <f t="shared" si="5"/>
        <v>0</v>
      </c>
      <c r="AB9" s="168"/>
      <c r="AC9" s="168"/>
      <c r="AD9" t="e">
        <f t="shared" si="15"/>
        <v>#N/A</v>
      </c>
    </row>
    <row r="10" spans="1:30" x14ac:dyDescent="0.2">
      <c r="A10" s="183" t="s">
        <v>554</v>
      </c>
      <c r="B10" t="s">
        <v>386</v>
      </c>
      <c r="C10" t="s">
        <v>290</v>
      </c>
      <c r="D10">
        <v>1091301</v>
      </c>
      <c r="E10" t="s">
        <v>168</v>
      </c>
      <c r="F10" s="177">
        <v>37196</v>
      </c>
      <c r="G10" s="177"/>
      <c r="H10" s="177"/>
      <c r="I10" s="177" t="s">
        <v>576</v>
      </c>
      <c r="J10">
        <f t="shared" si="6"/>
        <v>4</v>
      </c>
      <c r="K10">
        <f t="shared" si="16"/>
        <v>5</v>
      </c>
      <c r="L10" s="67"/>
      <c r="M10" s="127"/>
      <c r="N10" s="127"/>
      <c r="O10" s="127"/>
      <c r="P10" s="127">
        <f t="shared" si="2"/>
        <v>4</v>
      </c>
      <c r="Q10" s="43" t="str">
        <f t="shared" ref="Q10:Q42" si="17">IF(ISNA(VLOOKUP(C10,INCNG,1,FALSE)),"--", "Y")</f>
        <v>Y</v>
      </c>
      <c r="R10" s="43">
        <f t="shared" ref="R10:R42" si="18">IF(ISNA(VLOOKUP(C10,INCNG,10,FALSE)),0,VLOOKUP(C10,INCNG,10,FALSE))</f>
        <v>0</v>
      </c>
      <c r="S10">
        <f t="shared" ref="S10:S42" si="19">+K10-R10</f>
        <v>5</v>
      </c>
      <c r="T10" s="18">
        <f t="shared" si="10"/>
        <v>4</v>
      </c>
      <c r="U10" s="151">
        <f t="shared" si="11"/>
        <v>0</v>
      </c>
      <c r="V10" s="151">
        <f t="shared" si="12"/>
        <v>0</v>
      </c>
      <c r="W10" s="151">
        <f t="shared" si="13"/>
        <v>0</v>
      </c>
      <c r="X10" s="151">
        <f t="shared" si="14"/>
        <v>0</v>
      </c>
      <c r="Y10" s="18">
        <f t="shared" ref="Y10:Y42" si="20">SUM(U10:X10)</f>
        <v>0</v>
      </c>
      <c r="AB10" s="168"/>
      <c r="AC10" s="168"/>
    </row>
    <row r="11" spans="1:30" x14ac:dyDescent="0.2">
      <c r="A11" s="183" t="s">
        <v>554</v>
      </c>
      <c r="B11" t="s">
        <v>388</v>
      </c>
      <c r="C11" t="s">
        <v>127</v>
      </c>
      <c r="D11">
        <v>2026901</v>
      </c>
      <c r="E11" t="s">
        <v>128</v>
      </c>
      <c r="F11" s="177">
        <v>37196</v>
      </c>
      <c r="G11" s="177"/>
      <c r="H11" s="177"/>
      <c r="I11" s="177" t="s">
        <v>575</v>
      </c>
      <c r="J11">
        <f t="shared" si="6"/>
        <v>430</v>
      </c>
      <c r="K11">
        <f t="shared" si="16"/>
        <v>471</v>
      </c>
      <c r="L11" s="67"/>
      <c r="M11" s="127"/>
      <c r="N11" s="127"/>
      <c r="O11" s="127"/>
      <c r="P11" s="127">
        <f t="shared" si="2"/>
        <v>427</v>
      </c>
      <c r="Q11" s="43" t="str">
        <f t="shared" si="17"/>
        <v>Y</v>
      </c>
      <c r="R11" s="43">
        <f t="shared" si="18"/>
        <v>0</v>
      </c>
      <c r="S11">
        <f t="shared" si="19"/>
        <v>471</v>
      </c>
      <c r="T11" s="18">
        <f t="shared" si="10"/>
        <v>427</v>
      </c>
      <c r="U11" s="151">
        <f t="shared" si="11"/>
        <v>11</v>
      </c>
      <c r="V11" s="151">
        <f t="shared" si="12"/>
        <v>33</v>
      </c>
      <c r="W11" s="151">
        <f t="shared" si="13"/>
        <v>0</v>
      </c>
      <c r="X11" s="151">
        <f t="shared" si="14"/>
        <v>0</v>
      </c>
      <c r="Y11" s="18">
        <f t="shared" si="20"/>
        <v>44</v>
      </c>
      <c r="AB11" s="168"/>
      <c r="AC11" s="168"/>
    </row>
    <row r="12" spans="1:30" x14ac:dyDescent="0.2">
      <c r="A12" s="183" t="s">
        <v>554</v>
      </c>
      <c r="B12" t="s">
        <v>386</v>
      </c>
      <c r="C12" t="s">
        <v>260</v>
      </c>
      <c r="D12">
        <v>2038501</v>
      </c>
      <c r="E12" t="s">
        <v>261</v>
      </c>
      <c r="F12" s="177">
        <v>37196</v>
      </c>
      <c r="G12" s="177"/>
      <c r="H12" s="177"/>
      <c r="I12" s="177" t="s">
        <v>576</v>
      </c>
      <c r="J12">
        <f t="shared" si="6"/>
        <v>478</v>
      </c>
      <c r="K12">
        <f t="shared" si="16"/>
        <v>607</v>
      </c>
      <c r="L12" s="67"/>
      <c r="M12" s="127"/>
      <c r="N12" s="127"/>
      <c r="O12" s="127"/>
      <c r="P12" s="127">
        <f t="shared" si="2"/>
        <v>527</v>
      </c>
      <c r="Q12" s="43" t="str">
        <f t="shared" si="17"/>
        <v>Y</v>
      </c>
      <c r="R12" s="43">
        <f t="shared" si="18"/>
        <v>0</v>
      </c>
      <c r="S12">
        <f t="shared" si="19"/>
        <v>607</v>
      </c>
      <c r="T12" s="18">
        <f t="shared" si="10"/>
        <v>527</v>
      </c>
      <c r="U12" s="151">
        <f t="shared" si="11"/>
        <v>14</v>
      </c>
      <c r="V12" s="151">
        <f t="shared" si="12"/>
        <v>43</v>
      </c>
      <c r="W12" s="151">
        <f t="shared" si="13"/>
        <v>18</v>
      </c>
      <c r="X12" s="151">
        <f t="shared" si="14"/>
        <v>6</v>
      </c>
      <c r="Y12" s="18">
        <f t="shared" si="20"/>
        <v>81</v>
      </c>
      <c r="AB12" s="168"/>
      <c r="AC12" s="168"/>
    </row>
    <row r="13" spans="1:30" x14ac:dyDescent="0.2">
      <c r="A13" s="183" t="s">
        <v>554</v>
      </c>
      <c r="B13" t="s">
        <v>386</v>
      </c>
      <c r="C13" t="s">
        <v>285</v>
      </c>
      <c r="D13">
        <v>2041001</v>
      </c>
      <c r="E13" t="s">
        <v>210</v>
      </c>
      <c r="F13" s="177">
        <v>37196</v>
      </c>
      <c r="G13" s="177"/>
      <c r="H13" s="177"/>
      <c r="I13" s="177" t="s">
        <v>576</v>
      </c>
      <c r="J13">
        <f t="shared" si="6"/>
        <v>513</v>
      </c>
      <c r="K13">
        <f t="shared" si="16"/>
        <v>639</v>
      </c>
      <c r="L13" s="67"/>
      <c r="M13" s="127"/>
      <c r="N13" s="127"/>
      <c r="O13" s="127"/>
      <c r="P13" s="127">
        <f t="shared" si="2"/>
        <v>554</v>
      </c>
      <c r="Q13" s="43" t="str">
        <f t="shared" si="17"/>
        <v>Y</v>
      </c>
      <c r="R13" s="43">
        <f t="shared" si="18"/>
        <v>0</v>
      </c>
      <c r="S13">
        <f t="shared" si="19"/>
        <v>639</v>
      </c>
      <c r="T13" s="18">
        <f t="shared" si="10"/>
        <v>554</v>
      </c>
      <c r="U13" s="151">
        <f t="shared" si="11"/>
        <v>15</v>
      </c>
      <c r="V13" s="151">
        <f t="shared" si="12"/>
        <v>45</v>
      </c>
      <c r="W13" s="151">
        <f t="shared" si="13"/>
        <v>19</v>
      </c>
      <c r="X13" s="151">
        <f t="shared" si="14"/>
        <v>6</v>
      </c>
      <c r="Y13" s="18">
        <f t="shared" si="20"/>
        <v>85</v>
      </c>
      <c r="AB13" s="168"/>
      <c r="AC13" s="168"/>
    </row>
    <row r="14" spans="1:30" x14ac:dyDescent="0.2">
      <c r="A14" s="183" t="s">
        <v>554</v>
      </c>
      <c r="B14" t="s">
        <v>388</v>
      </c>
      <c r="C14" t="s">
        <v>396</v>
      </c>
      <c r="D14">
        <v>2052901</v>
      </c>
      <c r="E14" t="s">
        <v>392</v>
      </c>
      <c r="F14" s="177">
        <v>37196</v>
      </c>
      <c r="G14" s="177"/>
      <c r="H14" s="177"/>
      <c r="I14" s="177" t="s">
        <v>575</v>
      </c>
      <c r="J14">
        <f t="shared" si="6"/>
        <v>0</v>
      </c>
      <c r="K14">
        <f t="shared" si="16"/>
        <v>0</v>
      </c>
      <c r="L14" s="67"/>
      <c r="M14" s="127"/>
      <c r="N14" s="127"/>
      <c r="O14" s="127"/>
      <c r="P14" s="127">
        <f t="shared" si="2"/>
        <v>0</v>
      </c>
      <c r="Q14" s="43" t="str">
        <f t="shared" si="17"/>
        <v>Y</v>
      </c>
      <c r="R14" s="43">
        <f t="shared" si="18"/>
        <v>0</v>
      </c>
      <c r="S14">
        <f t="shared" si="19"/>
        <v>0</v>
      </c>
      <c r="T14" s="18">
        <f t="shared" si="10"/>
        <v>0</v>
      </c>
      <c r="U14" s="151">
        <f t="shared" si="11"/>
        <v>0</v>
      </c>
      <c r="V14" s="151">
        <f t="shared" si="12"/>
        <v>0</v>
      </c>
      <c r="W14" s="151">
        <f t="shared" si="13"/>
        <v>0</v>
      </c>
      <c r="X14" s="151">
        <f t="shared" si="14"/>
        <v>0</v>
      </c>
      <c r="Y14" s="18">
        <f t="shared" si="20"/>
        <v>0</v>
      </c>
      <c r="AB14" s="168"/>
      <c r="AC14" s="168"/>
    </row>
    <row r="15" spans="1:30" x14ac:dyDescent="0.2">
      <c r="A15" s="183" t="s">
        <v>554</v>
      </c>
      <c r="B15" t="s">
        <v>388</v>
      </c>
      <c r="C15" t="s">
        <v>395</v>
      </c>
      <c r="D15">
        <v>2053201</v>
      </c>
      <c r="E15" t="s">
        <v>392</v>
      </c>
      <c r="F15" s="177">
        <v>37196</v>
      </c>
      <c r="G15" s="177"/>
      <c r="H15" s="177"/>
      <c r="I15" s="177" t="s">
        <v>575</v>
      </c>
      <c r="J15">
        <f t="shared" si="6"/>
        <v>0</v>
      </c>
      <c r="K15">
        <f t="shared" si="16"/>
        <v>0</v>
      </c>
      <c r="L15" s="67"/>
      <c r="M15" s="127"/>
      <c r="N15" s="127"/>
      <c r="O15" s="127"/>
      <c r="P15" s="127">
        <f t="shared" si="2"/>
        <v>0</v>
      </c>
      <c r="Q15" s="43" t="str">
        <f t="shared" si="17"/>
        <v>Y</v>
      </c>
      <c r="R15" s="43">
        <f t="shared" si="18"/>
        <v>0</v>
      </c>
      <c r="S15">
        <f t="shared" si="19"/>
        <v>0</v>
      </c>
      <c r="T15" s="18">
        <f t="shared" si="10"/>
        <v>0</v>
      </c>
      <c r="U15" s="151">
        <f t="shared" si="11"/>
        <v>0</v>
      </c>
      <c r="V15" s="151">
        <f t="shared" si="12"/>
        <v>0</v>
      </c>
      <c r="W15" s="151">
        <f t="shared" si="13"/>
        <v>0</v>
      </c>
      <c r="X15" s="151">
        <f t="shared" si="14"/>
        <v>0</v>
      </c>
      <c r="Y15" s="18">
        <f t="shared" si="20"/>
        <v>0</v>
      </c>
      <c r="AB15" s="168"/>
      <c r="AC15" s="168"/>
    </row>
    <row r="16" spans="1:30" x14ac:dyDescent="0.2">
      <c r="A16" s="183" t="s">
        <v>554</v>
      </c>
      <c r="B16" t="s">
        <v>388</v>
      </c>
      <c r="C16" t="s">
        <v>125</v>
      </c>
      <c r="D16">
        <v>2062201</v>
      </c>
      <c r="E16" t="s">
        <v>126</v>
      </c>
      <c r="F16" s="177">
        <v>37196</v>
      </c>
      <c r="G16" s="177"/>
      <c r="H16" s="177"/>
      <c r="I16" s="177" t="s">
        <v>575</v>
      </c>
      <c r="J16">
        <f t="shared" si="6"/>
        <v>310</v>
      </c>
      <c r="K16">
        <f t="shared" si="16"/>
        <v>320</v>
      </c>
      <c r="L16" s="67"/>
      <c r="M16" s="127"/>
      <c r="N16" s="127"/>
      <c r="O16" s="127"/>
      <c r="P16" s="127">
        <f t="shared" si="2"/>
        <v>290</v>
      </c>
      <c r="Q16" s="43" t="str">
        <f t="shared" si="17"/>
        <v>Y</v>
      </c>
      <c r="R16" s="43">
        <f t="shared" si="18"/>
        <v>0</v>
      </c>
      <c r="S16">
        <f t="shared" si="19"/>
        <v>320</v>
      </c>
      <c r="T16" s="18">
        <f t="shared" si="10"/>
        <v>290</v>
      </c>
      <c r="U16" s="151">
        <f t="shared" si="11"/>
        <v>7</v>
      </c>
      <c r="V16" s="151">
        <f t="shared" si="12"/>
        <v>23</v>
      </c>
      <c r="W16" s="151">
        <f t="shared" si="13"/>
        <v>0</v>
      </c>
      <c r="X16" s="151">
        <f t="shared" si="14"/>
        <v>0</v>
      </c>
      <c r="Y16" s="18">
        <f t="shared" si="20"/>
        <v>30</v>
      </c>
      <c r="AB16" s="168"/>
      <c r="AC16" s="168"/>
    </row>
    <row r="17" spans="1:29" x14ac:dyDescent="0.2">
      <c r="A17" s="183" t="s">
        <v>554</v>
      </c>
      <c r="B17" t="s">
        <v>388</v>
      </c>
      <c r="C17" t="s">
        <v>129</v>
      </c>
      <c r="D17">
        <v>2075601</v>
      </c>
      <c r="E17" t="s">
        <v>130</v>
      </c>
      <c r="F17" s="177">
        <v>37196</v>
      </c>
      <c r="G17" s="177"/>
      <c r="H17" s="177"/>
      <c r="I17" s="177" t="s">
        <v>575</v>
      </c>
      <c r="J17">
        <f t="shared" si="6"/>
        <v>715</v>
      </c>
      <c r="K17">
        <f t="shared" si="16"/>
        <v>730</v>
      </c>
      <c r="L17" s="67"/>
      <c r="M17" s="127"/>
      <c r="N17" s="127"/>
      <c r="O17" s="127"/>
      <c r="P17" s="127">
        <f t="shared" si="2"/>
        <v>662</v>
      </c>
      <c r="Q17" s="43" t="str">
        <f t="shared" si="17"/>
        <v>Y</v>
      </c>
      <c r="R17" s="43">
        <f t="shared" si="18"/>
        <v>0</v>
      </c>
      <c r="S17">
        <f t="shared" si="19"/>
        <v>730</v>
      </c>
      <c r="T17" s="18">
        <f t="shared" si="10"/>
        <v>662</v>
      </c>
      <c r="U17" s="151">
        <f t="shared" si="11"/>
        <v>17</v>
      </c>
      <c r="V17" s="151">
        <f t="shared" si="12"/>
        <v>52</v>
      </c>
      <c r="W17" s="151">
        <f t="shared" si="13"/>
        <v>0</v>
      </c>
      <c r="X17" s="151">
        <f t="shared" si="14"/>
        <v>0</v>
      </c>
      <c r="Y17" s="18">
        <f t="shared" si="20"/>
        <v>69</v>
      </c>
      <c r="AB17" s="168"/>
      <c r="AC17" s="168"/>
    </row>
    <row r="18" spans="1:29" x14ac:dyDescent="0.2">
      <c r="A18" s="183" t="s">
        <v>554</v>
      </c>
      <c r="B18" t="s">
        <v>388</v>
      </c>
      <c r="C18" t="s">
        <v>131</v>
      </c>
      <c r="D18">
        <v>2095501</v>
      </c>
      <c r="E18" t="s">
        <v>132</v>
      </c>
      <c r="F18" s="177">
        <v>37196</v>
      </c>
      <c r="G18" s="177"/>
      <c r="H18" s="177"/>
      <c r="I18" s="177" t="s">
        <v>575</v>
      </c>
      <c r="J18">
        <f t="shared" si="6"/>
        <v>98</v>
      </c>
      <c r="K18">
        <f t="shared" si="16"/>
        <v>101</v>
      </c>
      <c r="L18" s="67"/>
      <c r="M18" s="127"/>
      <c r="N18" s="127"/>
      <c r="O18" s="127"/>
      <c r="P18" s="127">
        <f t="shared" si="2"/>
        <v>92</v>
      </c>
      <c r="Q18" s="43" t="str">
        <f t="shared" si="17"/>
        <v>Y</v>
      </c>
      <c r="R18" s="43">
        <f t="shared" si="18"/>
        <v>0</v>
      </c>
      <c r="S18">
        <f t="shared" si="19"/>
        <v>101</v>
      </c>
      <c r="T18" s="18">
        <f t="shared" si="10"/>
        <v>92</v>
      </c>
      <c r="U18" s="151">
        <f t="shared" si="11"/>
        <v>2</v>
      </c>
      <c r="V18" s="151">
        <f t="shared" si="12"/>
        <v>7</v>
      </c>
      <c r="W18" s="151">
        <f t="shared" si="13"/>
        <v>0</v>
      </c>
      <c r="X18" s="151">
        <f t="shared" si="14"/>
        <v>0</v>
      </c>
      <c r="Y18" s="18">
        <f t="shared" si="20"/>
        <v>9</v>
      </c>
      <c r="AB18" s="168"/>
      <c r="AC18" s="168"/>
    </row>
    <row r="19" spans="1:29" x14ac:dyDescent="0.2">
      <c r="A19" s="183" t="s">
        <v>554</v>
      </c>
      <c r="B19" t="s">
        <v>388</v>
      </c>
      <c r="C19" t="s">
        <v>428</v>
      </c>
      <c r="D19">
        <v>2096101</v>
      </c>
      <c r="E19" t="s">
        <v>429</v>
      </c>
      <c r="F19" s="177">
        <v>37196</v>
      </c>
      <c r="G19" s="177"/>
      <c r="H19" s="177"/>
      <c r="I19" s="177" t="s">
        <v>575</v>
      </c>
      <c r="J19">
        <f t="shared" si="6"/>
        <v>0</v>
      </c>
      <c r="K19">
        <f t="shared" si="16"/>
        <v>0</v>
      </c>
      <c r="L19" s="67"/>
      <c r="M19" s="127"/>
      <c r="N19" s="127"/>
      <c r="O19" s="127"/>
      <c r="P19" s="127">
        <f t="shared" si="2"/>
        <v>0</v>
      </c>
      <c r="Q19" s="43" t="str">
        <f t="shared" si="17"/>
        <v>Y</v>
      </c>
      <c r="R19" s="43">
        <f t="shared" si="18"/>
        <v>0</v>
      </c>
      <c r="S19">
        <f t="shared" si="19"/>
        <v>0</v>
      </c>
      <c r="T19" s="18">
        <f t="shared" si="10"/>
        <v>0</v>
      </c>
      <c r="U19" s="151">
        <f t="shared" si="11"/>
        <v>0</v>
      </c>
      <c r="V19" s="151">
        <f t="shared" si="12"/>
        <v>0</v>
      </c>
      <c r="W19" s="151">
        <f t="shared" si="13"/>
        <v>0</v>
      </c>
      <c r="X19" s="151">
        <f t="shared" si="14"/>
        <v>0</v>
      </c>
      <c r="Y19" s="18">
        <f t="shared" si="20"/>
        <v>0</v>
      </c>
      <c r="AB19" s="168"/>
      <c r="AC19" s="168"/>
    </row>
    <row r="20" spans="1:29" x14ac:dyDescent="0.2">
      <c r="A20" s="183" t="s">
        <v>554</v>
      </c>
      <c r="B20" t="s">
        <v>386</v>
      </c>
      <c r="C20" t="s">
        <v>142</v>
      </c>
      <c r="D20">
        <v>2150501</v>
      </c>
      <c r="E20" t="s">
        <v>143</v>
      </c>
      <c r="F20" s="177">
        <v>37196</v>
      </c>
      <c r="G20" s="177"/>
      <c r="H20" s="177"/>
      <c r="I20" s="177" t="s">
        <v>576</v>
      </c>
      <c r="J20">
        <f t="shared" si="6"/>
        <v>514</v>
      </c>
      <c r="K20">
        <f t="shared" si="16"/>
        <v>654</v>
      </c>
      <c r="L20" s="67"/>
      <c r="M20" s="127"/>
      <c r="N20" s="127"/>
      <c r="O20" s="127"/>
      <c r="P20" s="127">
        <f t="shared" si="2"/>
        <v>567</v>
      </c>
      <c r="Q20" s="43" t="str">
        <f t="shared" si="17"/>
        <v>Y</v>
      </c>
      <c r="R20" s="43">
        <f t="shared" si="18"/>
        <v>0</v>
      </c>
      <c r="S20">
        <f t="shared" si="19"/>
        <v>654</v>
      </c>
      <c r="T20" s="18">
        <f t="shared" si="10"/>
        <v>567</v>
      </c>
      <c r="U20" s="151">
        <f t="shared" si="11"/>
        <v>15</v>
      </c>
      <c r="V20" s="151">
        <f t="shared" si="12"/>
        <v>46</v>
      </c>
      <c r="W20" s="151">
        <f t="shared" si="13"/>
        <v>20</v>
      </c>
      <c r="X20" s="151">
        <f t="shared" si="14"/>
        <v>6</v>
      </c>
      <c r="Y20" s="18">
        <f t="shared" si="20"/>
        <v>87</v>
      </c>
      <c r="AB20" s="168"/>
      <c r="AC20" s="168"/>
    </row>
    <row r="21" spans="1:29" x14ac:dyDescent="0.2">
      <c r="A21" s="183" t="s">
        <v>554</v>
      </c>
      <c r="B21" t="s">
        <v>388</v>
      </c>
      <c r="C21" t="s">
        <v>394</v>
      </c>
      <c r="D21">
        <v>2151401</v>
      </c>
      <c r="E21" t="s">
        <v>392</v>
      </c>
      <c r="F21" s="177">
        <v>37196</v>
      </c>
      <c r="G21" s="177"/>
      <c r="H21" s="177"/>
      <c r="I21" s="177" t="s">
        <v>575</v>
      </c>
      <c r="J21">
        <f t="shared" si="6"/>
        <v>610</v>
      </c>
      <c r="K21">
        <f t="shared" si="16"/>
        <v>627</v>
      </c>
      <c r="L21" s="67"/>
      <c r="M21" s="127"/>
      <c r="N21" s="127"/>
      <c r="O21" s="127"/>
      <c r="P21" s="127">
        <f t="shared" si="2"/>
        <v>568</v>
      </c>
      <c r="Q21" s="43" t="str">
        <f t="shared" si="17"/>
        <v>Y</v>
      </c>
      <c r="R21" s="43">
        <f t="shared" si="18"/>
        <v>0</v>
      </c>
      <c r="S21">
        <f t="shared" si="19"/>
        <v>627</v>
      </c>
      <c r="T21" s="18">
        <f t="shared" si="10"/>
        <v>568</v>
      </c>
      <c r="U21" s="151">
        <f t="shared" si="11"/>
        <v>14</v>
      </c>
      <c r="V21" s="151">
        <f t="shared" si="12"/>
        <v>44</v>
      </c>
      <c r="W21" s="151">
        <f t="shared" si="13"/>
        <v>0</v>
      </c>
      <c r="X21" s="151">
        <f t="shared" si="14"/>
        <v>0</v>
      </c>
      <c r="Y21" s="18">
        <f t="shared" si="20"/>
        <v>58</v>
      </c>
      <c r="AB21" s="168"/>
      <c r="AC21" s="168"/>
    </row>
    <row r="22" spans="1:29" x14ac:dyDescent="0.2">
      <c r="A22" s="183" t="s">
        <v>554</v>
      </c>
      <c r="B22" t="s">
        <v>386</v>
      </c>
      <c r="C22" t="s">
        <v>144</v>
      </c>
      <c r="D22">
        <v>2152501</v>
      </c>
      <c r="E22" t="s">
        <v>130</v>
      </c>
      <c r="F22" s="177">
        <v>37196</v>
      </c>
      <c r="G22" s="177"/>
      <c r="H22" s="177"/>
      <c r="I22" s="177" t="s">
        <v>576</v>
      </c>
      <c r="J22">
        <f t="shared" si="6"/>
        <v>19</v>
      </c>
      <c r="K22">
        <f t="shared" si="16"/>
        <v>23</v>
      </c>
      <c r="L22" s="67"/>
      <c r="M22" s="127"/>
      <c r="N22" s="127"/>
      <c r="O22" s="127"/>
      <c r="P22" s="127">
        <f t="shared" si="2"/>
        <v>20</v>
      </c>
      <c r="Q22" s="43" t="str">
        <f t="shared" si="17"/>
        <v>Y</v>
      </c>
      <c r="R22" s="43">
        <f t="shared" si="18"/>
        <v>0</v>
      </c>
      <c r="S22">
        <f t="shared" si="19"/>
        <v>23</v>
      </c>
      <c r="T22" s="18">
        <f t="shared" si="10"/>
        <v>20</v>
      </c>
      <c r="U22" s="151">
        <f t="shared" si="11"/>
        <v>1</v>
      </c>
      <c r="V22" s="151">
        <f t="shared" si="12"/>
        <v>2</v>
      </c>
      <c r="W22" s="151">
        <f t="shared" si="13"/>
        <v>1</v>
      </c>
      <c r="X22" s="151">
        <f t="shared" si="14"/>
        <v>0</v>
      </c>
      <c r="Y22" s="18">
        <f t="shared" si="20"/>
        <v>4</v>
      </c>
      <c r="AB22" s="168"/>
      <c r="AC22" s="168"/>
    </row>
    <row r="23" spans="1:29" x14ac:dyDescent="0.2">
      <c r="A23" s="183" t="s">
        <v>554</v>
      </c>
      <c r="B23" t="s">
        <v>388</v>
      </c>
      <c r="C23" t="s">
        <v>584</v>
      </c>
      <c r="D23">
        <v>2159601</v>
      </c>
      <c r="E23" t="s">
        <v>429</v>
      </c>
      <c r="F23" s="177">
        <v>37196</v>
      </c>
      <c r="G23" s="177"/>
      <c r="H23" s="177"/>
      <c r="I23" s="177" t="s">
        <v>575</v>
      </c>
      <c r="J23">
        <f t="shared" si="6"/>
        <v>97</v>
      </c>
      <c r="K23">
        <f t="shared" si="16"/>
        <v>107</v>
      </c>
      <c r="L23" s="67"/>
      <c r="M23" s="127"/>
      <c r="N23" s="127"/>
      <c r="O23" s="127"/>
      <c r="P23" s="127">
        <f t="shared" si="2"/>
        <v>97</v>
      </c>
      <c r="Q23" s="43" t="str">
        <f t="shared" si="17"/>
        <v>Y</v>
      </c>
      <c r="R23" s="43">
        <f t="shared" si="18"/>
        <v>0</v>
      </c>
      <c r="S23">
        <f t="shared" si="19"/>
        <v>107</v>
      </c>
      <c r="T23" s="18">
        <f t="shared" si="10"/>
        <v>97</v>
      </c>
      <c r="U23" s="151">
        <f t="shared" si="11"/>
        <v>2</v>
      </c>
      <c r="V23" s="151">
        <f t="shared" si="12"/>
        <v>8</v>
      </c>
      <c r="W23" s="151">
        <f t="shared" si="13"/>
        <v>0</v>
      </c>
      <c r="X23" s="151">
        <f t="shared" si="14"/>
        <v>0</v>
      </c>
      <c r="Y23" s="18">
        <f t="shared" si="20"/>
        <v>10</v>
      </c>
      <c r="AB23" s="168"/>
      <c r="AC23" s="168"/>
    </row>
    <row r="24" spans="1:29" x14ac:dyDescent="0.2">
      <c r="A24" s="183" t="s">
        <v>554</v>
      </c>
      <c r="B24" t="s">
        <v>386</v>
      </c>
      <c r="C24" t="s">
        <v>227</v>
      </c>
      <c r="D24">
        <v>3001401</v>
      </c>
      <c r="E24" t="s">
        <v>594</v>
      </c>
      <c r="F24" s="177">
        <v>37196</v>
      </c>
      <c r="G24" s="177"/>
      <c r="H24" s="177"/>
      <c r="I24" s="177" t="s">
        <v>576</v>
      </c>
      <c r="J24">
        <f t="shared" si="6"/>
        <v>316</v>
      </c>
      <c r="K24">
        <f t="shared" si="16"/>
        <v>500</v>
      </c>
      <c r="L24" s="67"/>
      <c r="M24" s="127"/>
      <c r="N24" s="127"/>
      <c r="O24" s="127"/>
      <c r="P24" s="127">
        <f t="shared" si="2"/>
        <v>434</v>
      </c>
      <c r="Q24" s="43" t="str">
        <f t="shared" si="17"/>
        <v>Y</v>
      </c>
      <c r="R24" s="43">
        <f t="shared" si="18"/>
        <v>0</v>
      </c>
      <c r="S24">
        <f t="shared" si="19"/>
        <v>500</v>
      </c>
      <c r="T24" s="18">
        <f t="shared" si="10"/>
        <v>434</v>
      </c>
      <c r="U24" s="151">
        <f t="shared" si="11"/>
        <v>11</v>
      </c>
      <c r="V24" s="151">
        <f t="shared" si="12"/>
        <v>35</v>
      </c>
      <c r="W24" s="151">
        <f t="shared" si="13"/>
        <v>15</v>
      </c>
      <c r="X24" s="151">
        <f t="shared" si="14"/>
        <v>5</v>
      </c>
      <c r="Y24" s="18">
        <f t="shared" si="20"/>
        <v>66</v>
      </c>
      <c r="AB24" s="168"/>
      <c r="AC24" s="168"/>
    </row>
    <row r="25" spans="1:29" x14ac:dyDescent="0.2">
      <c r="A25" s="183" t="s">
        <v>554</v>
      </c>
      <c r="B25" t="s">
        <v>386</v>
      </c>
      <c r="C25" t="s">
        <v>228</v>
      </c>
      <c r="D25">
        <v>3001601</v>
      </c>
      <c r="E25" t="s">
        <v>594</v>
      </c>
      <c r="F25" s="177">
        <v>37196</v>
      </c>
      <c r="G25" s="177"/>
      <c r="H25" s="177"/>
      <c r="I25" s="177" t="s">
        <v>576</v>
      </c>
      <c r="J25">
        <f t="shared" si="6"/>
        <v>134</v>
      </c>
      <c r="K25">
        <f t="shared" si="16"/>
        <v>246</v>
      </c>
      <c r="L25" s="67"/>
      <c r="M25" s="127"/>
      <c r="N25" s="127"/>
      <c r="O25" s="127"/>
      <c r="P25" s="127">
        <f t="shared" si="2"/>
        <v>213</v>
      </c>
      <c r="Q25" s="43" t="str">
        <f t="shared" si="17"/>
        <v>Y</v>
      </c>
      <c r="R25" s="43">
        <f t="shared" si="18"/>
        <v>0</v>
      </c>
      <c r="S25">
        <f t="shared" si="19"/>
        <v>246</v>
      </c>
      <c r="T25" s="18">
        <f t="shared" si="10"/>
        <v>213</v>
      </c>
      <c r="U25" s="151">
        <f t="shared" si="11"/>
        <v>6</v>
      </c>
      <c r="V25" s="151">
        <f t="shared" si="12"/>
        <v>17</v>
      </c>
      <c r="W25" s="151">
        <f t="shared" si="13"/>
        <v>7</v>
      </c>
      <c r="X25" s="151">
        <f t="shared" si="14"/>
        <v>2</v>
      </c>
      <c r="Y25" s="18">
        <f t="shared" si="20"/>
        <v>32</v>
      </c>
      <c r="AB25" s="168"/>
      <c r="AC25" s="168"/>
    </row>
    <row r="26" spans="1:29" x14ac:dyDescent="0.2">
      <c r="A26" s="183" t="s">
        <v>554</v>
      </c>
      <c r="B26" t="s">
        <v>386</v>
      </c>
      <c r="C26" t="s">
        <v>268</v>
      </c>
      <c r="D26">
        <v>3007601</v>
      </c>
      <c r="E26" t="s">
        <v>217</v>
      </c>
      <c r="F26" s="177">
        <v>37196</v>
      </c>
      <c r="G26" s="177"/>
      <c r="H26" s="177"/>
      <c r="I26" s="177" t="s">
        <v>576</v>
      </c>
      <c r="J26">
        <f t="shared" si="6"/>
        <v>48</v>
      </c>
      <c r="K26">
        <f t="shared" si="16"/>
        <v>56</v>
      </c>
      <c r="L26" s="67"/>
      <c r="M26" s="127"/>
      <c r="N26" s="127"/>
      <c r="O26" s="127"/>
      <c r="P26" s="127">
        <f t="shared" si="2"/>
        <v>49</v>
      </c>
      <c r="Q26" s="43" t="str">
        <f t="shared" si="17"/>
        <v>Y</v>
      </c>
      <c r="R26" s="43">
        <f t="shared" si="18"/>
        <v>0</v>
      </c>
      <c r="S26">
        <f t="shared" si="19"/>
        <v>56</v>
      </c>
      <c r="T26" s="18">
        <f t="shared" si="10"/>
        <v>49</v>
      </c>
      <c r="U26" s="151">
        <f t="shared" si="11"/>
        <v>1</v>
      </c>
      <c r="V26" s="151">
        <f t="shared" si="12"/>
        <v>4</v>
      </c>
      <c r="W26" s="151">
        <f t="shared" si="13"/>
        <v>2</v>
      </c>
      <c r="X26" s="151">
        <f t="shared" si="14"/>
        <v>1</v>
      </c>
      <c r="Y26" s="18">
        <f t="shared" si="20"/>
        <v>8</v>
      </c>
      <c r="AB26" s="168"/>
      <c r="AC26" s="168"/>
    </row>
    <row r="27" spans="1:29" x14ac:dyDescent="0.2">
      <c r="A27" s="183" t="s">
        <v>554</v>
      </c>
      <c r="B27" t="s">
        <v>386</v>
      </c>
      <c r="C27" t="s">
        <v>430</v>
      </c>
      <c r="D27">
        <v>3008001</v>
      </c>
      <c r="E27" t="s">
        <v>431</v>
      </c>
      <c r="F27" s="177">
        <v>37196</v>
      </c>
      <c r="G27" s="177"/>
      <c r="H27" s="177"/>
      <c r="I27" s="177" t="s">
        <v>576</v>
      </c>
      <c r="J27">
        <f t="shared" si="6"/>
        <v>476</v>
      </c>
      <c r="K27">
        <f t="shared" si="16"/>
        <v>594</v>
      </c>
      <c r="L27" s="67"/>
      <c r="M27" s="127"/>
      <c r="N27" s="127"/>
      <c r="O27" s="127"/>
      <c r="P27" s="127">
        <f t="shared" si="2"/>
        <v>515</v>
      </c>
      <c r="Q27" s="43" t="str">
        <f t="shared" si="17"/>
        <v>Y</v>
      </c>
      <c r="R27" s="43">
        <f t="shared" si="18"/>
        <v>0</v>
      </c>
      <c r="S27">
        <f t="shared" si="19"/>
        <v>594</v>
      </c>
      <c r="T27" s="18">
        <f t="shared" si="10"/>
        <v>515</v>
      </c>
      <c r="U27" s="151">
        <f t="shared" si="11"/>
        <v>14</v>
      </c>
      <c r="V27" s="151">
        <f t="shared" si="12"/>
        <v>42</v>
      </c>
      <c r="W27" s="151">
        <f t="shared" si="13"/>
        <v>18</v>
      </c>
      <c r="X27" s="151">
        <f t="shared" si="14"/>
        <v>5</v>
      </c>
      <c r="Y27" s="18">
        <f t="shared" si="20"/>
        <v>79</v>
      </c>
      <c r="AB27" s="168"/>
      <c r="AC27" s="168"/>
    </row>
    <row r="28" spans="1:29" x14ac:dyDescent="0.2">
      <c r="A28" s="183" t="s">
        <v>554</v>
      </c>
      <c r="B28" t="s">
        <v>386</v>
      </c>
      <c r="C28" t="s">
        <v>432</v>
      </c>
      <c r="D28">
        <v>3013701</v>
      </c>
      <c r="E28" t="s">
        <v>457</v>
      </c>
      <c r="F28" s="177">
        <v>37196</v>
      </c>
      <c r="G28" s="177"/>
      <c r="H28" s="177"/>
      <c r="I28" s="177" t="s">
        <v>576</v>
      </c>
      <c r="J28">
        <f t="shared" si="6"/>
        <v>31</v>
      </c>
      <c r="K28">
        <f t="shared" si="16"/>
        <v>51</v>
      </c>
      <c r="L28" s="67"/>
      <c r="M28" s="127"/>
      <c r="N28" s="127"/>
      <c r="O28" s="127"/>
      <c r="P28" s="127">
        <f t="shared" si="2"/>
        <v>44</v>
      </c>
      <c r="Q28" s="43" t="str">
        <f t="shared" si="17"/>
        <v>Y</v>
      </c>
      <c r="R28" s="43">
        <f t="shared" si="18"/>
        <v>0</v>
      </c>
      <c r="S28">
        <f t="shared" si="19"/>
        <v>51</v>
      </c>
      <c r="T28" s="18">
        <f t="shared" si="10"/>
        <v>44</v>
      </c>
      <c r="U28" s="151">
        <f t="shared" si="11"/>
        <v>1</v>
      </c>
      <c r="V28" s="151">
        <f t="shared" si="12"/>
        <v>4</v>
      </c>
      <c r="W28" s="151">
        <f t="shared" si="13"/>
        <v>2</v>
      </c>
      <c r="X28" s="151">
        <f t="shared" si="14"/>
        <v>0</v>
      </c>
      <c r="Y28" s="18">
        <f t="shared" si="20"/>
        <v>7</v>
      </c>
      <c r="AB28" s="168"/>
      <c r="AC28" s="168"/>
    </row>
    <row r="29" spans="1:29" x14ac:dyDescent="0.2">
      <c r="A29" s="183" t="s">
        <v>554</v>
      </c>
      <c r="B29" t="s">
        <v>386</v>
      </c>
      <c r="C29" t="s">
        <v>433</v>
      </c>
      <c r="D29">
        <v>3014901</v>
      </c>
      <c r="E29" t="s">
        <v>420</v>
      </c>
      <c r="F29" s="177">
        <v>37196</v>
      </c>
      <c r="G29" s="177"/>
      <c r="H29" s="177"/>
      <c r="I29" s="177" t="s">
        <v>576</v>
      </c>
      <c r="J29">
        <f t="shared" si="6"/>
        <v>0</v>
      </c>
      <c r="K29">
        <f t="shared" si="16"/>
        <v>0</v>
      </c>
      <c r="L29" s="67"/>
      <c r="M29" s="127"/>
      <c r="N29" s="127"/>
      <c r="O29" s="127"/>
      <c r="P29" s="127">
        <f t="shared" si="2"/>
        <v>0</v>
      </c>
      <c r="Q29" s="43" t="str">
        <f t="shared" si="17"/>
        <v>Y</v>
      </c>
      <c r="R29" s="43">
        <f t="shared" si="18"/>
        <v>0</v>
      </c>
      <c r="S29">
        <f t="shared" si="19"/>
        <v>0</v>
      </c>
      <c r="T29" s="18">
        <f t="shared" si="10"/>
        <v>0</v>
      </c>
      <c r="U29" s="151">
        <f t="shared" si="11"/>
        <v>0</v>
      </c>
      <c r="V29" s="151">
        <f t="shared" si="12"/>
        <v>0</v>
      </c>
      <c r="W29" s="151">
        <f t="shared" si="13"/>
        <v>0</v>
      </c>
      <c r="X29" s="151">
        <f t="shared" si="14"/>
        <v>0</v>
      </c>
      <c r="Y29" s="18">
        <f t="shared" si="20"/>
        <v>0</v>
      </c>
      <c r="AB29" s="168"/>
      <c r="AC29" s="168"/>
    </row>
    <row r="30" spans="1:29" x14ac:dyDescent="0.2">
      <c r="A30" s="183" t="s">
        <v>554</v>
      </c>
      <c r="B30" t="s">
        <v>386</v>
      </c>
      <c r="C30" t="s">
        <v>434</v>
      </c>
      <c r="D30">
        <v>3015901</v>
      </c>
      <c r="E30" t="s">
        <v>431</v>
      </c>
      <c r="F30" s="177">
        <v>37196</v>
      </c>
      <c r="G30" s="177"/>
      <c r="H30" s="177"/>
      <c r="I30" s="177" t="s">
        <v>576</v>
      </c>
      <c r="J30">
        <f t="shared" si="6"/>
        <v>762</v>
      </c>
      <c r="K30">
        <f t="shared" si="16"/>
        <v>959</v>
      </c>
      <c r="L30" s="67"/>
      <c r="M30" s="127"/>
      <c r="N30" s="127"/>
      <c r="O30" s="127"/>
      <c r="P30" s="127">
        <f t="shared" si="2"/>
        <v>832</v>
      </c>
      <c r="Q30" s="43" t="str">
        <f t="shared" si="17"/>
        <v>Y</v>
      </c>
      <c r="R30" s="43">
        <f t="shared" si="18"/>
        <v>0</v>
      </c>
      <c r="S30">
        <f t="shared" si="19"/>
        <v>959</v>
      </c>
      <c r="T30" s="18">
        <f t="shared" si="10"/>
        <v>832</v>
      </c>
      <c r="U30" s="151">
        <f t="shared" si="11"/>
        <v>22</v>
      </c>
      <c r="V30" s="151">
        <f t="shared" si="12"/>
        <v>68</v>
      </c>
      <c r="W30" s="151">
        <f t="shared" si="13"/>
        <v>29</v>
      </c>
      <c r="X30" s="151">
        <f t="shared" si="14"/>
        <v>9</v>
      </c>
      <c r="Y30" s="18">
        <f t="shared" si="20"/>
        <v>128</v>
      </c>
      <c r="AB30" s="168"/>
      <c r="AC30" s="168"/>
    </row>
    <row r="31" spans="1:29" x14ac:dyDescent="0.2">
      <c r="A31" s="183" t="s">
        <v>554</v>
      </c>
      <c r="B31" t="s">
        <v>386</v>
      </c>
      <c r="C31" t="s">
        <v>203</v>
      </c>
      <c r="D31">
        <v>3016301</v>
      </c>
      <c r="E31" t="s">
        <v>204</v>
      </c>
      <c r="F31" s="177">
        <v>37196</v>
      </c>
      <c r="G31" s="177"/>
      <c r="H31" s="177"/>
      <c r="I31" s="177" t="s">
        <v>576</v>
      </c>
      <c r="J31">
        <f t="shared" si="6"/>
        <v>2192</v>
      </c>
      <c r="K31">
        <f t="shared" si="16"/>
        <v>3355</v>
      </c>
      <c r="L31" s="67"/>
      <c r="M31" s="127"/>
      <c r="N31" s="127"/>
      <c r="O31" s="127"/>
      <c r="P31" s="127">
        <f t="shared" si="2"/>
        <v>2910</v>
      </c>
      <c r="Q31" s="43" t="str">
        <f t="shared" si="17"/>
        <v>Y</v>
      </c>
      <c r="R31" s="43">
        <f t="shared" si="18"/>
        <v>0</v>
      </c>
      <c r="S31">
        <f t="shared" si="19"/>
        <v>3355</v>
      </c>
      <c r="T31" s="18">
        <f t="shared" si="10"/>
        <v>2910</v>
      </c>
      <c r="U31" s="151">
        <f t="shared" si="11"/>
        <v>76</v>
      </c>
      <c r="V31" s="151">
        <f t="shared" si="12"/>
        <v>237</v>
      </c>
      <c r="W31" s="151">
        <f t="shared" si="13"/>
        <v>101</v>
      </c>
      <c r="X31" s="151">
        <f t="shared" si="14"/>
        <v>31</v>
      </c>
      <c r="Y31" s="18">
        <f t="shared" si="20"/>
        <v>445</v>
      </c>
      <c r="AB31" s="168"/>
      <c r="AC31" s="168"/>
    </row>
    <row r="32" spans="1:29" x14ac:dyDescent="0.2">
      <c r="A32" s="183" t="s">
        <v>554</v>
      </c>
      <c r="B32" t="s">
        <v>386</v>
      </c>
      <c r="C32" t="s">
        <v>436</v>
      </c>
      <c r="D32">
        <v>3017201</v>
      </c>
      <c r="E32" t="s">
        <v>556</v>
      </c>
      <c r="F32" s="177">
        <v>37196</v>
      </c>
      <c r="G32" s="177"/>
      <c r="H32" s="177"/>
      <c r="I32" s="177" t="s">
        <v>576</v>
      </c>
      <c r="J32">
        <f t="shared" si="6"/>
        <v>169</v>
      </c>
      <c r="K32">
        <f t="shared" si="16"/>
        <v>208</v>
      </c>
      <c r="L32" s="67"/>
      <c r="M32" s="127"/>
      <c r="N32" s="127"/>
      <c r="O32" s="127"/>
      <c r="P32" s="127">
        <f t="shared" si="2"/>
        <v>180</v>
      </c>
      <c r="Q32" s="43" t="str">
        <f t="shared" si="17"/>
        <v>Y</v>
      </c>
      <c r="R32" s="43">
        <f t="shared" si="18"/>
        <v>0</v>
      </c>
      <c r="S32">
        <f t="shared" si="19"/>
        <v>208</v>
      </c>
      <c r="T32" s="18">
        <f t="shared" si="10"/>
        <v>180</v>
      </c>
      <c r="U32" s="151">
        <f t="shared" si="11"/>
        <v>5</v>
      </c>
      <c r="V32" s="151">
        <f t="shared" si="12"/>
        <v>15</v>
      </c>
      <c r="W32" s="151">
        <f t="shared" si="13"/>
        <v>6</v>
      </c>
      <c r="X32" s="151">
        <f t="shared" si="14"/>
        <v>2</v>
      </c>
      <c r="Y32" s="18">
        <f t="shared" si="20"/>
        <v>28</v>
      </c>
      <c r="AB32" s="168"/>
      <c r="AC32" s="168"/>
    </row>
    <row r="33" spans="1:30" x14ac:dyDescent="0.2">
      <c r="A33" s="183" t="s">
        <v>554</v>
      </c>
      <c r="B33" t="s">
        <v>387</v>
      </c>
      <c r="C33" t="s">
        <v>439</v>
      </c>
      <c r="D33">
        <v>3021701</v>
      </c>
      <c r="E33" t="s">
        <v>420</v>
      </c>
      <c r="F33" s="177">
        <v>37196</v>
      </c>
      <c r="G33" s="177"/>
      <c r="H33" s="177"/>
      <c r="I33" s="177" t="s">
        <v>583</v>
      </c>
      <c r="J33">
        <f t="shared" si="6"/>
        <v>0</v>
      </c>
      <c r="K33">
        <f t="shared" si="16"/>
        <v>0</v>
      </c>
      <c r="L33" s="67"/>
      <c r="M33" s="127"/>
      <c r="N33" s="127"/>
      <c r="O33" s="127"/>
      <c r="P33" s="127">
        <f t="shared" si="2"/>
        <v>0</v>
      </c>
      <c r="Q33" s="43" t="str">
        <f t="shared" si="17"/>
        <v>Y</v>
      </c>
      <c r="R33" s="43">
        <f t="shared" si="18"/>
        <v>0</v>
      </c>
      <c r="S33">
        <f t="shared" si="19"/>
        <v>0</v>
      </c>
      <c r="T33" s="18">
        <f t="shared" si="10"/>
        <v>0</v>
      </c>
      <c r="U33" s="151">
        <f t="shared" si="11"/>
        <v>0</v>
      </c>
      <c r="V33" s="151">
        <f t="shared" si="12"/>
        <v>0</v>
      </c>
      <c r="W33" s="151">
        <f t="shared" si="13"/>
        <v>0</v>
      </c>
      <c r="X33" s="151">
        <f t="shared" si="14"/>
        <v>0</v>
      </c>
      <c r="Y33" s="18">
        <f t="shared" si="20"/>
        <v>0</v>
      </c>
      <c r="AB33" s="168"/>
      <c r="AC33" s="168"/>
    </row>
    <row r="34" spans="1:30" x14ac:dyDescent="0.2">
      <c r="A34" s="183" t="s">
        <v>554</v>
      </c>
      <c r="B34" t="s">
        <v>387</v>
      </c>
      <c r="C34" t="s">
        <v>440</v>
      </c>
      <c r="D34">
        <v>3023201</v>
      </c>
      <c r="E34" t="s">
        <v>420</v>
      </c>
      <c r="F34" s="177">
        <v>37196</v>
      </c>
      <c r="G34" s="177"/>
      <c r="H34" s="177"/>
      <c r="I34" s="177" t="s">
        <v>583</v>
      </c>
      <c r="J34">
        <f t="shared" si="6"/>
        <v>0</v>
      </c>
      <c r="K34">
        <f t="shared" si="16"/>
        <v>0</v>
      </c>
      <c r="L34" s="67"/>
      <c r="M34" s="127"/>
      <c r="N34" s="127"/>
      <c r="O34" s="127"/>
      <c r="P34" s="127">
        <f t="shared" si="2"/>
        <v>0</v>
      </c>
      <c r="Q34" s="43" t="str">
        <f t="shared" si="17"/>
        <v>Y</v>
      </c>
      <c r="R34" s="43">
        <f t="shared" si="18"/>
        <v>0</v>
      </c>
      <c r="S34">
        <f t="shared" si="19"/>
        <v>0</v>
      </c>
      <c r="T34" s="18">
        <f t="shared" si="10"/>
        <v>0</v>
      </c>
      <c r="U34" s="151">
        <f t="shared" si="11"/>
        <v>0</v>
      </c>
      <c r="V34" s="151">
        <f t="shared" si="12"/>
        <v>0</v>
      </c>
      <c r="W34" s="151">
        <f t="shared" si="13"/>
        <v>0</v>
      </c>
      <c r="X34" s="151">
        <f t="shared" si="14"/>
        <v>0</v>
      </c>
      <c r="Y34" s="18">
        <f t="shared" si="20"/>
        <v>0</v>
      </c>
      <c r="AB34" s="168"/>
      <c r="AC34" s="168"/>
    </row>
    <row r="35" spans="1:30" x14ac:dyDescent="0.2">
      <c r="A35" s="183" t="s">
        <v>554</v>
      </c>
      <c r="B35" t="s">
        <v>386</v>
      </c>
      <c r="C35" t="s">
        <v>441</v>
      </c>
      <c r="D35">
        <v>3023401</v>
      </c>
      <c r="E35" t="s">
        <v>420</v>
      </c>
      <c r="F35" s="177">
        <v>37196</v>
      </c>
      <c r="G35" s="177"/>
      <c r="H35" s="177"/>
      <c r="I35" s="177" t="s">
        <v>576</v>
      </c>
      <c r="J35" t="str">
        <f t="shared" si="6"/>
        <v>na</v>
      </c>
      <c r="K35">
        <f t="shared" si="16"/>
        <v>0</v>
      </c>
      <c r="L35" s="67"/>
      <c r="M35" s="127"/>
      <c r="N35" s="127"/>
      <c r="O35" s="127"/>
      <c r="P35" s="127">
        <f t="shared" si="2"/>
        <v>0</v>
      </c>
      <c r="Q35" s="43" t="str">
        <f t="shared" si="17"/>
        <v>Y</v>
      </c>
      <c r="R35" s="43">
        <f t="shared" si="18"/>
        <v>0</v>
      </c>
      <c r="S35">
        <f t="shared" si="19"/>
        <v>0</v>
      </c>
      <c r="T35" s="18">
        <f t="shared" si="10"/>
        <v>0</v>
      </c>
      <c r="U35" s="151">
        <f t="shared" si="11"/>
        <v>0</v>
      </c>
      <c r="V35" s="151">
        <f t="shared" si="12"/>
        <v>0</v>
      </c>
      <c r="W35" s="151">
        <f t="shared" si="13"/>
        <v>0</v>
      </c>
      <c r="X35" s="151">
        <f t="shared" si="14"/>
        <v>0</v>
      </c>
      <c r="Y35" s="18">
        <f t="shared" si="20"/>
        <v>0</v>
      </c>
      <c r="AB35" s="168"/>
      <c r="AC35" s="168"/>
    </row>
    <row r="36" spans="1:30" x14ac:dyDescent="0.2">
      <c r="A36" s="183" t="s">
        <v>554</v>
      </c>
      <c r="B36" t="s">
        <v>386</v>
      </c>
      <c r="C36" t="s">
        <v>442</v>
      </c>
      <c r="D36">
        <v>3024701</v>
      </c>
      <c r="E36" t="s">
        <v>420</v>
      </c>
      <c r="F36" s="177">
        <v>37196</v>
      </c>
      <c r="G36" s="177"/>
      <c r="H36" s="177"/>
      <c r="I36" s="177" t="s">
        <v>576</v>
      </c>
      <c r="J36">
        <f t="shared" si="6"/>
        <v>10</v>
      </c>
      <c r="K36">
        <f t="shared" si="16"/>
        <v>10</v>
      </c>
      <c r="L36" s="67"/>
      <c r="M36" s="127"/>
      <c r="N36" s="127"/>
      <c r="O36" s="127"/>
      <c r="P36" s="127">
        <f t="shared" si="2"/>
        <v>9</v>
      </c>
      <c r="Q36" s="43" t="str">
        <f t="shared" si="17"/>
        <v>Y</v>
      </c>
      <c r="R36" s="43">
        <f t="shared" si="18"/>
        <v>0</v>
      </c>
      <c r="S36">
        <f t="shared" si="19"/>
        <v>10</v>
      </c>
      <c r="T36" s="18">
        <f t="shared" si="10"/>
        <v>9</v>
      </c>
      <c r="U36" s="151">
        <f t="shared" si="11"/>
        <v>0</v>
      </c>
      <c r="V36" s="151">
        <f t="shared" si="12"/>
        <v>1</v>
      </c>
      <c r="W36" s="151">
        <f t="shared" si="13"/>
        <v>0</v>
      </c>
      <c r="X36" s="151">
        <f t="shared" si="14"/>
        <v>0</v>
      </c>
      <c r="Y36" s="18">
        <f t="shared" si="20"/>
        <v>1</v>
      </c>
      <c r="AB36" s="168"/>
      <c r="AC36" s="168"/>
    </row>
    <row r="37" spans="1:30" x14ac:dyDescent="0.2">
      <c r="A37" s="183" t="s">
        <v>554</v>
      </c>
      <c r="B37" t="s">
        <v>386</v>
      </c>
      <c r="C37" t="s">
        <v>443</v>
      </c>
      <c r="D37">
        <v>3024901</v>
      </c>
      <c r="E37" t="s">
        <v>420</v>
      </c>
      <c r="F37" s="177">
        <v>37196</v>
      </c>
      <c r="G37" s="177"/>
      <c r="H37" s="177"/>
      <c r="I37" s="177" t="s">
        <v>576</v>
      </c>
      <c r="J37">
        <f t="shared" si="6"/>
        <v>0</v>
      </c>
      <c r="K37">
        <f t="shared" si="16"/>
        <v>0</v>
      </c>
      <c r="L37" s="67"/>
      <c r="M37" s="127"/>
      <c r="N37" s="127"/>
      <c r="O37" s="127"/>
      <c r="P37" s="127">
        <f t="shared" si="2"/>
        <v>0</v>
      </c>
      <c r="Q37" s="43" t="str">
        <f t="shared" si="17"/>
        <v>Y</v>
      </c>
      <c r="R37" s="43">
        <f t="shared" si="18"/>
        <v>0</v>
      </c>
      <c r="S37">
        <f t="shared" si="19"/>
        <v>0</v>
      </c>
      <c r="T37" s="18">
        <f t="shared" si="10"/>
        <v>0</v>
      </c>
      <c r="U37" s="151">
        <f t="shared" si="11"/>
        <v>0</v>
      </c>
      <c r="V37" s="151">
        <f t="shared" si="12"/>
        <v>0</v>
      </c>
      <c r="W37" s="151">
        <f t="shared" si="13"/>
        <v>0</v>
      </c>
      <c r="X37" s="151">
        <f t="shared" si="14"/>
        <v>0</v>
      </c>
      <c r="Y37" s="18">
        <f t="shared" si="20"/>
        <v>0</v>
      </c>
      <c r="AB37" s="168"/>
      <c r="AC37" s="168"/>
    </row>
    <row r="38" spans="1:30" x14ac:dyDescent="0.2">
      <c r="A38" s="183" t="s">
        <v>554</v>
      </c>
      <c r="B38" t="s">
        <v>386</v>
      </c>
      <c r="C38" t="s">
        <v>444</v>
      </c>
      <c r="D38">
        <v>3025701</v>
      </c>
      <c r="E38" t="s">
        <v>420</v>
      </c>
      <c r="F38" s="177">
        <v>37196</v>
      </c>
      <c r="G38" s="177"/>
      <c r="H38" s="177"/>
      <c r="I38" s="177" t="s">
        <v>576</v>
      </c>
      <c r="J38">
        <f t="shared" si="6"/>
        <v>117</v>
      </c>
      <c r="K38">
        <f t="shared" si="16"/>
        <v>131</v>
      </c>
      <c r="L38" s="67"/>
      <c r="M38" s="127"/>
      <c r="N38" s="127"/>
      <c r="O38" s="127"/>
      <c r="P38" s="127">
        <f t="shared" si="2"/>
        <v>114</v>
      </c>
      <c r="Q38" s="43" t="str">
        <f t="shared" si="17"/>
        <v>Y</v>
      </c>
      <c r="R38" s="43">
        <f t="shared" si="18"/>
        <v>0</v>
      </c>
      <c r="S38">
        <f t="shared" si="19"/>
        <v>131</v>
      </c>
      <c r="T38" s="18">
        <f t="shared" si="10"/>
        <v>114</v>
      </c>
      <c r="U38" s="151">
        <f t="shared" si="11"/>
        <v>3</v>
      </c>
      <c r="V38" s="151">
        <f t="shared" si="12"/>
        <v>9</v>
      </c>
      <c r="W38" s="151">
        <f t="shared" si="13"/>
        <v>4</v>
      </c>
      <c r="X38" s="151">
        <f t="shared" si="14"/>
        <v>1</v>
      </c>
      <c r="Y38" s="18">
        <f t="shared" si="20"/>
        <v>17</v>
      </c>
      <c r="AB38" s="168"/>
      <c r="AC38" s="168"/>
    </row>
    <row r="39" spans="1:30" x14ac:dyDescent="0.2">
      <c r="A39" s="183" t="s">
        <v>554</v>
      </c>
      <c r="B39" t="s">
        <v>386</v>
      </c>
      <c r="C39" t="s">
        <v>581</v>
      </c>
      <c r="D39">
        <v>3026101</v>
      </c>
      <c r="E39" t="s">
        <v>420</v>
      </c>
      <c r="F39" s="177">
        <v>37196</v>
      </c>
      <c r="G39" s="177"/>
      <c r="H39" s="177"/>
      <c r="I39" s="177" t="s">
        <v>576</v>
      </c>
      <c r="J39">
        <f t="shared" si="6"/>
        <v>0</v>
      </c>
      <c r="K39">
        <f t="shared" si="16"/>
        <v>0</v>
      </c>
      <c r="L39" s="67"/>
      <c r="M39" s="127"/>
      <c r="N39" s="127"/>
      <c r="O39" s="127"/>
      <c r="P39" s="127">
        <f t="shared" si="2"/>
        <v>0</v>
      </c>
      <c r="Q39" s="43" t="str">
        <f t="shared" si="17"/>
        <v>Y</v>
      </c>
      <c r="R39" s="43">
        <f t="shared" si="18"/>
        <v>0</v>
      </c>
      <c r="S39">
        <f t="shared" si="19"/>
        <v>0</v>
      </c>
      <c r="T39" s="18">
        <f t="shared" si="10"/>
        <v>0</v>
      </c>
      <c r="U39" s="151">
        <f t="shared" si="11"/>
        <v>0</v>
      </c>
      <c r="V39" s="151">
        <f t="shared" si="12"/>
        <v>0</v>
      </c>
      <c r="W39" s="151">
        <f t="shared" si="13"/>
        <v>0</v>
      </c>
      <c r="X39" s="151">
        <f t="shared" si="14"/>
        <v>0</v>
      </c>
      <c r="Y39" s="18">
        <f t="shared" si="20"/>
        <v>0</v>
      </c>
      <c r="AB39" s="168"/>
      <c r="AC39" s="168"/>
    </row>
    <row r="40" spans="1:30" x14ac:dyDescent="0.2">
      <c r="A40" s="183" t="s">
        <v>554</v>
      </c>
      <c r="B40" t="s">
        <v>386</v>
      </c>
      <c r="C40" t="s">
        <v>445</v>
      </c>
      <c r="D40">
        <v>3026401</v>
      </c>
      <c r="E40" t="s">
        <v>420</v>
      </c>
      <c r="F40" s="177">
        <v>37196</v>
      </c>
      <c r="G40" s="177"/>
      <c r="H40" s="177"/>
      <c r="I40" s="177" t="s">
        <v>576</v>
      </c>
      <c r="J40">
        <f t="shared" si="6"/>
        <v>0</v>
      </c>
      <c r="K40">
        <f t="shared" si="16"/>
        <v>0</v>
      </c>
      <c r="L40" s="67"/>
      <c r="M40" s="127"/>
      <c r="N40" s="127"/>
      <c r="O40" s="127"/>
      <c r="P40" s="127">
        <f t="shared" si="2"/>
        <v>0</v>
      </c>
      <c r="Q40" s="43" t="str">
        <f t="shared" si="17"/>
        <v>Y</v>
      </c>
      <c r="R40" s="43">
        <f t="shared" si="18"/>
        <v>0</v>
      </c>
      <c r="S40">
        <f t="shared" si="19"/>
        <v>0</v>
      </c>
      <c r="T40" s="18">
        <f t="shared" si="10"/>
        <v>0</v>
      </c>
      <c r="U40" s="151">
        <f t="shared" si="11"/>
        <v>0</v>
      </c>
      <c r="V40" s="151">
        <f t="shared" si="12"/>
        <v>0</v>
      </c>
      <c r="W40" s="151">
        <f t="shared" si="13"/>
        <v>0</v>
      </c>
      <c r="X40" s="151">
        <f t="shared" si="14"/>
        <v>0</v>
      </c>
      <c r="Y40" s="18">
        <f t="shared" si="20"/>
        <v>0</v>
      </c>
      <c r="AB40" s="168"/>
      <c r="AC40" s="168"/>
    </row>
    <row r="41" spans="1:30" x14ac:dyDescent="0.2">
      <c r="A41" s="183" t="s">
        <v>554</v>
      </c>
      <c r="B41" t="s">
        <v>386</v>
      </c>
      <c r="C41" t="s">
        <v>446</v>
      </c>
      <c r="D41">
        <v>3026601</v>
      </c>
      <c r="E41" t="s">
        <v>420</v>
      </c>
      <c r="F41" s="177">
        <v>37196</v>
      </c>
      <c r="G41" s="177"/>
      <c r="H41" s="177"/>
      <c r="I41" s="177" t="s">
        <v>576</v>
      </c>
      <c r="J41">
        <f t="shared" si="6"/>
        <v>0</v>
      </c>
      <c r="K41">
        <f t="shared" si="16"/>
        <v>0</v>
      </c>
      <c r="L41" s="67">
        <f t="shared" si="7"/>
        <v>2.2800000000000001E-2</v>
      </c>
      <c r="M41" s="127">
        <f t="shared" si="8"/>
        <v>0</v>
      </c>
      <c r="N41" s="127">
        <f t="shared" si="0"/>
        <v>0</v>
      </c>
      <c r="O41" s="127">
        <f t="shared" si="1"/>
        <v>0</v>
      </c>
      <c r="P41" s="127">
        <f t="shared" si="2"/>
        <v>0</v>
      </c>
      <c r="Q41" s="43" t="str">
        <f t="shared" si="17"/>
        <v>Y</v>
      </c>
      <c r="R41" s="43">
        <f t="shared" si="18"/>
        <v>0</v>
      </c>
      <c r="S41">
        <f t="shared" si="19"/>
        <v>0</v>
      </c>
      <c r="T41" s="18">
        <f t="shared" si="10"/>
        <v>0</v>
      </c>
      <c r="U41" s="151">
        <f t="shared" si="11"/>
        <v>0</v>
      </c>
      <c r="V41" s="151">
        <f t="shared" si="12"/>
        <v>0</v>
      </c>
      <c r="W41" s="151">
        <f t="shared" si="13"/>
        <v>0</v>
      </c>
      <c r="X41" s="151">
        <f t="shared" si="14"/>
        <v>0</v>
      </c>
      <c r="Y41" s="18">
        <f t="shared" si="20"/>
        <v>0</v>
      </c>
      <c r="AB41" s="168"/>
      <c r="AC41" s="168"/>
      <c r="AD41" t="e">
        <f t="shared" si="15"/>
        <v>#N/A</v>
      </c>
    </row>
    <row r="42" spans="1:30" x14ac:dyDescent="0.2">
      <c r="A42" s="183" t="s">
        <v>554</v>
      </c>
      <c r="B42" t="s">
        <v>386</v>
      </c>
      <c r="C42" t="s">
        <v>447</v>
      </c>
      <c r="D42">
        <v>3029601</v>
      </c>
      <c r="E42" t="s">
        <v>420</v>
      </c>
      <c r="F42" s="177">
        <v>37196</v>
      </c>
      <c r="G42" s="177"/>
      <c r="H42" s="177"/>
      <c r="I42" s="177" t="s">
        <v>576</v>
      </c>
      <c r="J42">
        <f t="shared" si="6"/>
        <v>0</v>
      </c>
      <c r="K42">
        <f t="shared" si="16"/>
        <v>0</v>
      </c>
      <c r="L42" s="67">
        <f t="shared" si="7"/>
        <v>2.2800000000000001E-2</v>
      </c>
      <c r="M42" s="127">
        <f t="shared" si="8"/>
        <v>0</v>
      </c>
      <c r="N42" s="127">
        <f t="shared" si="0"/>
        <v>0</v>
      </c>
      <c r="O42" s="127">
        <f t="shared" si="1"/>
        <v>0</v>
      </c>
      <c r="P42" s="127">
        <f t="shared" si="2"/>
        <v>0</v>
      </c>
      <c r="Q42" s="43" t="str">
        <f t="shared" si="17"/>
        <v>Y</v>
      </c>
      <c r="R42" s="43">
        <f t="shared" si="18"/>
        <v>0</v>
      </c>
      <c r="S42">
        <f t="shared" si="19"/>
        <v>0</v>
      </c>
      <c r="T42" s="18">
        <f t="shared" si="10"/>
        <v>0</v>
      </c>
      <c r="U42" s="151">
        <f t="shared" si="11"/>
        <v>0</v>
      </c>
      <c r="V42" s="151">
        <f t="shared" si="12"/>
        <v>0</v>
      </c>
      <c r="W42" s="151">
        <f t="shared" si="13"/>
        <v>0</v>
      </c>
      <c r="X42" s="151">
        <f t="shared" si="14"/>
        <v>0</v>
      </c>
      <c r="Y42" s="18">
        <f t="shared" si="20"/>
        <v>0</v>
      </c>
      <c r="AB42" s="168"/>
      <c r="AC42" s="168"/>
      <c r="AD42" t="e">
        <f t="shared" si="15"/>
        <v>#N/A</v>
      </c>
    </row>
    <row r="43" spans="1:30" x14ac:dyDescent="0.2">
      <c r="A43" s="183" t="s">
        <v>554</v>
      </c>
      <c r="B43" t="s">
        <v>386</v>
      </c>
      <c r="C43" t="s">
        <v>448</v>
      </c>
      <c r="D43">
        <v>3029801</v>
      </c>
      <c r="E43" t="s">
        <v>420</v>
      </c>
      <c r="F43" s="177">
        <v>37196</v>
      </c>
      <c r="G43" s="177"/>
      <c r="H43" s="177"/>
      <c r="I43" s="177" t="s">
        <v>576</v>
      </c>
      <c r="J43">
        <f t="shared" si="6"/>
        <v>0</v>
      </c>
      <c r="K43">
        <f t="shared" si="16"/>
        <v>0</v>
      </c>
      <c r="L43" s="67">
        <f t="shared" si="7"/>
        <v>2.2800000000000001E-2</v>
      </c>
      <c r="M43" s="127">
        <f t="shared" si="8"/>
        <v>0</v>
      </c>
      <c r="N43" s="127">
        <f t="shared" si="0"/>
        <v>0</v>
      </c>
      <c r="O43" s="127">
        <f t="shared" si="1"/>
        <v>0</v>
      </c>
      <c r="P43" s="127">
        <f t="shared" si="2"/>
        <v>0</v>
      </c>
      <c r="Q43" s="43" t="str">
        <f t="shared" si="9"/>
        <v>Y</v>
      </c>
      <c r="R43" s="43">
        <f t="shared" ref="R43:R68" si="21">IF(ISNA(VLOOKUP(C43,INCNG,10,FALSE)),0,VLOOKUP(C43,INCNG,10,FALSE))</f>
        <v>0</v>
      </c>
      <c r="S43">
        <f t="shared" si="4"/>
        <v>0</v>
      </c>
      <c r="T43" s="18">
        <f t="shared" si="10"/>
        <v>0</v>
      </c>
      <c r="U43" s="151">
        <f t="shared" si="11"/>
        <v>0</v>
      </c>
      <c r="V43" s="151">
        <f t="shared" si="12"/>
        <v>0</v>
      </c>
      <c r="W43" s="151">
        <f t="shared" si="13"/>
        <v>0</v>
      </c>
      <c r="X43" s="151">
        <f t="shared" si="14"/>
        <v>0</v>
      </c>
      <c r="Y43" s="18">
        <f t="shared" si="5"/>
        <v>0</v>
      </c>
      <c r="AB43" s="168"/>
      <c r="AC43" s="168"/>
      <c r="AD43" t="e">
        <f t="shared" si="15"/>
        <v>#N/A</v>
      </c>
    </row>
    <row r="44" spans="1:30" x14ac:dyDescent="0.2">
      <c r="A44" s="183" t="s">
        <v>554</v>
      </c>
      <c r="B44" t="s">
        <v>386</v>
      </c>
      <c r="C44" t="s">
        <v>449</v>
      </c>
      <c r="D44">
        <v>3031301</v>
      </c>
      <c r="E44" t="s">
        <v>420</v>
      </c>
      <c r="F44" s="177">
        <v>37196</v>
      </c>
      <c r="G44" s="177"/>
      <c r="H44" s="177"/>
      <c r="I44" s="177" t="s">
        <v>576</v>
      </c>
      <c r="J44">
        <f t="shared" si="6"/>
        <v>281</v>
      </c>
      <c r="K44">
        <f t="shared" si="16"/>
        <v>311</v>
      </c>
      <c r="L44" s="67">
        <f t="shared" si="7"/>
        <v>2.2800000000000001E-2</v>
      </c>
      <c r="M44" s="127">
        <f t="shared" si="8"/>
        <v>6.4068000000000005</v>
      </c>
      <c r="N44" s="127">
        <f t="shared" si="0"/>
        <v>7.0908000000000007</v>
      </c>
      <c r="O44" s="127">
        <f t="shared" si="1"/>
        <v>244</v>
      </c>
      <c r="P44" s="127">
        <f t="shared" si="2"/>
        <v>270</v>
      </c>
      <c r="Q44" s="43" t="str">
        <f t="shared" si="9"/>
        <v>Y</v>
      </c>
      <c r="R44" s="43">
        <f t="shared" si="21"/>
        <v>244</v>
      </c>
      <c r="S44">
        <f t="shared" si="4"/>
        <v>67</v>
      </c>
      <c r="T44" s="18">
        <f t="shared" si="10"/>
        <v>26</v>
      </c>
      <c r="U44" s="151">
        <f t="shared" si="11"/>
        <v>7</v>
      </c>
      <c r="V44" s="151">
        <f t="shared" si="12"/>
        <v>22</v>
      </c>
      <c r="W44" s="151">
        <f t="shared" si="13"/>
        <v>9</v>
      </c>
      <c r="X44" s="151">
        <f t="shared" si="14"/>
        <v>3</v>
      </c>
      <c r="Y44" s="18">
        <f t="shared" si="5"/>
        <v>41</v>
      </c>
      <c r="AB44" s="168"/>
      <c r="AC44" s="168"/>
      <c r="AD44" t="e">
        <f t="shared" si="15"/>
        <v>#N/A</v>
      </c>
    </row>
    <row r="45" spans="1:30" x14ac:dyDescent="0.2">
      <c r="A45" s="183" t="s">
        <v>554</v>
      </c>
      <c r="B45" t="s">
        <v>386</v>
      </c>
      <c r="C45" t="s">
        <v>450</v>
      </c>
      <c r="D45">
        <v>3031701</v>
      </c>
      <c r="E45" t="s">
        <v>420</v>
      </c>
      <c r="F45" s="177">
        <v>37196</v>
      </c>
      <c r="G45" s="177"/>
      <c r="H45" s="177"/>
      <c r="I45" s="177" t="s">
        <v>576</v>
      </c>
      <c r="J45">
        <f t="shared" si="6"/>
        <v>0</v>
      </c>
      <c r="K45">
        <f t="shared" si="16"/>
        <v>0</v>
      </c>
      <c r="L45" s="67">
        <f t="shared" si="7"/>
        <v>2.2800000000000001E-2</v>
      </c>
      <c r="M45" s="127">
        <f t="shared" si="8"/>
        <v>0</v>
      </c>
      <c r="N45" s="127">
        <f t="shared" si="0"/>
        <v>0</v>
      </c>
      <c r="O45" s="127">
        <f t="shared" si="1"/>
        <v>0</v>
      </c>
      <c r="P45" s="127">
        <f t="shared" si="2"/>
        <v>0</v>
      </c>
      <c r="Q45" s="43" t="str">
        <f t="shared" si="9"/>
        <v>Y</v>
      </c>
      <c r="R45" s="43">
        <f t="shared" si="21"/>
        <v>0</v>
      </c>
      <c r="S45">
        <f t="shared" si="4"/>
        <v>0</v>
      </c>
      <c r="T45" s="18">
        <f t="shared" si="10"/>
        <v>0</v>
      </c>
      <c r="U45" s="151">
        <f t="shared" si="11"/>
        <v>0</v>
      </c>
      <c r="V45" s="151">
        <f t="shared" si="12"/>
        <v>0</v>
      </c>
      <c r="W45" s="151">
        <f t="shared" si="13"/>
        <v>0</v>
      </c>
      <c r="X45" s="151">
        <f t="shared" si="14"/>
        <v>0</v>
      </c>
      <c r="Y45" s="18">
        <f t="shared" si="5"/>
        <v>0</v>
      </c>
      <c r="AB45" s="168"/>
      <c r="AC45" s="168"/>
      <c r="AD45" t="e">
        <f t="shared" si="15"/>
        <v>#N/A</v>
      </c>
    </row>
    <row r="46" spans="1:30" x14ac:dyDescent="0.2">
      <c r="A46" s="183" t="s">
        <v>554</v>
      </c>
      <c r="B46" t="s">
        <v>386</v>
      </c>
      <c r="C46" t="s">
        <v>451</v>
      </c>
      <c r="D46">
        <v>3033601</v>
      </c>
      <c r="E46" t="s">
        <v>420</v>
      </c>
      <c r="F46" s="177">
        <v>37196</v>
      </c>
      <c r="G46" s="177"/>
      <c r="H46" s="177"/>
      <c r="I46" s="177" t="s">
        <v>576</v>
      </c>
      <c r="J46">
        <f t="shared" si="6"/>
        <v>0</v>
      </c>
      <c r="K46">
        <f t="shared" si="16"/>
        <v>0</v>
      </c>
      <c r="L46" s="67">
        <f t="shared" si="7"/>
        <v>2.2800000000000001E-2</v>
      </c>
      <c r="M46" s="127">
        <f t="shared" si="8"/>
        <v>0</v>
      </c>
      <c r="N46" s="127">
        <f t="shared" si="0"/>
        <v>0</v>
      </c>
      <c r="O46" s="127">
        <f t="shared" si="1"/>
        <v>0</v>
      </c>
      <c r="P46" s="127">
        <f t="shared" si="2"/>
        <v>0</v>
      </c>
      <c r="Q46" s="43" t="str">
        <f t="shared" si="9"/>
        <v>Y</v>
      </c>
      <c r="R46" s="43">
        <f t="shared" si="21"/>
        <v>0</v>
      </c>
      <c r="S46">
        <f t="shared" si="4"/>
        <v>0</v>
      </c>
      <c r="T46" s="18">
        <f t="shared" si="10"/>
        <v>0</v>
      </c>
      <c r="U46" s="151">
        <f t="shared" si="11"/>
        <v>0</v>
      </c>
      <c r="V46" s="151">
        <f t="shared" si="12"/>
        <v>0</v>
      </c>
      <c r="W46" s="151">
        <f t="shared" si="13"/>
        <v>0</v>
      </c>
      <c r="X46" s="151">
        <f t="shared" si="14"/>
        <v>0</v>
      </c>
      <c r="Y46" s="18">
        <f t="shared" si="5"/>
        <v>0</v>
      </c>
      <c r="AB46" s="168"/>
      <c r="AC46" s="168"/>
      <c r="AD46" t="e">
        <f t="shared" si="15"/>
        <v>#N/A</v>
      </c>
    </row>
    <row r="47" spans="1:30" x14ac:dyDescent="0.2">
      <c r="A47" s="183" t="s">
        <v>554</v>
      </c>
      <c r="B47" t="s">
        <v>386</v>
      </c>
      <c r="C47" t="s">
        <v>452</v>
      </c>
      <c r="D47">
        <v>3034501</v>
      </c>
      <c r="E47" t="s">
        <v>420</v>
      </c>
      <c r="F47" s="177">
        <v>37196</v>
      </c>
      <c r="G47" s="177"/>
      <c r="H47" s="177"/>
      <c r="I47" s="177" t="s">
        <v>576</v>
      </c>
      <c r="J47">
        <f t="shared" si="6"/>
        <v>0</v>
      </c>
      <c r="K47">
        <f t="shared" si="16"/>
        <v>0</v>
      </c>
      <c r="L47" s="67">
        <f t="shared" si="7"/>
        <v>2.2800000000000001E-2</v>
      </c>
      <c r="M47" s="127">
        <f t="shared" si="8"/>
        <v>0</v>
      </c>
      <c r="N47" s="127">
        <f t="shared" si="0"/>
        <v>0</v>
      </c>
      <c r="O47" s="127">
        <f t="shared" si="1"/>
        <v>0</v>
      </c>
      <c r="P47" s="127">
        <f t="shared" si="2"/>
        <v>0</v>
      </c>
      <c r="Q47" s="43" t="str">
        <f t="shared" si="9"/>
        <v>Y</v>
      </c>
      <c r="R47" s="43">
        <f t="shared" si="21"/>
        <v>0</v>
      </c>
      <c r="S47">
        <f t="shared" si="4"/>
        <v>0</v>
      </c>
      <c r="T47" s="18">
        <f t="shared" si="10"/>
        <v>0</v>
      </c>
      <c r="U47" s="151">
        <f t="shared" si="11"/>
        <v>0</v>
      </c>
      <c r="V47" s="151">
        <f t="shared" si="12"/>
        <v>0</v>
      </c>
      <c r="W47" s="151">
        <f t="shared" si="13"/>
        <v>0</v>
      </c>
      <c r="X47" s="151">
        <f t="shared" si="14"/>
        <v>0</v>
      </c>
      <c r="Y47" s="18">
        <f t="shared" si="5"/>
        <v>0</v>
      </c>
      <c r="AB47" s="168"/>
      <c r="AC47" s="168"/>
      <c r="AD47" t="e">
        <f t="shared" si="15"/>
        <v>#N/A</v>
      </c>
    </row>
    <row r="48" spans="1:30" x14ac:dyDescent="0.2">
      <c r="A48" s="183" t="s">
        <v>554</v>
      </c>
      <c r="B48" t="s">
        <v>386</v>
      </c>
      <c r="C48" t="s">
        <v>453</v>
      </c>
      <c r="D48">
        <v>3038001</v>
      </c>
      <c r="E48" t="s">
        <v>420</v>
      </c>
      <c r="F48" s="177">
        <v>37196</v>
      </c>
      <c r="G48" s="177"/>
      <c r="H48" s="177"/>
      <c r="I48" s="177" t="s">
        <v>576</v>
      </c>
      <c r="J48">
        <f t="shared" si="6"/>
        <v>0</v>
      </c>
      <c r="K48">
        <f t="shared" si="16"/>
        <v>0</v>
      </c>
      <c r="L48" s="67">
        <f>VLOOKUP(I48,Retention,2,FALSE)</f>
        <v>2.2800000000000001E-2</v>
      </c>
      <c r="M48" s="127">
        <f>IF(OR(I48="TD",I48="TW"),0,J48*0.0228)</f>
        <v>0</v>
      </c>
      <c r="N48" s="127">
        <f>IF(OR(I48="TD",I48="TW"),0,K48*0.0228)</f>
        <v>0</v>
      </c>
      <c r="O48" s="127">
        <f>J48-ROUND(+$J48*(VLOOKUP($I48,cngded,6,FALSE)),0)</f>
        <v>0</v>
      </c>
      <c r="P48" s="127">
        <f t="shared" si="2"/>
        <v>0</v>
      </c>
      <c r="Q48" s="43" t="str">
        <f>IF(ISNA(VLOOKUP(C48,INCNG,1,FALSE)),"--", "Y")</f>
        <v>Y</v>
      </c>
      <c r="R48" s="43">
        <f t="shared" si="21"/>
        <v>0</v>
      </c>
      <c r="S48">
        <f>+K48-R48</f>
        <v>0</v>
      </c>
      <c r="T48" s="18">
        <f t="shared" si="10"/>
        <v>0</v>
      </c>
      <c r="U48" s="151">
        <f t="shared" si="11"/>
        <v>0</v>
      </c>
      <c r="V48" s="151">
        <f t="shared" si="12"/>
        <v>0</v>
      </c>
      <c r="W48" s="151">
        <f t="shared" si="13"/>
        <v>0</v>
      </c>
      <c r="X48" s="151">
        <f t="shared" si="14"/>
        <v>0</v>
      </c>
      <c r="Y48" s="18">
        <f>SUM(U48:X48)</f>
        <v>0</v>
      </c>
      <c r="AB48" s="168"/>
      <c r="AC48" s="168"/>
      <c r="AD48" t="e">
        <f t="shared" si="15"/>
        <v>#N/A</v>
      </c>
    </row>
    <row r="49" spans="1:30" x14ac:dyDescent="0.2">
      <c r="A49" s="183" t="s">
        <v>554</v>
      </c>
      <c r="B49" t="s">
        <v>386</v>
      </c>
      <c r="C49" t="s">
        <v>231</v>
      </c>
      <c r="D49">
        <v>3038201</v>
      </c>
      <c r="E49" t="s">
        <v>594</v>
      </c>
      <c r="F49" s="177">
        <v>37196</v>
      </c>
      <c r="G49" s="177"/>
      <c r="H49" s="177"/>
      <c r="I49" s="177" t="s">
        <v>576</v>
      </c>
      <c r="J49">
        <f t="shared" si="6"/>
        <v>299</v>
      </c>
      <c r="K49">
        <f t="shared" si="16"/>
        <v>519</v>
      </c>
      <c r="L49" s="67">
        <f>VLOOKUP(I49,Retention,2,FALSE)</f>
        <v>2.2800000000000001E-2</v>
      </c>
      <c r="M49" s="127">
        <f>IF(OR(I49="TD",I49="TW"),0,J49*0.0228)</f>
        <v>6.8172000000000006</v>
      </c>
      <c r="N49" s="127">
        <f>IF(OR(I49="TD",I49="TW"),0,K49*0.0228)</f>
        <v>11.8332</v>
      </c>
      <c r="O49" s="127">
        <f>J49-ROUND(+$J49*(VLOOKUP($I49,cngded,6,FALSE)),0)</f>
        <v>259</v>
      </c>
      <c r="P49" s="127">
        <f t="shared" si="2"/>
        <v>450</v>
      </c>
      <c r="Q49" s="43" t="str">
        <f>IF(ISNA(VLOOKUP(C49,INCNG,1,FALSE)),"--", "Y")</f>
        <v>Y</v>
      </c>
      <c r="R49" s="43">
        <f t="shared" si="21"/>
        <v>259</v>
      </c>
      <c r="S49">
        <f>+K49-R49</f>
        <v>260</v>
      </c>
      <c r="T49" s="18">
        <f t="shared" si="10"/>
        <v>191</v>
      </c>
      <c r="U49" s="151">
        <f t="shared" si="11"/>
        <v>12</v>
      </c>
      <c r="V49" s="151">
        <f t="shared" si="12"/>
        <v>37</v>
      </c>
      <c r="W49" s="151">
        <f t="shared" si="13"/>
        <v>16</v>
      </c>
      <c r="X49" s="151">
        <f t="shared" si="14"/>
        <v>5</v>
      </c>
      <c r="Y49" s="18">
        <f>SUM(U49:X49)</f>
        <v>70</v>
      </c>
      <c r="AB49" s="168"/>
      <c r="AC49" s="168"/>
      <c r="AD49" t="e">
        <f t="shared" si="15"/>
        <v>#N/A</v>
      </c>
    </row>
    <row r="50" spans="1:30" x14ac:dyDescent="0.2">
      <c r="A50" s="183" t="s">
        <v>554</v>
      </c>
      <c r="B50" t="s">
        <v>386</v>
      </c>
      <c r="C50" t="s">
        <v>454</v>
      </c>
      <c r="D50">
        <v>3038601</v>
      </c>
      <c r="E50" t="s">
        <v>455</v>
      </c>
      <c r="F50" s="177">
        <v>37196</v>
      </c>
      <c r="G50" s="177"/>
      <c r="H50" s="177"/>
      <c r="I50" s="177" t="s">
        <v>576</v>
      </c>
      <c r="J50">
        <f t="shared" si="6"/>
        <v>8149</v>
      </c>
      <c r="K50">
        <f t="shared" si="16"/>
        <v>11105</v>
      </c>
      <c r="L50" s="67">
        <f>VLOOKUP(I50,Retention,2,FALSE)</f>
        <v>2.2800000000000001E-2</v>
      </c>
      <c r="M50" s="127">
        <f>IF(OR(I50="TD",I50="TW"),0,J50*0.0228)</f>
        <v>185.7972</v>
      </c>
      <c r="N50" s="127">
        <f>IF(OR(I50="TD",I50="TW"),0,K50*0.0228)</f>
        <v>253.19400000000002</v>
      </c>
      <c r="O50" s="127">
        <f>J50-ROUND(+$J50*(VLOOKUP($I50,cngded,6,FALSE)),0)</f>
        <v>7069</v>
      </c>
      <c r="P50" s="127">
        <f t="shared" si="2"/>
        <v>9634</v>
      </c>
      <c r="Q50" s="43" t="str">
        <f>IF(ISNA(VLOOKUP(C50,INCNG,1,FALSE)),"--", "Y")</f>
        <v>Y</v>
      </c>
      <c r="R50" s="43">
        <f t="shared" si="21"/>
        <v>7069</v>
      </c>
      <c r="S50">
        <f>+K50-R50</f>
        <v>4036</v>
      </c>
      <c r="T50" s="18">
        <f t="shared" si="10"/>
        <v>2565</v>
      </c>
      <c r="U50" s="151">
        <f t="shared" si="11"/>
        <v>253</v>
      </c>
      <c r="V50" s="151">
        <f t="shared" si="12"/>
        <v>784</v>
      </c>
      <c r="W50" s="151">
        <f t="shared" si="13"/>
        <v>333</v>
      </c>
      <c r="X50" s="151">
        <f t="shared" si="14"/>
        <v>101</v>
      </c>
      <c r="Y50" s="18">
        <f>SUM(U50:X50)</f>
        <v>1471</v>
      </c>
      <c r="AB50" s="168"/>
      <c r="AC50" s="168"/>
      <c r="AD50" t="e">
        <f t="shared" si="15"/>
        <v>#N/A</v>
      </c>
    </row>
    <row r="51" spans="1:30" x14ac:dyDescent="0.2">
      <c r="A51" s="183" t="s">
        <v>554</v>
      </c>
      <c r="B51" t="s">
        <v>386</v>
      </c>
      <c r="C51" t="s">
        <v>229</v>
      </c>
      <c r="D51">
        <v>3043201</v>
      </c>
      <c r="E51" t="s">
        <v>594</v>
      </c>
      <c r="F51" s="177">
        <v>37196</v>
      </c>
      <c r="G51" s="177"/>
      <c r="H51" s="177"/>
      <c r="I51" s="177" t="s">
        <v>576</v>
      </c>
      <c r="J51">
        <f t="shared" si="6"/>
        <v>55</v>
      </c>
      <c r="K51">
        <f t="shared" si="16"/>
        <v>82</v>
      </c>
      <c r="L51" s="67">
        <f>VLOOKUP(I51,Retention,2,FALSE)</f>
        <v>2.2800000000000001E-2</v>
      </c>
      <c r="M51" s="127">
        <f>IF(OR(I51="TD",I51="TW"),0,J51*0.0228)</f>
        <v>1.254</v>
      </c>
      <c r="N51" s="127">
        <f>IF(OR(I51="TD",I51="TW"),0,K51*0.0228)</f>
        <v>1.8696000000000002</v>
      </c>
      <c r="O51" s="127">
        <f>J51-ROUND(+$J51*(VLOOKUP($I51,cngded,6,FALSE)),0)</f>
        <v>48</v>
      </c>
      <c r="P51" s="127">
        <f t="shared" si="2"/>
        <v>71</v>
      </c>
      <c r="Q51" s="43" t="str">
        <f>IF(ISNA(VLOOKUP(C51,INCNG,1,FALSE)),"--", "Y")</f>
        <v>Y</v>
      </c>
      <c r="R51" s="43">
        <f t="shared" si="21"/>
        <v>48</v>
      </c>
      <c r="S51">
        <f>+K51-R51</f>
        <v>34</v>
      </c>
      <c r="T51" s="18">
        <f t="shared" si="10"/>
        <v>23</v>
      </c>
      <c r="U51" s="151">
        <f t="shared" si="11"/>
        <v>2</v>
      </c>
      <c r="V51" s="151">
        <f t="shared" si="12"/>
        <v>6</v>
      </c>
      <c r="W51" s="151">
        <f t="shared" si="13"/>
        <v>2</v>
      </c>
      <c r="X51" s="151">
        <f t="shared" si="14"/>
        <v>1</v>
      </c>
      <c r="Y51" s="18">
        <f>SUM(U51:X51)</f>
        <v>11</v>
      </c>
      <c r="AB51" s="168"/>
      <c r="AC51" s="168"/>
      <c r="AD51" t="e">
        <f t="shared" si="15"/>
        <v>#N/A</v>
      </c>
    </row>
    <row r="52" spans="1:30" x14ac:dyDescent="0.2">
      <c r="A52" s="183" t="s">
        <v>554</v>
      </c>
      <c r="B52" t="s">
        <v>386</v>
      </c>
      <c r="C52" t="s">
        <v>230</v>
      </c>
      <c r="D52">
        <v>3043401</v>
      </c>
      <c r="E52" t="s">
        <v>594</v>
      </c>
      <c r="F52" s="177">
        <v>37196</v>
      </c>
      <c r="G52" s="177"/>
      <c r="H52" s="177"/>
      <c r="I52" s="177" t="s">
        <v>576</v>
      </c>
      <c r="J52">
        <f t="shared" si="6"/>
        <v>0</v>
      </c>
      <c r="K52">
        <f t="shared" si="16"/>
        <v>0</v>
      </c>
      <c r="L52" s="67">
        <f t="shared" si="7"/>
        <v>2.2800000000000001E-2</v>
      </c>
      <c r="M52" s="127">
        <f t="shared" si="8"/>
        <v>0</v>
      </c>
      <c r="N52" s="127">
        <f t="shared" si="0"/>
        <v>0</v>
      </c>
      <c r="O52" s="127">
        <f t="shared" si="1"/>
        <v>0</v>
      </c>
      <c r="P52" s="127">
        <f t="shared" si="2"/>
        <v>0</v>
      </c>
      <c r="Q52" s="43" t="str">
        <f t="shared" si="9"/>
        <v>Y</v>
      </c>
      <c r="R52" s="43">
        <f t="shared" si="21"/>
        <v>0</v>
      </c>
      <c r="S52">
        <f t="shared" si="4"/>
        <v>0</v>
      </c>
      <c r="T52" s="18">
        <f t="shared" si="10"/>
        <v>0</v>
      </c>
      <c r="U52" s="151">
        <f t="shared" si="11"/>
        <v>0</v>
      </c>
      <c r="V52" s="151">
        <f t="shared" si="12"/>
        <v>0</v>
      </c>
      <c r="W52" s="151">
        <f t="shared" si="13"/>
        <v>0</v>
      </c>
      <c r="X52" s="151">
        <f t="shared" si="14"/>
        <v>0</v>
      </c>
      <c r="Y52" s="18">
        <f t="shared" si="5"/>
        <v>0</v>
      </c>
      <c r="AB52" s="168"/>
      <c r="AC52" s="168"/>
      <c r="AD52" t="e">
        <f t="shared" si="15"/>
        <v>#N/A</v>
      </c>
    </row>
    <row r="53" spans="1:30" x14ac:dyDescent="0.2">
      <c r="A53" s="183" t="s">
        <v>554</v>
      </c>
      <c r="B53" t="s">
        <v>386</v>
      </c>
      <c r="C53" t="s">
        <v>294</v>
      </c>
      <c r="D53">
        <v>3046501</v>
      </c>
      <c r="E53" t="s">
        <v>175</v>
      </c>
      <c r="F53" s="177">
        <v>37196</v>
      </c>
      <c r="G53" s="177"/>
      <c r="H53" s="177"/>
      <c r="I53" s="177" t="s">
        <v>576</v>
      </c>
      <c r="J53">
        <f t="shared" si="6"/>
        <v>150</v>
      </c>
      <c r="K53">
        <f t="shared" si="16"/>
        <v>214</v>
      </c>
      <c r="L53" s="67">
        <f t="shared" si="7"/>
        <v>2.2800000000000001E-2</v>
      </c>
      <c r="M53" s="127">
        <f t="shared" si="8"/>
        <v>3.42</v>
      </c>
      <c r="N53" s="127">
        <f t="shared" si="0"/>
        <v>4.8792</v>
      </c>
      <c r="O53" s="127">
        <f t="shared" si="1"/>
        <v>130</v>
      </c>
      <c r="P53" s="127">
        <f t="shared" si="2"/>
        <v>186</v>
      </c>
      <c r="Q53" s="43" t="str">
        <f t="shared" si="9"/>
        <v>Y</v>
      </c>
      <c r="R53" s="43">
        <f t="shared" si="21"/>
        <v>130</v>
      </c>
      <c r="S53">
        <f t="shared" si="4"/>
        <v>84</v>
      </c>
      <c r="T53" s="18">
        <f t="shared" si="10"/>
        <v>56</v>
      </c>
      <c r="U53" s="151">
        <f t="shared" si="11"/>
        <v>5</v>
      </c>
      <c r="V53" s="151">
        <f t="shared" si="12"/>
        <v>15</v>
      </c>
      <c r="W53" s="151">
        <f t="shared" si="13"/>
        <v>6</v>
      </c>
      <c r="X53" s="151">
        <f t="shared" si="14"/>
        <v>2</v>
      </c>
      <c r="Y53" s="18">
        <f t="shared" si="5"/>
        <v>28</v>
      </c>
      <c r="AB53" s="168"/>
      <c r="AC53" s="168"/>
      <c r="AD53" t="e">
        <f t="shared" si="15"/>
        <v>#N/A</v>
      </c>
    </row>
    <row r="54" spans="1:30" x14ac:dyDescent="0.2">
      <c r="A54" s="183" t="s">
        <v>554</v>
      </c>
      <c r="B54" t="s">
        <v>386</v>
      </c>
      <c r="C54" t="s">
        <v>222</v>
      </c>
      <c r="D54">
        <v>3050201</v>
      </c>
      <c r="E54" t="s">
        <v>223</v>
      </c>
      <c r="F54" s="177">
        <v>37196</v>
      </c>
      <c r="G54" s="177"/>
      <c r="H54" s="177"/>
      <c r="I54" s="177" t="s">
        <v>576</v>
      </c>
      <c r="J54">
        <f t="shared" si="6"/>
        <v>38</v>
      </c>
      <c r="K54">
        <f t="shared" si="16"/>
        <v>55</v>
      </c>
      <c r="L54" s="67">
        <f t="shared" si="7"/>
        <v>2.2800000000000001E-2</v>
      </c>
      <c r="M54" s="127">
        <f t="shared" si="8"/>
        <v>0.86640000000000006</v>
      </c>
      <c r="N54" s="127">
        <f t="shared" si="0"/>
        <v>1.254</v>
      </c>
      <c r="O54" s="127">
        <f t="shared" si="1"/>
        <v>33</v>
      </c>
      <c r="P54" s="127">
        <f t="shared" si="2"/>
        <v>48</v>
      </c>
      <c r="Q54" s="43" t="str">
        <f t="shared" si="9"/>
        <v>Y</v>
      </c>
      <c r="R54" s="43">
        <f t="shared" si="21"/>
        <v>33</v>
      </c>
      <c r="S54">
        <f t="shared" si="4"/>
        <v>22</v>
      </c>
      <c r="T54" s="18">
        <f t="shared" si="10"/>
        <v>15</v>
      </c>
      <c r="U54" s="151">
        <f t="shared" si="11"/>
        <v>1</v>
      </c>
      <c r="V54" s="151">
        <f t="shared" si="12"/>
        <v>4</v>
      </c>
      <c r="W54" s="151">
        <f t="shared" si="13"/>
        <v>2</v>
      </c>
      <c r="X54" s="151">
        <f t="shared" si="14"/>
        <v>1</v>
      </c>
      <c r="Y54" s="18">
        <f t="shared" si="5"/>
        <v>8</v>
      </c>
      <c r="AB54" s="168"/>
      <c r="AC54" s="168"/>
      <c r="AD54" t="e">
        <f t="shared" si="15"/>
        <v>#N/A</v>
      </c>
    </row>
    <row r="55" spans="1:30" x14ac:dyDescent="0.2">
      <c r="A55" s="183" t="s">
        <v>554</v>
      </c>
      <c r="B55" t="s">
        <v>386</v>
      </c>
      <c r="C55" t="s">
        <v>224</v>
      </c>
      <c r="D55">
        <v>3053201</v>
      </c>
      <c r="E55" t="s">
        <v>223</v>
      </c>
      <c r="F55" s="177">
        <v>37196</v>
      </c>
      <c r="G55" s="177"/>
      <c r="H55" s="177"/>
      <c r="I55" s="177" t="s">
        <v>576</v>
      </c>
      <c r="J55">
        <f t="shared" si="6"/>
        <v>162</v>
      </c>
      <c r="K55">
        <f t="shared" si="16"/>
        <v>246</v>
      </c>
      <c r="L55" s="67">
        <f t="shared" si="7"/>
        <v>2.2800000000000001E-2</v>
      </c>
      <c r="M55" s="127">
        <f t="shared" si="8"/>
        <v>3.6936</v>
      </c>
      <c r="N55" s="127">
        <f t="shared" si="0"/>
        <v>5.6088000000000005</v>
      </c>
      <c r="O55" s="127">
        <f t="shared" si="1"/>
        <v>141</v>
      </c>
      <c r="P55" s="127">
        <f t="shared" si="2"/>
        <v>213</v>
      </c>
      <c r="Q55" s="43" t="str">
        <f t="shared" si="9"/>
        <v>Y</v>
      </c>
      <c r="R55" s="43">
        <f t="shared" si="21"/>
        <v>141</v>
      </c>
      <c r="S55">
        <f t="shared" si="4"/>
        <v>105</v>
      </c>
      <c r="T55" s="18">
        <f t="shared" si="10"/>
        <v>72</v>
      </c>
      <c r="U55" s="151">
        <f t="shared" si="11"/>
        <v>6</v>
      </c>
      <c r="V55" s="151">
        <f t="shared" si="12"/>
        <v>17</v>
      </c>
      <c r="W55" s="151">
        <f t="shared" si="13"/>
        <v>7</v>
      </c>
      <c r="X55" s="151">
        <f t="shared" si="14"/>
        <v>2</v>
      </c>
      <c r="Y55" s="18">
        <f t="shared" si="5"/>
        <v>32</v>
      </c>
      <c r="AB55" s="168"/>
      <c r="AC55" s="168"/>
      <c r="AD55" t="e">
        <f t="shared" si="15"/>
        <v>#N/A</v>
      </c>
    </row>
    <row r="56" spans="1:30" x14ac:dyDescent="0.2">
      <c r="A56" s="183" t="s">
        <v>554</v>
      </c>
      <c r="B56" t="s">
        <v>386</v>
      </c>
      <c r="C56" t="s">
        <v>220</v>
      </c>
      <c r="D56">
        <v>3086501</v>
      </c>
      <c r="E56" t="s">
        <v>221</v>
      </c>
      <c r="F56" s="177">
        <v>37196</v>
      </c>
      <c r="G56" s="177"/>
      <c r="H56" s="177"/>
      <c r="I56" s="177" t="s">
        <v>576</v>
      </c>
      <c r="J56">
        <f t="shared" si="6"/>
        <v>3</v>
      </c>
      <c r="K56">
        <f t="shared" si="16"/>
        <v>3</v>
      </c>
      <c r="L56" s="67">
        <f t="shared" si="7"/>
        <v>2.2800000000000001E-2</v>
      </c>
      <c r="M56" s="127">
        <f t="shared" si="8"/>
        <v>6.8400000000000002E-2</v>
      </c>
      <c r="N56" s="127">
        <f t="shared" si="0"/>
        <v>6.8400000000000002E-2</v>
      </c>
      <c r="O56" s="127">
        <f t="shared" si="1"/>
        <v>3</v>
      </c>
      <c r="P56" s="127">
        <f t="shared" si="2"/>
        <v>3</v>
      </c>
      <c r="Q56" s="43" t="str">
        <f t="shared" si="9"/>
        <v>Y</v>
      </c>
      <c r="R56" s="43">
        <f t="shared" si="21"/>
        <v>3</v>
      </c>
      <c r="S56">
        <f t="shared" si="4"/>
        <v>0</v>
      </c>
      <c r="T56" s="18">
        <f t="shared" si="10"/>
        <v>0</v>
      </c>
      <c r="U56" s="151">
        <f t="shared" si="11"/>
        <v>0</v>
      </c>
      <c r="V56" s="151">
        <f t="shared" si="12"/>
        <v>0</v>
      </c>
      <c r="W56" s="151">
        <f t="shared" si="13"/>
        <v>0</v>
      </c>
      <c r="X56" s="151">
        <f t="shared" si="14"/>
        <v>0</v>
      </c>
      <c r="Y56" s="18">
        <f t="shared" si="5"/>
        <v>0</v>
      </c>
      <c r="AB56" s="168"/>
      <c r="AC56" s="168"/>
      <c r="AD56" t="e">
        <f t="shared" si="15"/>
        <v>#N/A</v>
      </c>
    </row>
    <row r="57" spans="1:30" x14ac:dyDescent="0.2">
      <c r="A57" s="183" t="s">
        <v>554</v>
      </c>
      <c r="B57" t="s">
        <v>386</v>
      </c>
      <c r="C57" t="s">
        <v>456</v>
      </c>
      <c r="D57">
        <v>3095101</v>
      </c>
      <c r="E57" t="s">
        <v>457</v>
      </c>
      <c r="F57" s="177">
        <v>37196</v>
      </c>
      <c r="G57" s="177"/>
      <c r="H57" s="177"/>
      <c r="I57" s="177" t="s">
        <v>576</v>
      </c>
      <c r="J57">
        <f t="shared" si="6"/>
        <v>1106</v>
      </c>
      <c r="K57">
        <f t="shared" si="16"/>
        <v>1633</v>
      </c>
      <c r="L57" s="67">
        <f t="shared" si="7"/>
        <v>2.2800000000000001E-2</v>
      </c>
      <c r="M57" s="127">
        <f t="shared" si="8"/>
        <v>25.216799999999999</v>
      </c>
      <c r="N57" s="127">
        <f t="shared" si="0"/>
        <v>37.232399999999998</v>
      </c>
      <c r="O57" s="127">
        <f t="shared" si="1"/>
        <v>959</v>
      </c>
      <c r="P57" s="127">
        <f t="shared" si="2"/>
        <v>1417</v>
      </c>
      <c r="Q57" s="43" t="str">
        <f t="shared" si="9"/>
        <v>Y</v>
      </c>
      <c r="R57" s="43">
        <f t="shared" si="21"/>
        <v>959</v>
      </c>
      <c r="S57">
        <f t="shared" si="4"/>
        <v>674</v>
      </c>
      <c r="T57" s="18">
        <f t="shared" si="10"/>
        <v>458</v>
      </c>
      <c r="U57" s="151">
        <f t="shared" si="11"/>
        <v>37</v>
      </c>
      <c r="V57" s="151">
        <f t="shared" si="12"/>
        <v>115</v>
      </c>
      <c r="W57" s="151">
        <f t="shared" si="13"/>
        <v>49</v>
      </c>
      <c r="X57" s="151">
        <f t="shared" si="14"/>
        <v>15</v>
      </c>
      <c r="Y57" s="18">
        <f t="shared" si="5"/>
        <v>216</v>
      </c>
      <c r="AB57" s="168"/>
      <c r="AC57" s="168"/>
      <c r="AD57" t="e">
        <f t="shared" si="15"/>
        <v>#N/A</v>
      </c>
    </row>
    <row r="58" spans="1:30" x14ac:dyDescent="0.2">
      <c r="A58" s="183" t="s">
        <v>554</v>
      </c>
      <c r="B58" t="s">
        <v>386</v>
      </c>
      <c r="C58" t="s">
        <v>253</v>
      </c>
      <c r="D58">
        <v>3120601</v>
      </c>
      <c r="E58" t="s">
        <v>254</v>
      </c>
      <c r="F58" s="177">
        <v>37196</v>
      </c>
      <c r="G58" s="177"/>
      <c r="H58" s="177"/>
      <c r="I58" s="177" t="s">
        <v>576</v>
      </c>
      <c r="J58">
        <f t="shared" si="6"/>
        <v>6</v>
      </c>
      <c r="K58">
        <f t="shared" si="16"/>
        <v>10</v>
      </c>
      <c r="L58" s="67">
        <f t="shared" si="7"/>
        <v>2.2800000000000001E-2</v>
      </c>
      <c r="M58" s="127">
        <f t="shared" si="8"/>
        <v>0.1368</v>
      </c>
      <c r="N58" s="127">
        <f t="shared" si="0"/>
        <v>0.22800000000000001</v>
      </c>
      <c r="O58" s="127">
        <f t="shared" si="1"/>
        <v>5</v>
      </c>
      <c r="P58" s="127">
        <f t="shared" si="2"/>
        <v>9</v>
      </c>
      <c r="Q58" s="43" t="str">
        <f t="shared" si="9"/>
        <v>Y</v>
      </c>
      <c r="R58" s="43">
        <f t="shared" si="21"/>
        <v>5</v>
      </c>
      <c r="S58">
        <f t="shared" si="4"/>
        <v>5</v>
      </c>
      <c r="T58" s="18">
        <f t="shared" si="10"/>
        <v>4</v>
      </c>
      <c r="U58" s="151">
        <f t="shared" si="11"/>
        <v>0</v>
      </c>
      <c r="V58" s="151">
        <f t="shared" si="12"/>
        <v>1</v>
      </c>
      <c r="W58" s="151">
        <f t="shared" si="13"/>
        <v>0</v>
      </c>
      <c r="X58" s="151">
        <f t="shared" si="14"/>
        <v>0</v>
      </c>
      <c r="Y58" s="18">
        <f t="shared" si="5"/>
        <v>1</v>
      </c>
      <c r="AB58" s="168"/>
      <c r="AC58" s="168"/>
      <c r="AD58" t="e">
        <f t="shared" si="15"/>
        <v>#N/A</v>
      </c>
    </row>
    <row r="59" spans="1:30" x14ac:dyDescent="0.2">
      <c r="A59" s="183" t="s">
        <v>554</v>
      </c>
      <c r="B59" t="s">
        <v>386</v>
      </c>
      <c r="C59" t="s">
        <v>240</v>
      </c>
      <c r="D59">
        <v>3123401</v>
      </c>
      <c r="E59" t="s">
        <v>175</v>
      </c>
      <c r="F59" s="177">
        <v>37196</v>
      </c>
      <c r="G59" s="177"/>
      <c r="H59" s="177"/>
      <c r="I59" s="177" t="s">
        <v>576</v>
      </c>
      <c r="J59">
        <f t="shared" si="6"/>
        <v>513</v>
      </c>
      <c r="K59">
        <f t="shared" si="16"/>
        <v>719</v>
      </c>
      <c r="L59" s="67">
        <f t="shared" si="7"/>
        <v>2.2800000000000001E-2</v>
      </c>
      <c r="M59" s="127">
        <f t="shared" si="8"/>
        <v>11.696400000000001</v>
      </c>
      <c r="N59" s="127">
        <f t="shared" si="0"/>
        <v>16.3932</v>
      </c>
      <c r="O59" s="127">
        <f t="shared" si="1"/>
        <v>445</v>
      </c>
      <c r="P59" s="127">
        <f t="shared" si="2"/>
        <v>624</v>
      </c>
      <c r="Q59" s="43" t="str">
        <f t="shared" si="9"/>
        <v>Y</v>
      </c>
      <c r="R59" s="43">
        <f t="shared" si="21"/>
        <v>445</v>
      </c>
      <c r="S59">
        <f t="shared" si="4"/>
        <v>274</v>
      </c>
      <c r="T59" s="18">
        <f t="shared" si="10"/>
        <v>179</v>
      </c>
      <c r="U59" s="151">
        <f t="shared" si="11"/>
        <v>16</v>
      </c>
      <c r="V59" s="151">
        <f t="shared" si="12"/>
        <v>51</v>
      </c>
      <c r="W59" s="151">
        <f t="shared" si="13"/>
        <v>22</v>
      </c>
      <c r="X59" s="151">
        <f t="shared" si="14"/>
        <v>7</v>
      </c>
      <c r="Y59" s="18">
        <f t="shared" si="5"/>
        <v>96</v>
      </c>
      <c r="AB59" s="168"/>
      <c r="AC59" s="168"/>
      <c r="AD59" t="e">
        <f t="shared" si="15"/>
        <v>#N/A</v>
      </c>
    </row>
    <row r="60" spans="1:30" x14ac:dyDescent="0.2">
      <c r="A60" s="183" t="s">
        <v>554</v>
      </c>
      <c r="B60" t="s">
        <v>387</v>
      </c>
      <c r="C60" t="s">
        <v>304</v>
      </c>
      <c r="D60">
        <v>3124201</v>
      </c>
      <c r="E60" t="s">
        <v>146</v>
      </c>
      <c r="F60" s="177">
        <v>37196</v>
      </c>
      <c r="G60" s="177"/>
      <c r="H60" s="177"/>
      <c r="I60" s="177" t="s">
        <v>583</v>
      </c>
      <c r="J60">
        <f t="shared" si="6"/>
        <v>0</v>
      </c>
      <c r="K60">
        <f t="shared" si="16"/>
        <v>0</v>
      </c>
      <c r="L60" s="67">
        <f t="shared" si="7"/>
        <v>0</v>
      </c>
      <c r="M60" s="127">
        <f t="shared" si="8"/>
        <v>0</v>
      </c>
      <c r="N60" s="127">
        <f t="shared" si="0"/>
        <v>0</v>
      </c>
      <c r="O60" s="127">
        <f t="shared" si="1"/>
        <v>0</v>
      </c>
      <c r="P60" s="127">
        <f t="shared" si="2"/>
        <v>0</v>
      </c>
      <c r="Q60" s="43" t="str">
        <f t="shared" si="9"/>
        <v>Y</v>
      </c>
      <c r="R60" s="43">
        <f t="shared" si="21"/>
        <v>0</v>
      </c>
      <c r="S60">
        <f t="shared" si="4"/>
        <v>0</v>
      </c>
      <c r="T60" s="18">
        <f t="shared" si="10"/>
        <v>0</v>
      </c>
      <c r="U60" s="151">
        <f t="shared" si="11"/>
        <v>0</v>
      </c>
      <c r="V60" s="151">
        <f t="shared" si="12"/>
        <v>0</v>
      </c>
      <c r="W60" s="151">
        <f t="shared" si="13"/>
        <v>0</v>
      </c>
      <c r="X60" s="151">
        <f t="shared" si="14"/>
        <v>0</v>
      </c>
      <c r="Y60" s="18">
        <f t="shared" si="5"/>
        <v>0</v>
      </c>
      <c r="AB60" s="168"/>
      <c r="AC60" s="168"/>
      <c r="AD60" t="e">
        <f t="shared" si="15"/>
        <v>#N/A</v>
      </c>
    </row>
    <row r="61" spans="1:30" x14ac:dyDescent="0.2">
      <c r="A61" s="183" t="s">
        <v>554</v>
      </c>
      <c r="B61" t="s">
        <v>386</v>
      </c>
      <c r="C61" t="s">
        <v>287</v>
      </c>
      <c r="D61">
        <v>3127401</v>
      </c>
      <c r="E61" t="s">
        <v>146</v>
      </c>
      <c r="F61" s="177">
        <v>37196</v>
      </c>
      <c r="G61" s="177"/>
      <c r="H61" s="177"/>
      <c r="I61" s="177" t="s">
        <v>576</v>
      </c>
      <c r="J61">
        <f t="shared" si="6"/>
        <v>38</v>
      </c>
      <c r="K61">
        <f t="shared" si="16"/>
        <v>55</v>
      </c>
      <c r="L61" s="67">
        <f t="shared" si="7"/>
        <v>2.2800000000000001E-2</v>
      </c>
      <c r="M61" s="127">
        <f t="shared" si="8"/>
        <v>0.86640000000000006</v>
      </c>
      <c r="N61" s="127">
        <f t="shared" si="0"/>
        <v>1.254</v>
      </c>
      <c r="O61" s="127">
        <f t="shared" si="1"/>
        <v>33</v>
      </c>
      <c r="P61" s="127">
        <f t="shared" si="2"/>
        <v>48</v>
      </c>
      <c r="Q61" s="43" t="str">
        <f t="shared" si="9"/>
        <v>Y</v>
      </c>
      <c r="R61" s="43">
        <f t="shared" si="21"/>
        <v>33</v>
      </c>
      <c r="S61">
        <f t="shared" si="4"/>
        <v>22</v>
      </c>
      <c r="T61" s="18">
        <f t="shared" si="10"/>
        <v>15</v>
      </c>
      <c r="U61" s="151">
        <f t="shared" si="11"/>
        <v>1</v>
      </c>
      <c r="V61" s="151">
        <f t="shared" si="12"/>
        <v>4</v>
      </c>
      <c r="W61" s="151">
        <f t="shared" si="13"/>
        <v>2</v>
      </c>
      <c r="X61" s="151">
        <f t="shared" si="14"/>
        <v>1</v>
      </c>
      <c r="Y61" s="18">
        <f t="shared" si="5"/>
        <v>8</v>
      </c>
      <c r="AB61" s="168"/>
      <c r="AC61" s="168"/>
      <c r="AD61" t="e">
        <f t="shared" si="15"/>
        <v>#N/A</v>
      </c>
    </row>
    <row r="62" spans="1:30" x14ac:dyDescent="0.2">
      <c r="A62" s="183" t="s">
        <v>554</v>
      </c>
      <c r="B62" t="s">
        <v>386</v>
      </c>
      <c r="C62" t="s">
        <v>271</v>
      </c>
      <c r="D62">
        <v>3127501</v>
      </c>
      <c r="E62" t="s">
        <v>272</v>
      </c>
      <c r="F62" s="177">
        <v>37196</v>
      </c>
      <c r="G62" s="177"/>
      <c r="H62" s="177"/>
      <c r="I62" s="177" t="s">
        <v>576</v>
      </c>
      <c r="J62">
        <f t="shared" si="6"/>
        <v>211</v>
      </c>
      <c r="K62">
        <f t="shared" si="16"/>
        <v>275</v>
      </c>
      <c r="L62" s="67">
        <f t="shared" si="7"/>
        <v>2.2800000000000001E-2</v>
      </c>
      <c r="M62" s="127">
        <f t="shared" si="8"/>
        <v>4.8108000000000004</v>
      </c>
      <c r="N62" s="127">
        <f t="shared" si="0"/>
        <v>6.2700000000000005</v>
      </c>
      <c r="O62" s="127">
        <f t="shared" si="1"/>
        <v>183</v>
      </c>
      <c r="P62" s="127">
        <f t="shared" si="2"/>
        <v>239</v>
      </c>
      <c r="Q62" s="43" t="str">
        <f t="shared" si="9"/>
        <v>Y</v>
      </c>
      <c r="R62" s="43">
        <f t="shared" si="21"/>
        <v>183</v>
      </c>
      <c r="S62">
        <f t="shared" si="4"/>
        <v>92</v>
      </c>
      <c r="T62" s="18">
        <f t="shared" si="10"/>
        <v>56</v>
      </c>
      <c r="U62" s="151">
        <f t="shared" si="11"/>
        <v>6</v>
      </c>
      <c r="V62" s="151">
        <f t="shared" si="12"/>
        <v>19</v>
      </c>
      <c r="W62" s="151">
        <f t="shared" si="13"/>
        <v>8</v>
      </c>
      <c r="X62" s="151">
        <f t="shared" si="14"/>
        <v>3</v>
      </c>
      <c r="Y62" s="18">
        <f t="shared" si="5"/>
        <v>36</v>
      </c>
      <c r="AB62" s="168"/>
      <c r="AC62" s="168"/>
      <c r="AD62" t="e">
        <f t="shared" si="15"/>
        <v>#N/A</v>
      </c>
    </row>
    <row r="63" spans="1:30" x14ac:dyDescent="0.2">
      <c r="A63" s="183" t="s">
        <v>554</v>
      </c>
      <c r="B63" t="s">
        <v>386</v>
      </c>
      <c r="C63" t="s">
        <v>256</v>
      </c>
      <c r="D63">
        <v>3129101</v>
      </c>
      <c r="E63" t="s">
        <v>257</v>
      </c>
      <c r="F63" s="177">
        <v>37196</v>
      </c>
      <c r="G63" s="177"/>
      <c r="H63" s="177"/>
      <c r="I63" s="177" t="s">
        <v>576</v>
      </c>
      <c r="J63">
        <f t="shared" si="6"/>
        <v>62</v>
      </c>
      <c r="K63">
        <f t="shared" si="16"/>
        <v>86</v>
      </c>
      <c r="L63" s="67">
        <f t="shared" si="7"/>
        <v>2.2800000000000001E-2</v>
      </c>
      <c r="M63" s="127">
        <f t="shared" si="8"/>
        <v>1.4136</v>
      </c>
      <c r="N63" s="127">
        <f t="shared" si="0"/>
        <v>1.9608000000000001</v>
      </c>
      <c r="O63" s="127">
        <f t="shared" si="1"/>
        <v>54</v>
      </c>
      <c r="P63" s="127">
        <f t="shared" si="2"/>
        <v>75</v>
      </c>
      <c r="Q63" s="43" t="str">
        <f t="shared" si="9"/>
        <v>Y</v>
      </c>
      <c r="R63" s="43">
        <f t="shared" si="21"/>
        <v>54</v>
      </c>
      <c r="S63">
        <f t="shared" si="4"/>
        <v>32</v>
      </c>
      <c r="T63" s="18">
        <f t="shared" si="10"/>
        <v>21</v>
      </c>
      <c r="U63" s="151">
        <f t="shared" si="11"/>
        <v>2</v>
      </c>
      <c r="V63" s="151">
        <f t="shared" si="12"/>
        <v>6</v>
      </c>
      <c r="W63" s="151">
        <f t="shared" si="13"/>
        <v>3</v>
      </c>
      <c r="X63" s="151">
        <f t="shared" si="14"/>
        <v>1</v>
      </c>
      <c r="Y63" s="18">
        <f t="shared" si="5"/>
        <v>12</v>
      </c>
      <c r="AB63" s="168"/>
      <c r="AC63" s="168"/>
      <c r="AD63" t="e">
        <f t="shared" si="15"/>
        <v>#N/A</v>
      </c>
    </row>
    <row r="64" spans="1:30" x14ac:dyDescent="0.2">
      <c r="A64" s="183" t="s">
        <v>554</v>
      </c>
      <c r="B64" t="s">
        <v>386</v>
      </c>
      <c r="C64" t="s">
        <v>273</v>
      </c>
      <c r="D64">
        <v>3130301</v>
      </c>
      <c r="E64" t="s">
        <v>121</v>
      </c>
      <c r="F64" s="177">
        <v>37196</v>
      </c>
      <c r="G64" s="177"/>
      <c r="H64" s="177"/>
      <c r="I64" s="177" t="s">
        <v>576</v>
      </c>
      <c r="J64">
        <f t="shared" si="6"/>
        <v>501</v>
      </c>
      <c r="K64">
        <f t="shared" si="16"/>
        <v>637</v>
      </c>
      <c r="L64" s="67">
        <f t="shared" si="7"/>
        <v>2.2800000000000001E-2</v>
      </c>
      <c r="M64" s="127">
        <f t="shared" si="8"/>
        <v>11.422800000000001</v>
      </c>
      <c r="N64" s="127">
        <f t="shared" si="0"/>
        <v>14.5236</v>
      </c>
      <c r="O64" s="127">
        <f t="shared" si="1"/>
        <v>435</v>
      </c>
      <c r="P64" s="127">
        <f t="shared" si="2"/>
        <v>553</v>
      </c>
      <c r="Q64" s="43" t="str">
        <f t="shared" si="9"/>
        <v>Y</v>
      </c>
      <c r="R64" s="43">
        <f t="shared" si="21"/>
        <v>435</v>
      </c>
      <c r="S64">
        <f t="shared" si="4"/>
        <v>202</v>
      </c>
      <c r="T64" s="18">
        <f t="shared" si="10"/>
        <v>118</v>
      </c>
      <c r="U64" s="151">
        <f t="shared" si="11"/>
        <v>15</v>
      </c>
      <c r="V64" s="151">
        <f t="shared" si="12"/>
        <v>45</v>
      </c>
      <c r="W64" s="151">
        <f t="shared" si="13"/>
        <v>19</v>
      </c>
      <c r="X64" s="151">
        <f t="shared" si="14"/>
        <v>6</v>
      </c>
      <c r="Y64" s="18">
        <f t="shared" si="5"/>
        <v>85</v>
      </c>
      <c r="AB64" s="168"/>
      <c r="AC64" s="168"/>
      <c r="AD64" t="e">
        <f t="shared" si="15"/>
        <v>#N/A</v>
      </c>
    </row>
    <row r="65" spans="1:30" x14ac:dyDescent="0.2">
      <c r="A65" s="183" t="s">
        <v>554</v>
      </c>
      <c r="B65" t="s">
        <v>386</v>
      </c>
      <c r="C65" t="s">
        <v>145</v>
      </c>
      <c r="D65">
        <v>3130401</v>
      </c>
      <c r="E65" t="s">
        <v>146</v>
      </c>
      <c r="F65" s="177">
        <v>37196</v>
      </c>
      <c r="G65" s="177"/>
      <c r="H65" s="177"/>
      <c r="I65" s="177" t="s">
        <v>576</v>
      </c>
      <c r="J65">
        <f t="shared" si="6"/>
        <v>16</v>
      </c>
      <c r="K65">
        <f t="shared" si="16"/>
        <v>20</v>
      </c>
      <c r="L65" s="67">
        <f t="shared" si="7"/>
        <v>2.2800000000000001E-2</v>
      </c>
      <c r="M65" s="127">
        <f t="shared" si="8"/>
        <v>0.36480000000000001</v>
      </c>
      <c r="N65" s="127">
        <f t="shared" si="0"/>
        <v>0.45600000000000002</v>
      </c>
      <c r="O65" s="127">
        <f t="shared" si="1"/>
        <v>14</v>
      </c>
      <c r="P65" s="127">
        <f t="shared" si="2"/>
        <v>17</v>
      </c>
      <c r="Q65" s="43" t="str">
        <f t="shared" si="9"/>
        <v>Y</v>
      </c>
      <c r="R65" s="43">
        <f t="shared" si="21"/>
        <v>14</v>
      </c>
      <c r="S65">
        <f t="shared" si="4"/>
        <v>6</v>
      </c>
      <c r="T65" s="18">
        <f t="shared" si="10"/>
        <v>3</v>
      </c>
      <c r="U65" s="151">
        <f t="shared" si="11"/>
        <v>0</v>
      </c>
      <c r="V65" s="151">
        <f t="shared" si="12"/>
        <v>1</v>
      </c>
      <c r="W65" s="151">
        <f t="shared" si="13"/>
        <v>1</v>
      </c>
      <c r="X65" s="151">
        <f t="shared" si="14"/>
        <v>0</v>
      </c>
      <c r="Y65" s="18">
        <f t="shared" si="5"/>
        <v>2</v>
      </c>
      <c r="AB65" s="168"/>
      <c r="AC65" s="168"/>
      <c r="AD65" t="e">
        <f t="shared" si="15"/>
        <v>#N/A</v>
      </c>
    </row>
    <row r="66" spans="1:30" x14ac:dyDescent="0.2">
      <c r="A66" s="183" t="s">
        <v>554</v>
      </c>
      <c r="B66" t="s">
        <v>386</v>
      </c>
      <c r="C66" t="s">
        <v>458</v>
      </c>
      <c r="D66">
        <v>3130501</v>
      </c>
      <c r="E66" t="s">
        <v>457</v>
      </c>
      <c r="F66" s="177">
        <v>37196</v>
      </c>
      <c r="G66" s="177"/>
      <c r="H66" s="177"/>
      <c r="I66" s="177" t="s">
        <v>576</v>
      </c>
      <c r="J66">
        <f t="shared" si="6"/>
        <v>238</v>
      </c>
      <c r="K66">
        <f t="shared" si="16"/>
        <v>347</v>
      </c>
      <c r="L66" s="67">
        <f t="shared" si="7"/>
        <v>2.2800000000000001E-2</v>
      </c>
      <c r="M66" s="127">
        <f t="shared" si="8"/>
        <v>5.4264000000000001</v>
      </c>
      <c r="N66" s="127">
        <f t="shared" si="0"/>
        <v>7.9116</v>
      </c>
      <c r="O66" s="127">
        <f t="shared" si="1"/>
        <v>206</v>
      </c>
      <c r="P66" s="127">
        <f t="shared" si="2"/>
        <v>301</v>
      </c>
      <c r="Q66" s="43" t="str">
        <f t="shared" si="9"/>
        <v>Y</v>
      </c>
      <c r="R66" s="43">
        <f t="shared" si="21"/>
        <v>206</v>
      </c>
      <c r="S66">
        <f t="shared" si="4"/>
        <v>141</v>
      </c>
      <c r="T66" s="18">
        <f t="shared" si="10"/>
        <v>95</v>
      </c>
      <c r="U66" s="151">
        <f t="shared" si="11"/>
        <v>8</v>
      </c>
      <c r="V66" s="151">
        <f t="shared" si="12"/>
        <v>24</v>
      </c>
      <c r="W66" s="151">
        <f t="shared" si="13"/>
        <v>10</v>
      </c>
      <c r="X66" s="151">
        <f t="shared" si="14"/>
        <v>3</v>
      </c>
      <c r="Y66" s="18">
        <f t="shared" si="5"/>
        <v>45</v>
      </c>
      <c r="AB66" s="168"/>
      <c r="AC66" s="168"/>
      <c r="AD66" t="e">
        <f t="shared" si="15"/>
        <v>#N/A</v>
      </c>
    </row>
    <row r="67" spans="1:30" x14ac:dyDescent="0.2">
      <c r="A67" s="183" t="s">
        <v>554</v>
      </c>
      <c r="B67" t="s">
        <v>386</v>
      </c>
      <c r="C67" t="s">
        <v>286</v>
      </c>
      <c r="D67">
        <v>3131001</v>
      </c>
      <c r="E67" t="s">
        <v>146</v>
      </c>
      <c r="F67" s="177">
        <v>37196</v>
      </c>
      <c r="G67" s="177"/>
      <c r="H67" s="177"/>
      <c r="I67" s="177" t="s">
        <v>576</v>
      </c>
      <c r="J67">
        <f t="shared" ref="J67:J130" si="22">IF(ISNA(VLOOKUP(C67,CNGx,2,FALSE)),"na",(VLOOKUP(C67,CNGx,2,FALSE)))</f>
        <v>30</v>
      </c>
      <c r="K67">
        <f>IF(ISNA(VLOOKUP(C67,CNGx,3,0)),0,VLOOKUP(C67,CNGx,3,FALSE))</f>
        <v>38</v>
      </c>
      <c r="L67" s="67">
        <f t="shared" si="7"/>
        <v>2.2800000000000001E-2</v>
      </c>
      <c r="M67" s="127">
        <f t="shared" si="8"/>
        <v>0.68400000000000005</v>
      </c>
      <c r="N67" s="127">
        <f t="shared" si="0"/>
        <v>0.86640000000000006</v>
      </c>
      <c r="O67" s="127">
        <f t="shared" si="1"/>
        <v>26</v>
      </c>
      <c r="P67" s="127">
        <f t="shared" si="2"/>
        <v>33</v>
      </c>
      <c r="Q67" s="43" t="str">
        <f t="shared" si="9"/>
        <v>Y</v>
      </c>
      <c r="R67" s="43">
        <f t="shared" si="21"/>
        <v>26</v>
      </c>
      <c r="S67">
        <f t="shared" si="4"/>
        <v>12</v>
      </c>
      <c r="T67" s="18">
        <f t="shared" ref="T67:T130" si="23">+P67-R67</f>
        <v>7</v>
      </c>
      <c r="U67" s="151">
        <f t="shared" si="11"/>
        <v>1</v>
      </c>
      <c r="V67" s="151">
        <f t="shared" si="12"/>
        <v>3</v>
      </c>
      <c r="W67" s="151">
        <f t="shared" si="13"/>
        <v>1</v>
      </c>
      <c r="X67" s="151">
        <f t="shared" si="14"/>
        <v>0</v>
      </c>
      <c r="Y67" s="18">
        <f t="shared" si="5"/>
        <v>5</v>
      </c>
      <c r="AB67" s="168"/>
      <c r="AC67" s="168"/>
      <c r="AD67" t="e">
        <f t="shared" si="15"/>
        <v>#N/A</v>
      </c>
    </row>
    <row r="68" spans="1:30" x14ac:dyDescent="0.2">
      <c r="A68" s="183" t="s">
        <v>554</v>
      </c>
      <c r="B68" t="s">
        <v>386</v>
      </c>
      <c r="C68" t="s">
        <v>288</v>
      </c>
      <c r="D68">
        <v>3131101</v>
      </c>
      <c r="E68" t="s">
        <v>146</v>
      </c>
      <c r="F68" s="177">
        <v>37196</v>
      </c>
      <c r="G68" s="177"/>
      <c r="H68" s="177"/>
      <c r="I68" s="177" t="s">
        <v>576</v>
      </c>
      <c r="J68">
        <f t="shared" si="22"/>
        <v>198</v>
      </c>
      <c r="K68">
        <f t="shared" si="16"/>
        <v>262</v>
      </c>
      <c r="L68" s="67">
        <f t="shared" si="7"/>
        <v>2.2800000000000001E-2</v>
      </c>
      <c r="M68" s="127">
        <f t="shared" si="8"/>
        <v>4.5144000000000002</v>
      </c>
      <c r="N68" s="127">
        <f t="shared" si="0"/>
        <v>5.9736000000000002</v>
      </c>
      <c r="O68" s="127">
        <f t="shared" si="1"/>
        <v>172</v>
      </c>
      <c r="P68" s="127">
        <f t="shared" si="2"/>
        <v>227</v>
      </c>
      <c r="Q68" s="43" t="str">
        <f t="shared" si="9"/>
        <v>Y</v>
      </c>
      <c r="R68" s="43">
        <f t="shared" si="21"/>
        <v>172</v>
      </c>
      <c r="S68">
        <f t="shared" si="4"/>
        <v>90</v>
      </c>
      <c r="T68" s="18">
        <f t="shared" si="23"/>
        <v>55</v>
      </c>
      <c r="U68" s="151">
        <f t="shared" si="11"/>
        <v>6</v>
      </c>
      <c r="V68" s="151">
        <f t="shared" si="12"/>
        <v>18</v>
      </c>
      <c r="W68" s="151">
        <f t="shared" si="13"/>
        <v>8</v>
      </c>
      <c r="X68" s="151">
        <f t="shared" si="14"/>
        <v>2</v>
      </c>
      <c r="Y68" s="18">
        <f t="shared" si="5"/>
        <v>34</v>
      </c>
      <c r="AB68" s="168"/>
      <c r="AC68" s="168"/>
      <c r="AD68" t="e">
        <f t="shared" si="15"/>
        <v>#N/A</v>
      </c>
    </row>
    <row r="69" spans="1:30" x14ac:dyDescent="0.2">
      <c r="A69" s="183" t="s">
        <v>554</v>
      </c>
      <c r="B69" t="s">
        <v>386</v>
      </c>
      <c r="C69" t="s">
        <v>401</v>
      </c>
      <c r="D69">
        <v>3133001</v>
      </c>
      <c r="E69" t="s">
        <v>121</v>
      </c>
      <c r="F69" s="177">
        <v>37196</v>
      </c>
      <c r="G69" s="177"/>
      <c r="H69" s="177"/>
      <c r="I69" s="177" t="s">
        <v>576</v>
      </c>
      <c r="J69">
        <f t="shared" si="22"/>
        <v>185</v>
      </c>
      <c r="K69">
        <f t="shared" si="16"/>
        <v>253</v>
      </c>
      <c r="L69" s="67">
        <f t="shared" si="7"/>
        <v>2.2800000000000001E-2</v>
      </c>
      <c r="M69" s="127">
        <f t="shared" si="8"/>
        <v>4.218</v>
      </c>
      <c r="N69" s="127">
        <f t="shared" si="0"/>
        <v>5.7684000000000006</v>
      </c>
      <c r="O69" s="127">
        <f t="shared" si="1"/>
        <v>160</v>
      </c>
      <c r="P69" s="127">
        <f t="shared" si="2"/>
        <v>219</v>
      </c>
      <c r="Q69" s="43" t="str">
        <f t="shared" si="9"/>
        <v>Y</v>
      </c>
      <c r="R69" s="43">
        <f t="shared" ref="R69:R100" si="24">IF(ISNA(VLOOKUP(C69,INCNG,10,FALSE)),0,VLOOKUP(C69,INCNG,10,FALSE))</f>
        <v>160</v>
      </c>
      <c r="S69">
        <f t="shared" si="4"/>
        <v>93</v>
      </c>
      <c r="T69" s="18">
        <f t="shared" si="23"/>
        <v>59</v>
      </c>
      <c r="U69" s="151">
        <f t="shared" si="11"/>
        <v>6</v>
      </c>
      <c r="V69" s="151">
        <f t="shared" si="12"/>
        <v>18</v>
      </c>
      <c r="W69" s="151">
        <f t="shared" si="13"/>
        <v>8</v>
      </c>
      <c r="X69" s="151">
        <f t="shared" si="14"/>
        <v>2</v>
      </c>
      <c r="Y69" s="18">
        <f t="shared" si="5"/>
        <v>34</v>
      </c>
      <c r="AB69" s="168"/>
      <c r="AC69" s="168"/>
      <c r="AD69" t="e">
        <f t="shared" si="15"/>
        <v>#N/A</v>
      </c>
    </row>
    <row r="70" spans="1:30" x14ac:dyDescent="0.2">
      <c r="A70" s="183" t="s">
        <v>554</v>
      </c>
      <c r="B70" t="s">
        <v>389</v>
      </c>
      <c r="C70" t="s">
        <v>311</v>
      </c>
      <c r="D70">
        <v>3134901</v>
      </c>
      <c r="E70" t="s">
        <v>613</v>
      </c>
      <c r="F70" s="177">
        <v>37196</v>
      </c>
      <c r="G70" s="177"/>
      <c r="H70" s="177"/>
      <c r="I70" s="177" t="s">
        <v>577</v>
      </c>
      <c r="J70">
        <f t="shared" si="22"/>
        <v>591</v>
      </c>
      <c r="K70">
        <f t="shared" ref="K70:K101" si="25">IF(ISNA(VLOOKUP(C70,CNGx,3,0)),0,VLOOKUP(C70,CNGx,3,FALSE))</f>
        <v>821</v>
      </c>
      <c r="L70" s="67">
        <f t="shared" si="7"/>
        <v>0</v>
      </c>
      <c r="M70" s="127">
        <f t="shared" si="8"/>
        <v>0</v>
      </c>
      <c r="N70" s="127">
        <f t="shared" si="0"/>
        <v>0</v>
      </c>
      <c r="O70" s="127">
        <f t="shared" si="1"/>
        <v>591</v>
      </c>
      <c r="P70" s="127">
        <f t="shared" si="2"/>
        <v>821</v>
      </c>
      <c r="Q70" s="43" t="str">
        <f t="shared" si="9"/>
        <v>Y</v>
      </c>
      <c r="R70" s="43">
        <f t="shared" si="24"/>
        <v>591</v>
      </c>
      <c r="S70">
        <f t="shared" si="4"/>
        <v>230</v>
      </c>
      <c r="T70" s="18">
        <f t="shared" si="23"/>
        <v>230</v>
      </c>
      <c r="U70" s="151">
        <f t="shared" si="11"/>
        <v>0</v>
      </c>
      <c r="V70" s="151">
        <f t="shared" si="12"/>
        <v>0</v>
      </c>
      <c r="W70" s="151">
        <f t="shared" si="13"/>
        <v>0</v>
      </c>
      <c r="X70" s="151">
        <f t="shared" si="14"/>
        <v>0</v>
      </c>
      <c r="Y70" s="18">
        <f t="shared" si="5"/>
        <v>0</v>
      </c>
      <c r="AB70" s="168"/>
      <c r="AC70" s="168"/>
      <c r="AD70" t="e">
        <f t="shared" si="15"/>
        <v>#N/A</v>
      </c>
    </row>
    <row r="71" spans="1:30" x14ac:dyDescent="0.2">
      <c r="A71" s="183" t="s">
        <v>554</v>
      </c>
      <c r="B71" t="s">
        <v>387</v>
      </c>
      <c r="C71" t="s">
        <v>306</v>
      </c>
      <c r="D71">
        <v>3136601</v>
      </c>
      <c r="E71" t="s">
        <v>175</v>
      </c>
      <c r="F71" s="177">
        <v>37196</v>
      </c>
      <c r="G71" s="177"/>
      <c r="H71" s="177"/>
      <c r="I71" s="177" t="s">
        <v>583</v>
      </c>
      <c r="J71">
        <f t="shared" si="22"/>
        <v>213</v>
      </c>
      <c r="K71">
        <f t="shared" si="25"/>
        <v>269</v>
      </c>
      <c r="L71" s="67">
        <f t="shared" si="7"/>
        <v>0</v>
      </c>
      <c r="M71" s="127">
        <f t="shared" si="8"/>
        <v>0</v>
      </c>
      <c r="N71" s="127">
        <f t="shared" si="0"/>
        <v>0</v>
      </c>
      <c r="O71" s="127">
        <f t="shared" si="1"/>
        <v>205</v>
      </c>
      <c r="P71" s="127">
        <f t="shared" si="2"/>
        <v>258</v>
      </c>
      <c r="Q71" s="43" t="str">
        <f t="shared" si="9"/>
        <v>Y</v>
      </c>
      <c r="R71" s="43">
        <f t="shared" si="24"/>
        <v>205</v>
      </c>
      <c r="S71">
        <f t="shared" si="4"/>
        <v>64</v>
      </c>
      <c r="T71" s="18">
        <f t="shared" si="23"/>
        <v>53</v>
      </c>
      <c r="U71" s="151">
        <f t="shared" si="11"/>
        <v>0</v>
      </c>
      <c r="V71" s="151">
        <f t="shared" si="12"/>
        <v>0</v>
      </c>
      <c r="W71" s="151">
        <f t="shared" si="13"/>
        <v>8</v>
      </c>
      <c r="X71" s="151">
        <f t="shared" si="14"/>
        <v>2</v>
      </c>
      <c r="Y71" s="18">
        <f t="shared" si="5"/>
        <v>10</v>
      </c>
      <c r="AB71" s="168"/>
      <c r="AC71" s="168"/>
      <c r="AD71" t="e">
        <f t="shared" si="15"/>
        <v>#N/A</v>
      </c>
    </row>
    <row r="72" spans="1:30" x14ac:dyDescent="0.2">
      <c r="A72" s="183" t="s">
        <v>554</v>
      </c>
      <c r="B72" t="s">
        <v>386</v>
      </c>
      <c r="C72" t="s">
        <v>459</v>
      </c>
      <c r="D72">
        <v>3139001</v>
      </c>
      <c r="E72" t="s">
        <v>556</v>
      </c>
      <c r="F72" s="177">
        <v>37196</v>
      </c>
      <c r="G72" s="177"/>
      <c r="H72" s="177"/>
      <c r="I72" s="177" t="s">
        <v>576</v>
      </c>
      <c r="J72">
        <f t="shared" si="22"/>
        <v>168</v>
      </c>
      <c r="K72">
        <f t="shared" si="25"/>
        <v>243</v>
      </c>
      <c r="L72" s="67">
        <f t="shared" si="7"/>
        <v>2.2800000000000001E-2</v>
      </c>
      <c r="M72" s="127">
        <f t="shared" si="8"/>
        <v>3.8304</v>
      </c>
      <c r="N72" s="127">
        <f t="shared" si="0"/>
        <v>5.5404</v>
      </c>
      <c r="O72" s="127">
        <f t="shared" si="1"/>
        <v>146</v>
      </c>
      <c r="P72" s="127">
        <f t="shared" si="2"/>
        <v>211</v>
      </c>
      <c r="Q72" s="43" t="str">
        <f t="shared" si="9"/>
        <v>Y</v>
      </c>
      <c r="R72" s="43">
        <f t="shared" si="24"/>
        <v>146</v>
      </c>
      <c r="S72">
        <f t="shared" si="4"/>
        <v>97</v>
      </c>
      <c r="T72" s="18">
        <f t="shared" si="23"/>
        <v>65</v>
      </c>
      <c r="U72" s="151">
        <f t="shared" si="11"/>
        <v>6</v>
      </c>
      <c r="V72" s="151">
        <f t="shared" si="12"/>
        <v>17</v>
      </c>
      <c r="W72" s="151">
        <f t="shared" si="13"/>
        <v>7</v>
      </c>
      <c r="X72" s="151">
        <f t="shared" si="14"/>
        <v>2</v>
      </c>
      <c r="Y72" s="18">
        <f t="shared" si="5"/>
        <v>32</v>
      </c>
      <c r="AB72" s="168"/>
      <c r="AC72" s="168"/>
      <c r="AD72" t="e">
        <f t="shared" si="15"/>
        <v>#N/A</v>
      </c>
    </row>
    <row r="73" spans="1:30" x14ac:dyDescent="0.2">
      <c r="A73" s="183" t="s">
        <v>554</v>
      </c>
      <c r="B73" t="s">
        <v>386</v>
      </c>
      <c r="C73" t="s">
        <v>460</v>
      </c>
      <c r="D73">
        <v>3141701</v>
      </c>
      <c r="E73" t="s">
        <v>457</v>
      </c>
      <c r="F73" s="177">
        <v>37196</v>
      </c>
      <c r="G73" s="177"/>
      <c r="H73" s="177"/>
      <c r="I73" s="177" t="s">
        <v>576</v>
      </c>
      <c r="J73">
        <f t="shared" si="22"/>
        <v>31</v>
      </c>
      <c r="K73">
        <f t="shared" si="25"/>
        <v>58</v>
      </c>
      <c r="L73" s="67">
        <f t="shared" si="7"/>
        <v>2.2800000000000001E-2</v>
      </c>
      <c r="M73" s="127">
        <f t="shared" si="8"/>
        <v>0.70679999999999998</v>
      </c>
      <c r="N73" s="127">
        <f t="shared" si="0"/>
        <v>1.3224</v>
      </c>
      <c r="O73" s="127">
        <f t="shared" si="1"/>
        <v>27</v>
      </c>
      <c r="P73" s="127">
        <f t="shared" si="2"/>
        <v>50</v>
      </c>
      <c r="Q73" s="43" t="str">
        <f t="shared" si="9"/>
        <v>Y</v>
      </c>
      <c r="R73" s="43">
        <f t="shared" si="24"/>
        <v>27</v>
      </c>
      <c r="S73">
        <f t="shared" si="4"/>
        <v>31</v>
      </c>
      <c r="T73" s="18">
        <f t="shared" si="23"/>
        <v>23</v>
      </c>
      <c r="U73" s="151">
        <f t="shared" si="11"/>
        <v>1</v>
      </c>
      <c r="V73" s="151">
        <f t="shared" si="12"/>
        <v>4</v>
      </c>
      <c r="W73" s="151">
        <f t="shared" si="13"/>
        <v>2</v>
      </c>
      <c r="X73" s="151">
        <f t="shared" si="14"/>
        <v>1</v>
      </c>
      <c r="Y73" s="18">
        <f t="shared" si="5"/>
        <v>8</v>
      </c>
      <c r="AB73" s="168"/>
      <c r="AC73" s="168"/>
      <c r="AD73" t="e">
        <f t="shared" si="15"/>
        <v>#N/A</v>
      </c>
    </row>
    <row r="74" spans="1:30" x14ac:dyDescent="0.2">
      <c r="A74" s="183" t="s">
        <v>554</v>
      </c>
      <c r="B74" t="s">
        <v>386</v>
      </c>
      <c r="C74" t="s">
        <v>205</v>
      </c>
      <c r="D74">
        <v>3153701</v>
      </c>
      <c r="E74" t="s">
        <v>204</v>
      </c>
      <c r="F74" s="177">
        <v>37196</v>
      </c>
      <c r="G74" s="177"/>
      <c r="H74" s="177"/>
      <c r="I74" s="177" t="s">
        <v>576</v>
      </c>
      <c r="J74">
        <f t="shared" si="22"/>
        <v>1399</v>
      </c>
      <c r="K74">
        <f t="shared" si="25"/>
        <v>1739</v>
      </c>
      <c r="L74" s="67">
        <f t="shared" si="7"/>
        <v>2.2800000000000001E-2</v>
      </c>
      <c r="M74" s="127">
        <f t="shared" si="8"/>
        <v>31.897200000000002</v>
      </c>
      <c r="N74" s="127">
        <f t="shared" si="0"/>
        <v>39.6492</v>
      </c>
      <c r="O74" s="127">
        <f t="shared" si="1"/>
        <v>1214</v>
      </c>
      <c r="P74" s="127">
        <f t="shared" si="2"/>
        <v>1509</v>
      </c>
      <c r="Q74" s="43" t="str">
        <f t="shared" si="9"/>
        <v>Y</v>
      </c>
      <c r="R74" s="43">
        <f t="shared" si="24"/>
        <v>1214</v>
      </c>
      <c r="S74">
        <f t="shared" si="4"/>
        <v>525</v>
      </c>
      <c r="T74" s="18">
        <f t="shared" si="23"/>
        <v>295</v>
      </c>
      <c r="U74" s="151">
        <f t="shared" si="11"/>
        <v>40</v>
      </c>
      <c r="V74" s="151">
        <f t="shared" si="12"/>
        <v>123</v>
      </c>
      <c r="W74" s="151">
        <f t="shared" si="13"/>
        <v>52</v>
      </c>
      <c r="X74" s="151">
        <f t="shared" si="14"/>
        <v>16</v>
      </c>
      <c r="Y74" s="18">
        <f t="shared" si="5"/>
        <v>231</v>
      </c>
      <c r="AB74" s="168"/>
      <c r="AC74" s="168"/>
      <c r="AD74" t="e">
        <f t="shared" si="15"/>
        <v>#N/A</v>
      </c>
    </row>
    <row r="75" spans="1:30" x14ac:dyDescent="0.2">
      <c r="A75" s="183" t="s">
        <v>554</v>
      </c>
      <c r="B75" t="s">
        <v>386</v>
      </c>
      <c r="C75" t="s">
        <v>274</v>
      </c>
      <c r="D75">
        <v>3178601</v>
      </c>
      <c r="E75" t="s">
        <v>130</v>
      </c>
      <c r="F75" s="177">
        <v>37196</v>
      </c>
      <c r="G75" s="177"/>
      <c r="H75" s="177"/>
      <c r="I75" s="177" t="s">
        <v>576</v>
      </c>
      <c r="J75">
        <f t="shared" si="22"/>
        <v>1057</v>
      </c>
      <c r="K75">
        <f t="shared" si="25"/>
        <v>1281</v>
      </c>
      <c r="L75" s="67">
        <f t="shared" si="7"/>
        <v>2.2800000000000001E-2</v>
      </c>
      <c r="M75" s="127">
        <f t="shared" si="8"/>
        <v>24.099600000000002</v>
      </c>
      <c r="N75" s="127">
        <f t="shared" si="0"/>
        <v>29.206800000000001</v>
      </c>
      <c r="O75" s="127">
        <f t="shared" si="1"/>
        <v>917</v>
      </c>
      <c r="P75" s="127">
        <f t="shared" si="2"/>
        <v>1111</v>
      </c>
      <c r="Q75" s="43" t="str">
        <f t="shared" si="9"/>
        <v>Y</v>
      </c>
      <c r="R75" s="43">
        <f t="shared" si="24"/>
        <v>917</v>
      </c>
      <c r="S75">
        <f t="shared" si="4"/>
        <v>364</v>
      </c>
      <c r="T75" s="18">
        <f t="shared" si="23"/>
        <v>194</v>
      </c>
      <c r="U75" s="151">
        <f t="shared" si="11"/>
        <v>29</v>
      </c>
      <c r="V75" s="151">
        <f t="shared" si="12"/>
        <v>90</v>
      </c>
      <c r="W75" s="151">
        <f t="shared" si="13"/>
        <v>38</v>
      </c>
      <c r="X75" s="151">
        <f t="shared" si="14"/>
        <v>12</v>
      </c>
      <c r="Y75" s="18">
        <f t="shared" si="5"/>
        <v>169</v>
      </c>
      <c r="AB75" s="168"/>
      <c r="AC75" s="168"/>
      <c r="AD75" t="e">
        <f t="shared" si="15"/>
        <v>#N/A</v>
      </c>
    </row>
    <row r="76" spans="1:30" x14ac:dyDescent="0.2">
      <c r="A76" s="183" t="s">
        <v>554</v>
      </c>
      <c r="B76" t="s">
        <v>386</v>
      </c>
      <c r="C76" t="s">
        <v>199</v>
      </c>
      <c r="D76">
        <v>3190601</v>
      </c>
      <c r="E76" t="s">
        <v>200</v>
      </c>
      <c r="F76" s="177">
        <v>37196</v>
      </c>
      <c r="G76" s="177"/>
      <c r="H76" s="177"/>
      <c r="I76" s="177" t="s">
        <v>576</v>
      </c>
      <c r="J76">
        <f t="shared" si="22"/>
        <v>156</v>
      </c>
      <c r="K76">
        <f t="shared" si="25"/>
        <v>180</v>
      </c>
      <c r="L76" s="67">
        <f t="shared" si="7"/>
        <v>2.2800000000000001E-2</v>
      </c>
      <c r="M76" s="127">
        <f t="shared" si="8"/>
        <v>3.5568</v>
      </c>
      <c r="N76" s="127">
        <f t="shared" si="0"/>
        <v>4.1040000000000001</v>
      </c>
      <c r="O76" s="127">
        <f t="shared" si="1"/>
        <v>135</v>
      </c>
      <c r="P76" s="127">
        <f t="shared" si="2"/>
        <v>156</v>
      </c>
      <c r="Q76" s="43" t="str">
        <f t="shared" si="9"/>
        <v>Y</v>
      </c>
      <c r="R76" s="43">
        <f t="shared" si="24"/>
        <v>135</v>
      </c>
      <c r="S76">
        <f t="shared" si="4"/>
        <v>45</v>
      </c>
      <c r="T76" s="18">
        <f t="shared" si="23"/>
        <v>21</v>
      </c>
      <c r="U76" s="151">
        <f t="shared" si="11"/>
        <v>4</v>
      </c>
      <c r="V76" s="151">
        <f t="shared" si="12"/>
        <v>13</v>
      </c>
      <c r="W76" s="151">
        <f t="shared" si="13"/>
        <v>5</v>
      </c>
      <c r="X76" s="151">
        <f t="shared" si="14"/>
        <v>2</v>
      </c>
      <c r="Y76" s="18">
        <f t="shared" si="5"/>
        <v>24</v>
      </c>
      <c r="AB76" s="168"/>
      <c r="AC76" s="168"/>
      <c r="AD76" t="e">
        <f t="shared" si="15"/>
        <v>#N/A</v>
      </c>
    </row>
    <row r="77" spans="1:30" x14ac:dyDescent="0.2">
      <c r="A77" s="183" t="s">
        <v>554</v>
      </c>
      <c r="B77" t="s">
        <v>386</v>
      </c>
      <c r="C77" t="s">
        <v>463</v>
      </c>
      <c r="D77">
        <v>3209901</v>
      </c>
      <c r="E77" t="s">
        <v>420</v>
      </c>
      <c r="F77" s="177">
        <v>37196</v>
      </c>
      <c r="G77" s="177"/>
      <c r="H77" s="177"/>
      <c r="I77" s="177" t="s">
        <v>576</v>
      </c>
      <c r="J77">
        <f t="shared" si="22"/>
        <v>0</v>
      </c>
      <c r="K77">
        <f t="shared" si="25"/>
        <v>0</v>
      </c>
      <c r="L77" s="67">
        <f t="shared" si="7"/>
        <v>2.2800000000000001E-2</v>
      </c>
      <c r="M77" s="127">
        <f t="shared" si="8"/>
        <v>0</v>
      </c>
      <c r="N77" s="127">
        <f t="shared" si="0"/>
        <v>0</v>
      </c>
      <c r="O77" s="127">
        <f t="shared" si="1"/>
        <v>0</v>
      </c>
      <c r="P77" s="127">
        <f t="shared" si="2"/>
        <v>0</v>
      </c>
      <c r="Q77" s="43" t="str">
        <f t="shared" si="9"/>
        <v>Y</v>
      </c>
      <c r="R77" s="43">
        <f t="shared" si="24"/>
        <v>0</v>
      </c>
      <c r="S77">
        <f t="shared" si="4"/>
        <v>0</v>
      </c>
      <c r="T77" s="18">
        <f t="shared" si="23"/>
        <v>0</v>
      </c>
      <c r="U77" s="151">
        <f t="shared" si="11"/>
        <v>0</v>
      </c>
      <c r="V77" s="151">
        <f t="shared" si="12"/>
        <v>0</v>
      </c>
      <c r="W77" s="151">
        <f t="shared" si="13"/>
        <v>0</v>
      </c>
      <c r="X77" s="151">
        <f t="shared" si="14"/>
        <v>0</v>
      </c>
      <c r="Y77" s="18">
        <f t="shared" si="5"/>
        <v>0</v>
      </c>
      <c r="AB77" s="168"/>
      <c r="AC77" s="168"/>
      <c r="AD77" t="e">
        <f t="shared" si="15"/>
        <v>#N/A</v>
      </c>
    </row>
    <row r="78" spans="1:30" x14ac:dyDescent="0.2">
      <c r="A78" s="183" t="s">
        <v>554</v>
      </c>
      <c r="B78" t="s">
        <v>386</v>
      </c>
      <c r="C78" t="s">
        <v>236</v>
      </c>
      <c r="D78">
        <v>3219301</v>
      </c>
      <c r="E78" t="s">
        <v>175</v>
      </c>
      <c r="F78" s="177">
        <v>37196</v>
      </c>
      <c r="G78" s="177"/>
      <c r="H78" s="177"/>
      <c r="I78" s="177" t="s">
        <v>576</v>
      </c>
      <c r="J78">
        <f t="shared" si="22"/>
        <v>0</v>
      </c>
      <c r="K78">
        <f t="shared" si="25"/>
        <v>0</v>
      </c>
      <c r="L78" s="67">
        <f t="shared" si="7"/>
        <v>2.2800000000000001E-2</v>
      </c>
      <c r="M78" s="127">
        <f t="shared" si="8"/>
        <v>0</v>
      </c>
      <c r="N78" s="127">
        <f t="shared" si="0"/>
        <v>0</v>
      </c>
      <c r="O78" s="127">
        <f t="shared" si="1"/>
        <v>0</v>
      </c>
      <c r="P78" s="127">
        <f t="shared" si="2"/>
        <v>0</v>
      </c>
      <c r="Q78" s="43" t="str">
        <f t="shared" si="9"/>
        <v>Y</v>
      </c>
      <c r="R78" s="43">
        <f t="shared" si="24"/>
        <v>0</v>
      </c>
      <c r="S78">
        <f t="shared" si="4"/>
        <v>0</v>
      </c>
      <c r="T78" s="18">
        <f t="shared" si="23"/>
        <v>0</v>
      </c>
      <c r="U78" s="151">
        <f t="shared" si="11"/>
        <v>0</v>
      </c>
      <c r="V78" s="151">
        <f t="shared" si="12"/>
        <v>0</v>
      </c>
      <c r="W78" s="151">
        <f t="shared" si="13"/>
        <v>0</v>
      </c>
      <c r="X78" s="151">
        <f t="shared" si="14"/>
        <v>0</v>
      </c>
      <c r="Y78" s="18">
        <f t="shared" si="5"/>
        <v>0</v>
      </c>
      <c r="AB78" s="168"/>
      <c r="AC78" s="168"/>
      <c r="AD78" t="e">
        <f t="shared" si="15"/>
        <v>#N/A</v>
      </c>
    </row>
    <row r="79" spans="1:30" x14ac:dyDescent="0.2">
      <c r="A79" s="183" t="s">
        <v>554</v>
      </c>
      <c r="B79" t="s">
        <v>386</v>
      </c>
      <c r="C79" t="s">
        <v>232</v>
      </c>
      <c r="D79">
        <v>3223401</v>
      </c>
      <c r="E79" t="s">
        <v>146</v>
      </c>
      <c r="F79" s="177">
        <v>37196</v>
      </c>
      <c r="G79" s="177"/>
      <c r="H79" s="177"/>
      <c r="I79" s="177" t="s">
        <v>576</v>
      </c>
      <c r="J79">
        <f t="shared" si="22"/>
        <v>24</v>
      </c>
      <c r="K79">
        <f t="shared" si="25"/>
        <v>28</v>
      </c>
      <c r="L79" s="67">
        <f t="shared" si="7"/>
        <v>2.2800000000000001E-2</v>
      </c>
      <c r="M79" s="127">
        <f t="shared" si="8"/>
        <v>0.54720000000000002</v>
      </c>
      <c r="N79" s="127">
        <f t="shared" si="0"/>
        <v>0.63840000000000008</v>
      </c>
      <c r="O79" s="127">
        <f t="shared" si="1"/>
        <v>21</v>
      </c>
      <c r="P79" s="127">
        <f t="shared" si="2"/>
        <v>24</v>
      </c>
      <c r="Q79" s="43" t="str">
        <f t="shared" si="9"/>
        <v>Y</v>
      </c>
      <c r="R79" s="43">
        <f t="shared" si="24"/>
        <v>21</v>
      </c>
      <c r="S79">
        <f t="shared" si="4"/>
        <v>7</v>
      </c>
      <c r="T79" s="18">
        <f t="shared" si="23"/>
        <v>3</v>
      </c>
      <c r="U79" s="151">
        <f t="shared" si="11"/>
        <v>1</v>
      </c>
      <c r="V79" s="151">
        <f t="shared" si="12"/>
        <v>2</v>
      </c>
      <c r="W79" s="151">
        <f t="shared" si="13"/>
        <v>1</v>
      </c>
      <c r="X79" s="151">
        <f t="shared" si="14"/>
        <v>0</v>
      </c>
      <c r="Y79" s="18">
        <f t="shared" si="5"/>
        <v>4</v>
      </c>
      <c r="AB79" s="168"/>
      <c r="AC79" s="168"/>
      <c r="AD79" t="e">
        <f t="shared" si="15"/>
        <v>#N/A</v>
      </c>
    </row>
    <row r="80" spans="1:30" x14ac:dyDescent="0.2">
      <c r="A80" s="183" t="s">
        <v>554</v>
      </c>
      <c r="B80" t="s">
        <v>386</v>
      </c>
      <c r="C80" t="s">
        <v>147</v>
      </c>
      <c r="D80">
        <v>3225601</v>
      </c>
      <c r="E80" t="s">
        <v>148</v>
      </c>
      <c r="F80" s="177">
        <v>37196</v>
      </c>
      <c r="G80" s="177"/>
      <c r="H80" s="177"/>
      <c r="I80" s="177" t="s">
        <v>576</v>
      </c>
      <c r="J80">
        <f t="shared" si="22"/>
        <v>6</v>
      </c>
      <c r="K80">
        <f t="shared" si="25"/>
        <v>10</v>
      </c>
      <c r="L80" s="67">
        <f t="shared" si="7"/>
        <v>2.2800000000000001E-2</v>
      </c>
      <c r="M80" s="127">
        <f t="shared" si="8"/>
        <v>0.1368</v>
      </c>
      <c r="N80" s="127">
        <f t="shared" si="0"/>
        <v>0.22800000000000001</v>
      </c>
      <c r="O80" s="127">
        <f t="shared" si="1"/>
        <v>5</v>
      </c>
      <c r="P80" s="127">
        <f t="shared" si="2"/>
        <v>9</v>
      </c>
      <c r="Q80" s="43" t="str">
        <f t="shared" si="9"/>
        <v>Y</v>
      </c>
      <c r="R80" s="43">
        <f t="shared" si="24"/>
        <v>5</v>
      </c>
      <c r="S80">
        <f t="shared" si="4"/>
        <v>5</v>
      </c>
      <c r="T80" s="18">
        <f t="shared" si="23"/>
        <v>4</v>
      </c>
      <c r="U80" s="151">
        <f t="shared" si="11"/>
        <v>0</v>
      </c>
      <c r="V80" s="151">
        <f t="shared" si="12"/>
        <v>1</v>
      </c>
      <c r="W80" s="151">
        <f t="shared" si="13"/>
        <v>0</v>
      </c>
      <c r="X80" s="151">
        <f t="shared" si="14"/>
        <v>0</v>
      </c>
      <c r="Y80" s="18">
        <f t="shared" si="5"/>
        <v>1</v>
      </c>
      <c r="AB80" s="168"/>
      <c r="AC80" s="168"/>
      <c r="AD80" t="e">
        <f t="shared" si="15"/>
        <v>#N/A</v>
      </c>
    </row>
    <row r="81" spans="1:30" x14ac:dyDescent="0.2">
      <c r="A81" s="183" t="s">
        <v>554</v>
      </c>
      <c r="B81" t="s">
        <v>386</v>
      </c>
      <c r="C81" t="s">
        <v>235</v>
      </c>
      <c r="D81">
        <v>3226701</v>
      </c>
      <c r="E81" t="s">
        <v>175</v>
      </c>
      <c r="F81" s="177">
        <v>37196</v>
      </c>
      <c r="G81" s="177"/>
      <c r="H81" s="177"/>
      <c r="I81" s="177" t="s">
        <v>576</v>
      </c>
      <c r="J81">
        <f t="shared" si="22"/>
        <v>186</v>
      </c>
      <c r="K81">
        <f t="shared" si="25"/>
        <v>229</v>
      </c>
      <c r="L81" s="67">
        <f t="shared" si="7"/>
        <v>2.2800000000000001E-2</v>
      </c>
      <c r="M81" s="127">
        <f t="shared" si="8"/>
        <v>4.2408000000000001</v>
      </c>
      <c r="N81" s="127">
        <f t="shared" si="0"/>
        <v>5.2212000000000005</v>
      </c>
      <c r="O81" s="127">
        <f t="shared" si="1"/>
        <v>161</v>
      </c>
      <c r="P81" s="127">
        <f t="shared" si="2"/>
        <v>199</v>
      </c>
      <c r="Q81" s="43" t="str">
        <f t="shared" si="9"/>
        <v>Y</v>
      </c>
      <c r="R81" s="43">
        <f t="shared" si="24"/>
        <v>161</v>
      </c>
      <c r="S81">
        <f t="shared" si="4"/>
        <v>68</v>
      </c>
      <c r="T81" s="18">
        <f t="shared" si="23"/>
        <v>38</v>
      </c>
      <c r="U81" s="151">
        <f t="shared" si="11"/>
        <v>5</v>
      </c>
      <c r="V81" s="151">
        <f t="shared" si="12"/>
        <v>16</v>
      </c>
      <c r="W81" s="151">
        <f t="shared" si="13"/>
        <v>7</v>
      </c>
      <c r="X81" s="151">
        <f t="shared" si="14"/>
        <v>2</v>
      </c>
      <c r="Y81" s="18">
        <f t="shared" si="5"/>
        <v>30</v>
      </c>
      <c r="AB81" s="168"/>
      <c r="AC81" s="168"/>
      <c r="AD81" t="e">
        <f t="shared" si="15"/>
        <v>#N/A</v>
      </c>
    </row>
    <row r="82" spans="1:30" x14ac:dyDescent="0.2">
      <c r="A82" s="183" t="s">
        <v>554</v>
      </c>
      <c r="B82" t="s">
        <v>386</v>
      </c>
      <c r="C82" t="s">
        <v>234</v>
      </c>
      <c r="D82">
        <v>3231101</v>
      </c>
      <c r="E82" t="s">
        <v>148</v>
      </c>
      <c r="F82" s="177">
        <v>37196</v>
      </c>
      <c r="G82" s="177"/>
      <c r="H82" s="177"/>
      <c r="I82" s="177" t="s">
        <v>576</v>
      </c>
      <c r="J82">
        <f t="shared" si="22"/>
        <v>369</v>
      </c>
      <c r="K82">
        <f t="shared" si="25"/>
        <v>462</v>
      </c>
      <c r="L82" s="67">
        <f t="shared" si="7"/>
        <v>2.2800000000000001E-2</v>
      </c>
      <c r="M82" s="127">
        <f t="shared" si="8"/>
        <v>8.4131999999999998</v>
      </c>
      <c r="N82" s="127">
        <f t="shared" si="0"/>
        <v>10.5336</v>
      </c>
      <c r="O82" s="127">
        <f t="shared" si="1"/>
        <v>320</v>
      </c>
      <c r="P82" s="127">
        <f t="shared" si="2"/>
        <v>401</v>
      </c>
      <c r="Q82" s="43" t="str">
        <f t="shared" si="9"/>
        <v>Y</v>
      </c>
      <c r="R82" s="43">
        <f t="shared" si="24"/>
        <v>320</v>
      </c>
      <c r="S82">
        <f t="shared" si="4"/>
        <v>142</v>
      </c>
      <c r="T82" s="18">
        <f t="shared" si="23"/>
        <v>81</v>
      </c>
      <c r="U82" s="151">
        <f t="shared" si="11"/>
        <v>11</v>
      </c>
      <c r="V82" s="151">
        <f t="shared" si="12"/>
        <v>33</v>
      </c>
      <c r="W82" s="151">
        <f t="shared" si="13"/>
        <v>14</v>
      </c>
      <c r="X82" s="151">
        <f t="shared" si="14"/>
        <v>4</v>
      </c>
      <c r="Y82" s="18">
        <f t="shared" si="5"/>
        <v>62</v>
      </c>
      <c r="AB82" s="168"/>
      <c r="AC82" s="168"/>
      <c r="AD82" t="e">
        <f t="shared" si="15"/>
        <v>#N/A</v>
      </c>
    </row>
    <row r="83" spans="1:30" x14ac:dyDescent="0.2">
      <c r="A83" s="183" t="s">
        <v>554</v>
      </c>
      <c r="B83" t="s">
        <v>386</v>
      </c>
      <c r="C83" t="s">
        <v>216</v>
      </c>
      <c r="D83">
        <v>3234701</v>
      </c>
      <c r="E83" t="s">
        <v>217</v>
      </c>
      <c r="F83" s="177">
        <v>37196</v>
      </c>
      <c r="G83" s="177"/>
      <c r="H83" s="177"/>
      <c r="I83" s="177" t="s">
        <v>576</v>
      </c>
      <c r="J83">
        <f t="shared" si="22"/>
        <v>0</v>
      </c>
      <c r="K83">
        <f t="shared" si="25"/>
        <v>0</v>
      </c>
      <c r="L83" s="67">
        <f t="shared" si="7"/>
        <v>2.2800000000000001E-2</v>
      </c>
      <c r="M83" s="127">
        <f t="shared" si="8"/>
        <v>0</v>
      </c>
      <c r="N83" s="127">
        <f t="shared" si="0"/>
        <v>0</v>
      </c>
      <c r="O83" s="127">
        <f t="shared" si="1"/>
        <v>0</v>
      </c>
      <c r="P83" s="127">
        <f t="shared" si="2"/>
        <v>0</v>
      </c>
      <c r="Q83" s="43" t="str">
        <f t="shared" si="9"/>
        <v>Y</v>
      </c>
      <c r="R83" s="43">
        <f t="shared" si="24"/>
        <v>0</v>
      </c>
      <c r="S83">
        <f t="shared" si="4"/>
        <v>0</v>
      </c>
      <c r="T83" s="18">
        <f t="shared" si="23"/>
        <v>0</v>
      </c>
      <c r="U83" s="151">
        <f t="shared" si="11"/>
        <v>0</v>
      </c>
      <c r="V83" s="151">
        <f t="shared" si="12"/>
        <v>0</v>
      </c>
      <c r="W83" s="151">
        <f t="shared" si="13"/>
        <v>0</v>
      </c>
      <c r="X83" s="151">
        <f t="shared" si="14"/>
        <v>0</v>
      </c>
      <c r="Y83" s="18">
        <f t="shared" si="5"/>
        <v>0</v>
      </c>
      <c r="AB83" s="168"/>
      <c r="AC83" s="168"/>
      <c r="AD83" t="e">
        <f t="shared" si="15"/>
        <v>#N/A</v>
      </c>
    </row>
    <row r="84" spans="1:30" x14ac:dyDescent="0.2">
      <c r="A84" s="183" t="s">
        <v>554</v>
      </c>
      <c r="B84" t="s">
        <v>386</v>
      </c>
      <c r="C84" t="s">
        <v>398</v>
      </c>
      <c r="D84">
        <v>3241501</v>
      </c>
      <c r="E84" t="s">
        <v>121</v>
      </c>
      <c r="F84" s="177">
        <v>37196</v>
      </c>
      <c r="G84" s="177"/>
      <c r="H84" s="177"/>
      <c r="I84" s="177" t="s">
        <v>576</v>
      </c>
      <c r="J84">
        <f t="shared" si="22"/>
        <v>357</v>
      </c>
      <c r="K84">
        <f t="shared" si="25"/>
        <v>426</v>
      </c>
      <c r="L84" s="67">
        <f t="shared" si="7"/>
        <v>2.2800000000000001E-2</v>
      </c>
      <c r="M84" s="127">
        <f t="shared" si="8"/>
        <v>8.1395999999999997</v>
      </c>
      <c r="N84" s="127">
        <f t="shared" si="0"/>
        <v>9.7127999999999997</v>
      </c>
      <c r="O84" s="127">
        <f t="shared" si="1"/>
        <v>310</v>
      </c>
      <c r="P84" s="127">
        <f t="shared" si="2"/>
        <v>370</v>
      </c>
      <c r="Q84" s="43" t="str">
        <f t="shared" si="9"/>
        <v>Y</v>
      </c>
      <c r="R84" s="43">
        <f t="shared" si="24"/>
        <v>310</v>
      </c>
      <c r="S84">
        <f t="shared" si="4"/>
        <v>116</v>
      </c>
      <c r="T84" s="18">
        <f t="shared" si="23"/>
        <v>60</v>
      </c>
      <c r="U84" s="151">
        <f t="shared" si="11"/>
        <v>10</v>
      </c>
      <c r="V84" s="151">
        <f t="shared" si="12"/>
        <v>30</v>
      </c>
      <c r="W84" s="151">
        <f t="shared" si="13"/>
        <v>13</v>
      </c>
      <c r="X84" s="151">
        <f t="shared" si="14"/>
        <v>4</v>
      </c>
      <c r="Y84" s="18">
        <f t="shared" si="5"/>
        <v>57</v>
      </c>
      <c r="AB84" s="168"/>
      <c r="AC84" s="168"/>
      <c r="AD84" t="e">
        <f t="shared" si="15"/>
        <v>#N/A</v>
      </c>
    </row>
    <row r="85" spans="1:30" x14ac:dyDescent="0.2">
      <c r="A85" s="183" t="s">
        <v>554</v>
      </c>
      <c r="B85" t="s">
        <v>386</v>
      </c>
      <c r="C85" t="s">
        <v>233</v>
      </c>
      <c r="D85">
        <v>3245501</v>
      </c>
      <c r="E85" t="s">
        <v>146</v>
      </c>
      <c r="F85" s="177">
        <v>37196</v>
      </c>
      <c r="G85" s="177"/>
      <c r="H85" s="177"/>
      <c r="I85" s="177" t="s">
        <v>576</v>
      </c>
      <c r="J85">
        <f t="shared" si="22"/>
        <v>0</v>
      </c>
      <c r="K85">
        <f t="shared" si="25"/>
        <v>0</v>
      </c>
      <c r="L85" s="67">
        <f t="shared" si="7"/>
        <v>2.2800000000000001E-2</v>
      </c>
      <c r="M85" s="127">
        <f t="shared" si="8"/>
        <v>0</v>
      </c>
      <c r="N85" s="127">
        <f t="shared" si="0"/>
        <v>0</v>
      </c>
      <c r="O85" s="127">
        <f t="shared" si="1"/>
        <v>0</v>
      </c>
      <c r="P85" s="127">
        <f t="shared" si="2"/>
        <v>0</v>
      </c>
      <c r="Q85" s="43" t="str">
        <f t="shared" si="9"/>
        <v>Y</v>
      </c>
      <c r="R85" s="43">
        <f t="shared" si="24"/>
        <v>0</v>
      </c>
      <c r="S85">
        <f t="shared" si="4"/>
        <v>0</v>
      </c>
      <c r="T85" s="18">
        <f t="shared" si="23"/>
        <v>0</v>
      </c>
      <c r="U85" s="151">
        <f t="shared" si="11"/>
        <v>0</v>
      </c>
      <c r="V85" s="151">
        <f t="shared" si="12"/>
        <v>0</v>
      </c>
      <c r="W85" s="151">
        <f t="shared" si="13"/>
        <v>0</v>
      </c>
      <c r="X85" s="151">
        <f t="shared" si="14"/>
        <v>0</v>
      </c>
      <c r="Y85" s="18">
        <f t="shared" si="5"/>
        <v>0</v>
      </c>
      <c r="AB85" s="168"/>
      <c r="AC85" s="168"/>
      <c r="AD85" t="e">
        <f t="shared" si="15"/>
        <v>#N/A</v>
      </c>
    </row>
    <row r="86" spans="1:30" x14ac:dyDescent="0.2">
      <c r="A86" s="183" t="s">
        <v>554</v>
      </c>
      <c r="B86" t="s">
        <v>386</v>
      </c>
      <c r="C86" t="s">
        <v>464</v>
      </c>
      <c r="D86">
        <v>3245701</v>
      </c>
      <c r="E86" t="s">
        <v>465</v>
      </c>
      <c r="F86" s="177">
        <v>37196</v>
      </c>
      <c r="G86" s="177"/>
      <c r="H86" s="177"/>
      <c r="I86" s="177" t="s">
        <v>576</v>
      </c>
      <c r="J86">
        <f t="shared" si="22"/>
        <v>489</v>
      </c>
      <c r="K86">
        <f t="shared" si="25"/>
        <v>627</v>
      </c>
      <c r="L86" s="67">
        <f t="shared" si="7"/>
        <v>2.2800000000000001E-2</v>
      </c>
      <c r="M86" s="127">
        <f t="shared" si="8"/>
        <v>11.1492</v>
      </c>
      <c r="N86" s="127">
        <f t="shared" si="0"/>
        <v>14.2956</v>
      </c>
      <c r="O86" s="127">
        <f t="shared" si="1"/>
        <v>424</v>
      </c>
      <c r="P86" s="127">
        <f t="shared" si="2"/>
        <v>544</v>
      </c>
      <c r="Q86" s="43" t="str">
        <f t="shared" si="9"/>
        <v>Y</v>
      </c>
      <c r="R86" s="43">
        <f t="shared" si="24"/>
        <v>424</v>
      </c>
      <c r="S86">
        <f t="shared" si="4"/>
        <v>203</v>
      </c>
      <c r="T86" s="18">
        <f t="shared" si="23"/>
        <v>120</v>
      </c>
      <c r="U86" s="151">
        <f t="shared" si="11"/>
        <v>14</v>
      </c>
      <c r="V86" s="151">
        <f t="shared" si="12"/>
        <v>44</v>
      </c>
      <c r="W86" s="151">
        <f t="shared" si="13"/>
        <v>19</v>
      </c>
      <c r="X86" s="151">
        <f t="shared" si="14"/>
        <v>6</v>
      </c>
      <c r="Y86" s="18">
        <f t="shared" si="5"/>
        <v>83</v>
      </c>
      <c r="AB86" s="168"/>
      <c r="AC86" s="168"/>
      <c r="AD86" t="e">
        <f t="shared" si="15"/>
        <v>#N/A</v>
      </c>
    </row>
    <row r="87" spans="1:30" x14ac:dyDescent="0.2">
      <c r="A87" s="183" t="s">
        <v>554</v>
      </c>
      <c r="B87" t="s">
        <v>386</v>
      </c>
      <c r="C87" t="s">
        <v>201</v>
      </c>
      <c r="D87">
        <v>3250501</v>
      </c>
      <c r="E87" t="s">
        <v>148</v>
      </c>
      <c r="F87" s="177">
        <v>37196</v>
      </c>
      <c r="G87" s="177"/>
      <c r="H87" s="177"/>
      <c r="I87" s="177" t="s">
        <v>576</v>
      </c>
      <c r="J87">
        <f t="shared" si="22"/>
        <v>97</v>
      </c>
      <c r="K87">
        <f t="shared" si="25"/>
        <v>130</v>
      </c>
      <c r="L87" s="67">
        <f t="shared" si="7"/>
        <v>2.2800000000000001E-2</v>
      </c>
      <c r="M87" s="127">
        <f t="shared" si="8"/>
        <v>2.2116000000000002</v>
      </c>
      <c r="N87" s="127">
        <f t="shared" si="0"/>
        <v>2.964</v>
      </c>
      <c r="O87" s="127">
        <f t="shared" si="1"/>
        <v>84</v>
      </c>
      <c r="P87" s="127">
        <f t="shared" si="2"/>
        <v>113</v>
      </c>
      <c r="Q87" s="43" t="str">
        <f t="shared" si="9"/>
        <v>Y</v>
      </c>
      <c r="R87" s="43">
        <f t="shared" si="24"/>
        <v>84</v>
      </c>
      <c r="S87">
        <f t="shared" si="4"/>
        <v>46</v>
      </c>
      <c r="T87" s="18">
        <f t="shared" si="23"/>
        <v>29</v>
      </c>
      <c r="U87" s="151">
        <f t="shared" si="11"/>
        <v>3</v>
      </c>
      <c r="V87" s="151">
        <f t="shared" si="12"/>
        <v>9</v>
      </c>
      <c r="W87" s="151">
        <f t="shared" si="13"/>
        <v>4</v>
      </c>
      <c r="X87" s="151">
        <f t="shared" si="14"/>
        <v>1</v>
      </c>
      <c r="Y87" s="18">
        <f t="shared" si="5"/>
        <v>17</v>
      </c>
      <c r="AB87" s="168"/>
      <c r="AC87" s="168"/>
      <c r="AD87" t="e">
        <f t="shared" si="15"/>
        <v>#N/A</v>
      </c>
    </row>
    <row r="88" spans="1:30" x14ac:dyDescent="0.2">
      <c r="A88" s="183" t="s">
        <v>554</v>
      </c>
      <c r="B88" t="s">
        <v>386</v>
      </c>
      <c r="C88" t="s">
        <v>270</v>
      </c>
      <c r="D88">
        <v>3284701</v>
      </c>
      <c r="E88" t="s">
        <v>121</v>
      </c>
      <c r="F88" s="177">
        <v>37196</v>
      </c>
      <c r="G88" s="177"/>
      <c r="H88" s="177"/>
      <c r="I88" s="177" t="s">
        <v>576</v>
      </c>
      <c r="J88">
        <f t="shared" si="22"/>
        <v>70</v>
      </c>
      <c r="K88">
        <f t="shared" si="25"/>
        <v>97</v>
      </c>
      <c r="L88" s="67">
        <f t="shared" si="7"/>
        <v>2.2800000000000001E-2</v>
      </c>
      <c r="M88" s="127">
        <f t="shared" si="8"/>
        <v>1.5960000000000001</v>
      </c>
      <c r="N88" s="127">
        <f t="shared" si="0"/>
        <v>2.2116000000000002</v>
      </c>
      <c r="O88" s="127">
        <f t="shared" si="1"/>
        <v>61</v>
      </c>
      <c r="P88" s="127">
        <f t="shared" si="2"/>
        <v>84</v>
      </c>
      <c r="Q88" s="43" t="str">
        <f t="shared" si="9"/>
        <v>Y</v>
      </c>
      <c r="R88" s="43">
        <f t="shared" si="24"/>
        <v>61</v>
      </c>
      <c r="S88">
        <f t="shared" si="4"/>
        <v>36</v>
      </c>
      <c r="T88" s="18">
        <f t="shared" si="23"/>
        <v>23</v>
      </c>
      <c r="U88" s="151">
        <f t="shared" si="11"/>
        <v>2</v>
      </c>
      <c r="V88" s="151">
        <f t="shared" si="12"/>
        <v>7</v>
      </c>
      <c r="W88" s="151">
        <f t="shared" si="13"/>
        <v>3</v>
      </c>
      <c r="X88" s="151">
        <f t="shared" si="14"/>
        <v>1</v>
      </c>
      <c r="Y88" s="18">
        <f t="shared" si="5"/>
        <v>13</v>
      </c>
      <c r="AB88" s="168"/>
      <c r="AC88" s="168"/>
      <c r="AD88" t="e">
        <f t="shared" si="15"/>
        <v>#N/A</v>
      </c>
    </row>
    <row r="89" spans="1:30" x14ac:dyDescent="0.2">
      <c r="A89" s="183" t="s">
        <v>554</v>
      </c>
      <c r="B89" t="s">
        <v>386</v>
      </c>
      <c r="C89" t="s">
        <v>239</v>
      </c>
      <c r="D89">
        <v>3290201</v>
      </c>
      <c r="E89" t="s">
        <v>175</v>
      </c>
      <c r="F89" s="177">
        <v>37196</v>
      </c>
      <c r="G89" s="177"/>
      <c r="H89" s="177"/>
      <c r="I89" s="177" t="s">
        <v>576</v>
      </c>
      <c r="J89">
        <f t="shared" si="22"/>
        <v>1113</v>
      </c>
      <c r="K89">
        <f t="shared" si="25"/>
        <v>1334</v>
      </c>
      <c r="L89" s="67">
        <f t="shared" si="7"/>
        <v>2.2800000000000001E-2</v>
      </c>
      <c r="M89" s="127">
        <f t="shared" si="8"/>
        <v>25.3764</v>
      </c>
      <c r="N89" s="127">
        <f t="shared" si="0"/>
        <v>30.415200000000002</v>
      </c>
      <c r="O89" s="127">
        <f t="shared" si="1"/>
        <v>966</v>
      </c>
      <c r="P89" s="127">
        <f t="shared" si="2"/>
        <v>1157</v>
      </c>
      <c r="Q89" s="43" t="str">
        <f t="shared" si="9"/>
        <v>Y</v>
      </c>
      <c r="R89" s="43">
        <f t="shared" si="24"/>
        <v>966</v>
      </c>
      <c r="S89">
        <f t="shared" si="4"/>
        <v>368</v>
      </c>
      <c r="T89" s="18">
        <f t="shared" si="23"/>
        <v>191</v>
      </c>
      <c r="U89" s="151">
        <f t="shared" si="11"/>
        <v>30</v>
      </c>
      <c r="V89" s="151">
        <f t="shared" si="12"/>
        <v>94</v>
      </c>
      <c r="W89" s="151">
        <f t="shared" si="13"/>
        <v>40</v>
      </c>
      <c r="X89" s="151">
        <f t="shared" si="14"/>
        <v>12</v>
      </c>
      <c r="Y89" s="18">
        <f t="shared" si="5"/>
        <v>176</v>
      </c>
      <c r="AB89" s="168"/>
      <c r="AC89" s="168"/>
      <c r="AD89" t="e">
        <f t="shared" si="15"/>
        <v>#N/A</v>
      </c>
    </row>
    <row r="90" spans="1:30" x14ac:dyDescent="0.2">
      <c r="A90" s="183" t="s">
        <v>554</v>
      </c>
      <c r="B90" t="s">
        <v>386</v>
      </c>
      <c r="C90" t="s">
        <v>241</v>
      </c>
      <c r="D90">
        <v>3290902</v>
      </c>
      <c r="E90" t="s">
        <v>242</v>
      </c>
      <c r="F90" s="177">
        <v>37196</v>
      </c>
      <c r="G90" s="177"/>
      <c r="H90" s="177"/>
      <c r="I90" s="177" t="s">
        <v>576</v>
      </c>
      <c r="J90">
        <f t="shared" si="22"/>
        <v>2070</v>
      </c>
      <c r="K90">
        <f t="shared" si="25"/>
        <v>2729</v>
      </c>
      <c r="L90" s="67">
        <f t="shared" si="7"/>
        <v>2.2800000000000001E-2</v>
      </c>
      <c r="M90" s="127">
        <f t="shared" si="8"/>
        <v>47.196000000000005</v>
      </c>
      <c r="N90" s="127">
        <f t="shared" si="0"/>
        <v>62.221200000000003</v>
      </c>
      <c r="O90" s="127">
        <f t="shared" si="1"/>
        <v>1796</v>
      </c>
      <c r="P90" s="127">
        <f t="shared" si="2"/>
        <v>2367</v>
      </c>
      <c r="Q90" s="43" t="str">
        <f t="shared" si="9"/>
        <v>Y</v>
      </c>
      <c r="R90" s="43">
        <f t="shared" si="24"/>
        <v>1796</v>
      </c>
      <c r="S90">
        <f t="shared" si="4"/>
        <v>933</v>
      </c>
      <c r="T90" s="18">
        <f t="shared" si="23"/>
        <v>571</v>
      </c>
      <c r="U90" s="151">
        <f t="shared" si="11"/>
        <v>62</v>
      </c>
      <c r="V90" s="151">
        <f t="shared" si="12"/>
        <v>193</v>
      </c>
      <c r="W90" s="151">
        <f t="shared" si="13"/>
        <v>82</v>
      </c>
      <c r="X90" s="151">
        <f t="shared" si="14"/>
        <v>25</v>
      </c>
      <c r="Y90" s="18">
        <f t="shared" si="5"/>
        <v>362</v>
      </c>
      <c r="AB90" s="168"/>
      <c r="AC90" s="168"/>
      <c r="AD90" t="e">
        <f t="shared" si="15"/>
        <v>#N/A</v>
      </c>
    </row>
    <row r="91" spans="1:30" x14ac:dyDescent="0.2">
      <c r="A91" s="183" t="s">
        <v>554</v>
      </c>
      <c r="B91" t="s">
        <v>386</v>
      </c>
      <c r="C91" t="s">
        <v>209</v>
      </c>
      <c r="D91">
        <v>3294701</v>
      </c>
      <c r="E91" t="s">
        <v>210</v>
      </c>
      <c r="F91" s="177">
        <v>37196</v>
      </c>
      <c r="G91" s="177"/>
      <c r="H91" s="177"/>
      <c r="I91" s="177" t="s">
        <v>576</v>
      </c>
      <c r="J91">
        <f t="shared" si="22"/>
        <v>109</v>
      </c>
      <c r="K91">
        <f t="shared" si="25"/>
        <v>127</v>
      </c>
      <c r="L91" s="67">
        <f t="shared" si="7"/>
        <v>2.2800000000000001E-2</v>
      </c>
      <c r="M91" s="127">
        <f t="shared" si="8"/>
        <v>2.4852000000000003</v>
      </c>
      <c r="N91" s="127">
        <f t="shared" si="0"/>
        <v>2.8956</v>
      </c>
      <c r="O91" s="127">
        <f t="shared" si="1"/>
        <v>95</v>
      </c>
      <c r="P91" s="127">
        <f t="shared" si="2"/>
        <v>110</v>
      </c>
      <c r="Q91" s="43" t="str">
        <f t="shared" si="9"/>
        <v>Y</v>
      </c>
      <c r="R91" s="43">
        <f t="shared" si="24"/>
        <v>95</v>
      </c>
      <c r="S91">
        <f t="shared" si="4"/>
        <v>32</v>
      </c>
      <c r="T91" s="18">
        <f t="shared" si="23"/>
        <v>15</v>
      </c>
      <c r="U91" s="151">
        <f t="shared" si="11"/>
        <v>3</v>
      </c>
      <c r="V91" s="151">
        <f t="shared" si="12"/>
        <v>9</v>
      </c>
      <c r="W91" s="151">
        <f t="shared" si="13"/>
        <v>4</v>
      </c>
      <c r="X91" s="151">
        <f t="shared" si="14"/>
        <v>1</v>
      </c>
      <c r="Y91" s="18">
        <f t="shared" si="5"/>
        <v>17</v>
      </c>
      <c r="AB91" s="168"/>
      <c r="AC91" s="168"/>
      <c r="AD91" t="e">
        <f t="shared" si="15"/>
        <v>#N/A</v>
      </c>
    </row>
    <row r="92" spans="1:30" x14ac:dyDescent="0.2">
      <c r="A92" s="183" t="s">
        <v>554</v>
      </c>
      <c r="B92" t="s">
        <v>386</v>
      </c>
      <c r="C92" t="s">
        <v>466</v>
      </c>
      <c r="D92">
        <v>3297001</v>
      </c>
      <c r="E92" t="s">
        <v>420</v>
      </c>
      <c r="F92" s="177">
        <v>37196</v>
      </c>
      <c r="G92" s="177"/>
      <c r="H92" s="177"/>
      <c r="I92" s="177" t="s">
        <v>576</v>
      </c>
      <c r="J92">
        <f t="shared" si="22"/>
        <v>0</v>
      </c>
      <c r="K92">
        <f t="shared" si="25"/>
        <v>0</v>
      </c>
      <c r="L92" s="67">
        <f t="shared" si="7"/>
        <v>2.2800000000000001E-2</v>
      </c>
      <c r="M92" s="127">
        <f t="shared" si="8"/>
        <v>0</v>
      </c>
      <c r="N92" s="127">
        <f t="shared" si="0"/>
        <v>0</v>
      </c>
      <c r="O92" s="127">
        <f t="shared" si="1"/>
        <v>0</v>
      </c>
      <c r="P92" s="127">
        <f t="shared" si="2"/>
        <v>0</v>
      </c>
      <c r="Q92" s="43" t="str">
        <f t="shared" si="9"/>
        <v>Y</v>
      </c>
      <c r="R92" s="43">
        <f t="shared" si="24"/>
        <v>0</v>
      </c>
      <c r="S92">
        <f t="shared" si="4"/>
        <v>0</v>
      </c>
      <c r="T92" s="18">
        <f t="shared" si="23"/>
        <v>0</v>
      </c>
      <c r="U92" s="151">
        <f t="shared" si="11"/>
        <v>0</v>
      </c>
      <c r="V92" s="151">
        <f t="shared" si="12"/>
        <v>0</v>
      </c>
      <c r="W92" s="151">
        <f t="shared" si="13"/>
        <v>0</v>
      </c>
      <c r="X92" s="151">
        <f t="shared" si="14"/>
        <v>0</v>
      </c>
      <c r="Y92" s="18">
        <f t="shared" si="5"/>
        <v>0</v>
      </c>
      <c r="AB92" s="168"/>
      <c r="AC92" s="168"/>
      <c r="AD92" t="e">
        <f t="shared" si="15"/>
        <v>#N/A</v>
      </c>
    </row>
    <row r="93" spans="1:30" x14ac:dyDescent="0.2">
      <c r="A93" s="183" t="s">
        <v>554</v>
      </c>
      <c r="B93" t="s">
        <v>386</v>
      </c>
      <c r="C93" t="s">
        <v>469</v>
      </c>
      <c r="D93">
        <v>3313401</v>
      </c>
      <c r="E93" t="s">
        <v>420</v>
      </c>
      <c r="F93" s="177">
        <v>37196</v>
      </c>
      <c r="G93" s="177"/>
      <c r="H93" s="177"/>
      <c r="I93" s="177" t="s">
        <v>576</v>
      </c>
      <c r="J93">
        <f t="shared" si="22"/>
        <v>0</v>
      </c>
      <c r="K93">
        <f t="shared" si="25"/>
        <v>0</v>
      </c>
      <c r="L93" s="67">
        <f t="shared" si="7"/>
        <v>2.2800000000000001E-2</v>
      </c>
      <c r="M93" s="127">
        <f t="shared" si="8"/>
        <v>0</v>
      </c>
      <c r="N93" s="127">
        <f t="shared" si="0"/>
        <v>0</v>
      </c>
      <c r="O93" s="127">
        <f t="shared" si="1"/>
        <v>0</v>
      </c>
      <c r="P93" s="127">
        <f t="shared" si="2"/>
        <v>0</v>
      </c>
      <c r="Q93" s="43" t="str">
        <f t="shared" si="9"/>
        <v>Y</v>
      </c>
      <c r="R93" s="43">
        <f t="shared" si="24"/>
        <v>0</v>
      </c>
      <c r="S93">
        <f t="shared" si="4"/>
        <v>0</v>
      </c>
      <c r="T93" s="18">
        <f t="shared" si="23"/>
        <v>0</v>
      </c>
      <c r="U93" s="151">
        <f t="shared" si="11"/>
        <v>0</v>
      </c>
      <c r="V93" s="151">
        <f t="shared" si="12"/>
        <v>0</v>
      </c>
      <c r="W93" s="151">
        <f t="shared" si="13"/>
        <v>0</v>
      </c>
      <c r="X93" s="151">
        <f t="shared" si="14"/>
        <v>0</v>
      </c>
      <c r="Y93" s="18">
        <f t="shared" si="5"/>
        <v>0</v>
      </c>
      <c r="AB93" s="168"/>
      <c r="AC93" s="168"/>
      <c r="AD93" t="e">
        <f t="shared" si="15"/>
        <v>#N/A</v>
      </c>
    </row>
    <row r="94" spans="1:30" x14ac:dyDescent="0.2">
      <c r="A94" s="183" t="s">
        <v>554</v>
      </c>
      <c r="B94" t="s">
        <v>386</v>
      </c>
      <c r="C94" t="s">
        <v>207</v>
      </c>
      <c r="D94">
        <v>3316501</v>
      </c>
      <c r="E94" t="s">
        <v>204</v>
      </c>
      <c r="F94" s="177">
        <v>37196</v>
      </c>
      <c r="G94" s="177"/>
      <c r="H94" s="177"/>
      <c r="I94" s="177" t="s">
        <v>576</v>
      </c>
      <c r="J94">
        <f t="shared" si="22"/>
        <v>615</v>
      </c>
      <c r="K94">
        <f t="shared" si="25"/>
        <v>744</v>
      </c>
      <c r="L94" s="67">
        <f t="shared" si="7"/>
        <v>2.2800000000000001E-2</v>
      </c>
      <c r="M94" s="127">
        <f t="shared" si="8"/>
        <v>14.022</v>
      </c>
      <c r="N94" s="127">
        <f t="shared" si="0"/>
        <v>16.963200000000001</v>
      </c>
      <c r="O94" s="127">
        <f t="shared" si="1"/>
        <v>534</v>
      </c>
      <c r="P94" s="127">
        <f t="shared" si="2"/>
        <v>645</v>
      </c>
      <c r="Q94" s="43" t="str">
        <f t="shared" si="9"/>
        <v>Y</v>
      </c>
      <c r="R94" s="43">
        <f t="shared" si="24"/>
        <v>534</v>
      </c>
      <c r="S94">
        <f t="shared" si="4"/>
        <v>210</v>
      </c>
      <c r="T94" s="18">
        <f t="shared" si="23"/>
        <v>111</v>
      </c>
      <c r="U94" s="151">
        <f t="shared" si="11"/>
        <v>17</v>
      </c>
      <c r="V94" s="151">
        <f t="shared" si="12"/>
        <v>53</v>
      </c>
      <c r="W94" s="151">
        <f t="shared" si="13"/>
        <v>22</v>
      </c>
      <c r="X94" s="151">
        <f t="shared" si="14"/>
        <v>7</v>
      </c>
      <c r="Y94" s="18">
        <f t="shared" si="5"/>
        <v>99</v>
      </c>
      <c r="AB94" s="168"/>
      <c r="AC94" s="168"/>
      <c r="AD94" t="e">
        <f t="shared" si="15"/>
        <v>#N/A</v>
      </c>
    </row>
    <row r="95" spans="1:30" x14ac:dyDescent="0.2">
      <c r="A95" s="183" t="s">
        <v>554</v>
      </c>
      <c r="B95" t="s">
        <v>386</v>
      </c>
      <c r="C95" t="s">
        <v>208</v>
      </c>
      <c r="D95">
        <v>3316601</v>
      </c>
      <c r="E95" t="s">
        <v>204</v>
      </c>
      <c r="F95" s="177">
        <v>37196</v>
      </c>
      <c r="G95" s="177"/>
      <c r="H95" s="177"/>
      <c r="I95" s="177" t="s">
        <v>576</v>
      </c>
      <c r="J95">
        <f t="shared" si="22"/>
        <v>959</v>
      </c>
      <c r="K95">
        <f t="shared" si="25"/>
        <v>1270</v>
      </c>
      <c r="L95" s="67">
        <f t="shared" si="7"/>
        <v>2.2800000000000001E-2</v>
      </c>
      <c r="M95" s="127">
        <f t="shared" si="8"/>
        <v>21.865200000000002</v>
      </c>
      <c r="N95" s="127">
        <f t="shared" si="0"/>
        <v>28.956</v>
      </c>
      <c r="O95" s="127">
        <f t="shared" si="1"/>
        <v>832</v>
      </c>
      <c r="P95" s="127">
        <f t="shared" si="2"/>
        <v>1102</v>
      </c>
      <c r="Q95" s="43" t="str">
        <f t="shared" si="9"/>
        <v>Y</v>
      </c>
      <c r="R95" s="43">
        <f t="shared" si="24"/>
        <v>832</v>
      </c>
      <c r="S95">
        <f t="shared" si="4"/>
        <v>438</v>
      </c>
      <c r="T95" s="18">
        <f t="shared" si="23"/>
        <v>270</v>
      </c>
      <c r="U95" s="151">
        <f t="shared" si="11"/>
        <v>29</v>
      </c>
      <c r="V95" s="151">
        <f t="shared" si="12"/>
        <v>90</v>
      </c>
      <c r="W95" s="151">
        <f t="shared" si="13"/>
        <v>38</v>
      </c>
      <c r="X95" s="151">
        <f t="shared" si="14"/>
        <v>12</v>
      </c>
      <c r="Y95" s="18">
        <f t="shared" si="5"/>
        <v>169</v>
      </c>
      <c r="AB95" s="168"/>
      <c r="AC95" s="168"/>
      <c r="AD95" t="e">
        <f t="shared" si="15"/>
        <v>#N/A</v>
      </c>
    </row>
    <row r="96" spans="1:30" x14ac:dyDescent="0.2">
      <c r="A96" s="183" t="s">
        <v>554</v>
      </c>
      <c r="B96" t="s">
        <v>386</v>
      </c>
      <c r="C96" t="s">
        <v>283</v>
      </c>
      <c r="D96">
        <v>3325801</v>
      </c>
      <c r="E96" t="s">
        <v>121</v>
      </c>
      <c r="F96" s="177">
        <v>37196</v>
      </c>
      <c r="G96" s="177"/>
      <c r="H96" s="177"/>
      <c r="I96" s="177" t="s">
        <v>576</v>
      </c>
      <c r="J96">
        <f t="shared" si="22"/>
        <v>239</v>
      </c>
      <c r="K96">
        <f t="shared" si="25"/>
        <v>305</v>
      </c>
      <c r="L96" s="67">
        <f t="shared" si="7"/>
        <v>2.2800000000000001E-2</v>
      </c>
      <c r="M96" s="127">
        <f t="shared" si="8"/>
        <v>5.4492000000000003</v>
      </c>
      <c r="N96" s="127">
        <f t="shared" si="0"/>
        <v>6.9540000000000006</v>
      </c>
      <c r="O96" s="127">
        <f t="shared" si="1"/>
        <v>207</v>
      </c>
      <c r="P96" s="127">
        <f t="shared" si="2"/>
        <v>265</v>
      </c>
      <c r="Q96" s="43" t="str">
        <f t="shared" si="9"/>
        <v>Y</v>
      </c>
      <c r="R96" s="43">
        <f t="shared" si="24"/>
        <v>207</v>
      </c>
      <c r="S96">
        <f t="shared" si="4"/>
        <v>98</v>
      </c>
      <c r="T96" s="18">
        <f t="shared" si="23"/>
        <v>58</v>
      </c>
      <c r="U96" s="151">
        <f t="shared" si="11"/>
        <v>7</v>
      </c>
      <c r="V96" s="151">
        <f t="shared" si="12"/>
        <v>22</v>
      </c>
      <c r="W96" s="151">
        <f t="shared" si="13"/>
        <v>9</v>
      </c>
      <c r="X96" s="151">
        <f t="shared" si="14"/>
        <v>3</v>
      </c>
      <c r="Y96" s="18">
        <f t="shared" si="5"/>
        <v>41</v>
      </c>
      <c r="AB96" s="168"/>
      <c r="AC96" s="168"/>
      <c r="AD96" t="e">
        <f t="shared" si="15"/>
        <v>#N/A</v>
      </c>
    </row>
    <row r="97" spans="1:30" x14ac:dyDescent="0.2">
      <c r="A97" s="183" t="s">
        <v>554</v>
      </c>
      <c r="B97" t="s">
        <v>386</v>
      </c>
      <c r="C97" t="s">
        <v>289</v>
      </c>
      <c r="D97">
        <v>3327701</v>
      </c>
      <c r="E97" t="s">
        <v>146</v>
      </c>
      <c r="F97" s="177">
        <v>37196</v>
      </c>
      <c r="G97" s="177"/>
      <c r="H97" s="177"/>
      <c r="I97" s="177" t="s">
        <v>576</v>
      </c>
      <c r="J97">
        <f t="shared" si="22"/>
        <v>64</v>
      </c>
      <c r="K97">
        <f t="shared" si="25"/>
        <v>86</v>
      </c>
      <c r="L97" s="67">
        <f t="shared" si="7"/>
        <v>2.2800000000000001E-2</v>
      </c>
      <c r="M97" s="127">
        <f t="shared" si="8"/>
        <v>1.4592000000000001</v>
      </c>
      <c r="N97" s="127">
        <f t="shared" si="0"/>
        <v>1.9608000000000001</v>
      </c>
      <c r="O97" s="127">
        <f t="shared" si="1"/>
        <v>56</v>
      </c>
      <c r="P97" s="127">
        <f t="shared" si="2"/>
        <v>75</v>
      </c>
      <c r="Q97" s="43" t="str">
        <f t="shared" si="9"/>
        <v>Y</v>
      </c>
      <c r="R97" s="43">
        <f t="shared" si="24"/>
        <v>56</v>
      </c>
      <c r="S97">
        <f t="shared" si="4"/>
        <v>30</v>
      </c>
      <c r="T97" s="18">
        <f t="shared" si="23"/>
        <v>19</v>
      </c>
      <c r="U97" s="151">
        <f t="shared" si="11"/>
        <v>2</v>
      </c>
      <c r="V97" s="151">
        <f t="shared" si="12"/>
        <v>6</v>
      </c>
      <c r="W97" s="151">
        <f t="shared" si="13"/>
        <v>3</v>
      </c>
      <c r="X97" s="151">
        <f t="shared" si="14"/>
        <v>1</v>
      </c>
      <c r="Y97" s="18">
        <f t="shared" si="5"/>
        <v>12</v>
      </c>
      <c r="AB97" s="168"/>
      <c r="AC97" s="168"/>
      <c r="AD97" t="e">
        <f t="shared" si="15"/>
        <v>#N/A</v>
      </c>
    </row>
    <row r="98" spans="1:30" x14ac:dyDescent="0.2">
      <c r="A98" s="183" t="s">
        <v>554</v>
      </c>
      <c r="B98" t="s">
        <v>386</v>
      </c>
      <c r="C98" t="s">
        <v>225</v>
      </c>
      <c r="D98">
        <v>3329801</v>
      </c>
      <c r="E98" t="s">
        <v>223</v>
      </c>
      <c r="F98" s="177">
        <v>37196</v>
      </c>
      <c r="G98" s="177"/>
      <c r="H98" s="177"/>
      <c r="I98" s="177" t="s">
        <v>576</v>
      </c>
      <c r="J98">
        <f t="shared" si="22"/>
        <v>248</v>
      </c>
      <c r="K98">
        <f t="shared" si="25"/>
        <v>332</v>
      </c>
      <c r="L98" s="67">
        <f t="shared" si="7"/>
        <v>2.2800000000000001E-2</v>
      </c>
      <c r="M98" s="127">
        <f t="shared" si="8"/>
        <v>5.6543999999999999</v>
      </c>
      <c r="N98" s="127">
        <f t="shared" si="0"/>
        <v>7.5696000000000003</v>
      </c>
      <c r="O98" s="127">
        <f t="shared" si="1"/>
        <v>215</v>
      </c>
      <c r="P98" s="127">
        <f t="shared" si="2"/>
        <v>288</v>
      </c>
      <c r="Q98" s="43" t="str">
        <f t="shared" si="9"/>
        <v>Y</v>
      </c>
      <c r="R98" s="43">
        <f t="shared" si="24"/>
        <v>215</v>
      </c>
      <c r="S98">
        <f t="shared" si="4"/>
        <v>117</v>
      </c>
      <c r="T98" s="18">
        <f t="shared" si="23"/>
        <v>73</v>
      </c>
      <c r="U98" s="151">
        <f t="shared" si="11"/>
        <v>8</v>
      </c>
      <c r="V98" s="151">
        <f t="shared" si="12"/>
        <v>23</v>
      </c>
      <c r="W98" s="151">
        <f t="shared" si="13"/>
        <v>10</v>
      </c>
      <c r="X98" s="151">
        <f t="shared" si="14"/>
        <v>3</v>
      </c>
      <c r="Y98" s="18">
        <f t="shared" si="5"/>
        <v>44</v>
      </c>
      <c r="AB98" s="168"/>
      <c r="AC98" s="168"/>
      <c r="AD98" t="e">
        <f t="shared" ref="AD98:AD161" si="26">VLOOKUP(AB98,INCNG,3,FALSE)</f>
        <v>#N/A</v>
      </c>
    </row>
    <row r="99" spans="1:30" x14ac:dyDescent="0.2">
      <c r="A99" s="183" t="s">
        <v>554</v>
      </c>
      <c r="B99" t="s">
        <v>386</v>
      </c>
      <c r="C99" t="s">
        <v>149</v>
      </c>
      <c r="D99">
        <v>3330401</v>
      </c>
      <c r="E99" t="s">
        <v>146</v>
      </c>
      <c r="F99" s="177">
        <v>37196</v>
      </c>
      <c r="G99" s="177"/>
      <c r="H99" s="177"/>
      <c r="I99" s="177" t="s">
        <v>576</v>
      </c>
      <c r="J99">
        <f t="shared" si="22"/>
        <v>783</v>
      </c>
      <c r="K99">
        <f t="shared" si="25"/>
        <v>932</v>
      </c>
      <c r="L99" s="67">
        <f t="shared" si="7"/>
        <v>2.2800000000000001E-2</v>
      </c>
      <c r="M99" s="127">
        <f t="shared" si="8"/>
        <v>17.852399999999999</v>
      </c>
      <c r="N99" s="127">
        <f t="shared" si="0"/>
        <v>21.249600000000001</v>
      </c>
      <c r="O99" s="127">
        <f t="shared" si="1"/>
        <v>679</v>
      </c>
      <c r="P99" s="127">
        <f t="shared" si="2"/>
        <v>809</v>
      </c>
      <c r="Q99" s="43" t="str">
        <f t="shared" si="9"/>
        <v>Y</v>
      </c>
      <c r="R99" s="43">
        <f t="shared" si="24"/>
        <v>679</v>
      </c>
      <c r="S99">
        <f t="shared" si="4"/>
        <v>253</v>
      </c>
      <c r="T99" s="18">
        <f t="shared" si="23"/>
        <v>130</v>
      </c>
      <c r="U99" s="151">
        <f t="shared" si="11"/>
        <v>21</v>
      </c>
      <c r="V99" s="151">
        <f t="shared" si="12"/>
        <v>66</v>
      </c>
      <c r="W99" s="151">
        <f t="shared" si="13"/>
        <v>28</v>
      </c>
      <c r="X99" s="151">
        <f t="shared" si="14"/>
        <v>8</v>
      </c>
      <c r="Y99" s="18">
        <f t="shared" si="5"/>
        <v>123</v>
      </c>
      <c r="AB99" s="168"/>
      <c r="AC99" s="168"/>
      <c r="AD99" t="e">
        <f t="shared" si="26"/>
        <v>#N/A</v>
      </c>
    </row>
    <row r="100" spans="1:30" x14ac:dyDescent="0.2">
      <c r="A100" s="183" t="s">
        <v>554</v>
      </c>
      <c r="B100" t="s">
        <v>387</v>
      </c>
      <c r="C100" t="s">
        <v>307</v>
      </c>
      <c r="D100">
        <v>3394401</v>
      </c>
      <c r="E100" t="s">
        <v>121</v>
      </c>
      <c r="F100" s="177">
        <v>37196</v>
      </c>
      <c r="G100" s="177"/>
      <c r="H100" s="177"/>
      <c r="I100" s="177" t="s">
        <v>583</v>
      </c>
      <c r="J100">
        <f t="shared" si="22"/>
        <v>320</v>
      </c>
      <c r="K100">
        <f t="shared" si="25"/>
        <v>455</v>
      </c>
      <c r="L100" s="67">
        <f t="shared" si="7"/>
        <v>0</v>
      </c>
      <c r="M100" s="127">
        <f t="shared" si="8"/>
        <v>0</v>
      </c>
      <c r="N100" s="127">
        <f t="shared" si="0"/>
        <v>0</v>
      </c>
      <c r="O100" s="127">
        <f t="shared" si="1"/>
        <v>307</v>
      </c>
      <c r="P100" s="127">
        <f t="shared" si="2"/>
        <v>437</v>
      </c>
      <c r="Q100" s="43" t="str">
        <f t="shared" si="9"/>
        <v>Y</v>
      </c>
      <c r="R100" s="43">
        <f t="shared" si="24"/>
        <v>307</v>
      </c>
      <c r="S100">
        <f t="shared" si="4"/>
        <v>148</v>
      </c>
      <c r="T100" s="18">
        <f t="shared" si="23"/>
        <v>130</v>
      </c>
      <c r="U100" s="151">
        <f t="shared" si="11"/>
        <v>0</v>
      </c>
      <c r="V100" s="151">
        <f t="shared" si="12"/>
        <v>0</v>
      </c>
      <c r="W100" s="151">
        <f t="shared" si="13"/>
        <v>14</v>
      </c>
      <c r="X100" s="151">
        <f t="shared" si="14"/>
        <v>4</v>
      </c>
      <c r="Y100" s="18">
        <f t="shared" si="5"/>
        <v>18</v>
      </c>
      <c r="AB100" s="168"/>
      <c r="AC100" s="168"/>
      <c r="AD100" t="e">
        <f t="shared" si="26"/>
        <v>#N/A</v>
      </c>
    </row>
    <row r="101" spans="1:30" x14ac:dyDescent="0.2">
      <c r="A101" s="183" t="s">
        <v>554</v>
      </c>
      <c r="B101" t="s">
        <v>386</v>
      </c>
      <c r="C101" t="s">
        <v>197</v>
      </c>
      <c r="D101">
        <v>3402401</v>
      </c>
      <c r="E101" t="s">
        <v>198</v>
      </c>
      <c r="F101" s="177">
        <v>37196</v>
      </c>
      <c r="G101" s="177"/>
      <c r="H101" s="177"/>
      <c r="I101" s="177" t="s">
        <v>576</v>
      </c>
      <c r="J101">
        <f t="shared" si="22"/>
        <v>425</v>
      </c>
      <c r="K101">
        <f t="shared" si="25"/>
        <v>562</v>
      </c>
      <c r="L101" s="67">
        <f t="shared" si="7"/>
        <v>2.2800000000000001E-2</v>
      </c>
      <c r="M101" s="127">
        <f t="shared" si="8"/>
        <v>9.69</v>
      </c>
      <c r="N101" s="127">
        <f t="shared" ref="N101:N164" si="27">IF(OR(I101="TD",I101="TW"),0,K101*0.0228)</f>
        <v>12.813600000000001</v>
      </c>
      <c r="O101" s="127">
        <f t="shared" ref="O101:O164" si="28">J101-ROUND(+$J101*(VLOOKUP($I101,cngded,6,FALSE)),0)</f>
        <v>369</v>
      </c>
      <c r="P101" s="127">
        <f t="shared" ref="P101:P164" si="29">K101-ROUND(+$K101*(VLOOKUP($I101,cngded,6,FALSE)),0)</f>
        <v>488</v>
      </c>
      <c r="Q101" s="43" t="str">
        <f t="shared" si="9"/>
        <v>Y</v>
      </c>
      <c r="R101" s="43">
        <f t="shared" ref="R101:R164" si="30">IF(ISNA(VLOOKUP(C101,INCNG,10,FALSE)),0,VLOOKUP(C101,INCNG,10,FALSE))</f>
        <v>369</v>
      </c>
      <c r="S101">
        <f t="shared" ref="S101:S164" si="31">+K101-R101</f>
        <v>193</v>
      </c>
      <c r="T101" s="18">
        <f t="shared" si="23"/>
        <v>119</v>
      </c>
      <c r="U101" s="151">
        <f t="shared" si="11"/>
        <v>13</v>
      </c>
      <c r="V101" s="151">
        <f t="shared" si="12"/>
        <v>40</v>
      </c>
      <c r="W101" s="151">
        <f t="shared" si="13"/>
        <v>17</v>
      </c>
      <c r="X101" s="151">
        <f t="shared" si="14"/>
        <v>5</v>
      </c>
      <c r="Y101" s="18">
        <f t="shared" ref="Y101:Y161" si="32">SUM(U101:X101)</f>
        <v>75</v>
      </c>
      <c r="AB101" s="168"/>
      <c r="AC101" s="168"/>
      <c r="AD101" t="e">
        <f t="shared" si="26"/>
        <v>#N/A</v>
      </c>
    </row>
    <row r="102" spans="1:30" x14ac:dyDescent="0.2">
      <c r="A102" s="183" t="s">
        <v>554</v>
      </c>
      <c r="B102" t="s">
        <v>387</v>
      </c>
      <c r="C102" t="s">
        <v>305</v>
      </c>
      <c r="D102">
        <v>3405001</v>
      </c>
      <c r="E102" t="s">
        <v>166</v>
      </c>
      <c r="F102" s="177">
        <v>37196</v>
      </c>
      <c r="G102" s="177"/>
      <c r="H102" s="177"/>
      <c r="I102" s="177" t="s">
        <v>583</v>
      </c>
      <c r="J102">
        <f t="shared" si="22"/>
        <v>4</v>
      </c>
      <c r="K102">
        <f t="shared" ref="K102:K130" si="33">IF(ISNA(VLOOKUP(C102,CNGx,3,0)),0,VLOOKUP(C102,CNGx,3,FALSE))</f>
        <v>6</v>
      </c>
      <c r="L102" s="67">
        <f t="shared" ref="L102:L165" si="34">VLOOKUP(I102,Retention,2,FALSE)</f>
        <v>0</v>
      </c>
      <c r="M102" s="127">
        <f t="shared" ref="M102:M165" si="35">IF(OR(I102="TD",I102="TW"),0,J102*0.0228)</f>
        <v>0</v>
      </c>
      <c r="N102" s="127">
        <f t="shared" si="27"/>
        <v>0</v>
      </c>
      <c r="O102" s="127">
        <f t="shared" si="28"/>
        <v>4</v>
      </c>
      <c r="P102" s="127">
        <f t="shared" si="29"/>
        <v>6</v>
      </c>
      <c r="Q102" s="43" t="str">
        <f t="shared" ref="Q102:Q165" si="36">IF(ISNA(VLOOKUP(C102,INCNG,1,FALSE)),"--", "Y")</f>
        <v>Y</v>
      </c>
      <c r="R102" s="43">
        <f t="shared" si="30"/>
        <v>4</v>
      </c>
      <c r="S102">
        <f t="shared" si="31"/>
        <v>2</v>
      </c>
      <c r="T102" s="18">
        <f t="shared" si="23"/>
        <v>2</v>
      </c>
      <c r="U102" s="151">
        <f t="shared" ref="U102:U165" si="37">ROUND(+$K102*(VLOOKUP($I102,Retention,2,FALSE)),0)</f>
        <v>0</v>
      </c>
      <c r="V102" s="151">
        <f t="shared" ref="V102:V165" si="38">ROUND(+$K102*(VLOOKUP($I102,Retention,3,FALSE)),0)</f>
        <v>0</v>
      </c>
      <c r="W102" s="151">
        <f t="shared" ref="W102:W165" si="39">ROUND(+$K102*(VLOOKUP($I102,Retention,4,FALSE)),0)</f>
        <v>0</v>
      </c>
      <c r="X102" s="151">
        <f t="shared" ref="X102:X165" si="40">ROUND(+$K102*(VLOOKUP($I102,Retention,5,FALSE)),0)</f>
        <v>0</v>
      </c>
      <c r="Y102" s="18">
        <f t="shared" si="32"/>
        <v>0</v>
      </c>
      <c r="AB102" s="168"/>
      <c r="AC102" s="168"/>
      <c r="AD102" t="e">
        <f t="shared" si="26"/>
        <v>#N/A</v>
      </c>
    </row>
    <row r="103" spans="1:30" x14ac:dyDescent="0.2">
      <c r="A103" s="183" t="s">
        <v>554</v>
      </c>
      <c r="B103" t="s">
        <v>386</v>
      </c>
      <c r="C103" t="s">
        <v>275</v>
      </c>
      <c r="D103">
        <v>3405301</v>
      </c>
      <c r="E103" t="s">
        <v>130</v>
      </c>
      <c r="F103" s="177">
        <v>37196</v>
      </c>
      <c r="G103" s="177"/>
      <c r="H103" s="177"/>
      <c r="I103" s="177" t="s">
        <v>576</v>
      </c>
      <c r="J103">
        <f t="shared" si="22"/>
        <v>271</v>
      </c>
      <c r="K103">
        <f t="shared" si="33"/>
        <v>286</v>
      </c>
      <c r="L103" s="67">
        <f t="shared" si="34"/>
        <v>2.2800000000000001E-2</v>
      </c>
      <c r="M103" s="127">
        <f t="shared" si="35"/>
        <v>6.1787999999999998</v>
      </c>
      <c r="N103" s="127">
        <f t="shared" si="27"/>
        <v>6.5208000000000004</v>
      </c>
      <c r="O103" s="127">
        <f t="shared" si="28"/>
        <v>235</v>
      </c>
      <c r="P103" s="127">
        <f t="shared" si="29"/>
        <v>248</v>
      </c>
      <c r="Q103" s="43" t="str">
        <f t="shared" si="36"/>
        <v>Y</v>
      </c>
      <c r="R103" s="43">
        <f t="shared" si="30"/>
        <v>235</v>
      </c>
      <c r="S103">
        <f t="shared" si="31"/>
        <v>51</v>
      </c>
      <c r="T103" s="18">
        <f t="shared" si="23"/>
        <v>13</v>
      </c>
      <c r="U103" s="151">
        <f t="shared" si="37"/>
        <v>7</v>
      </c>
      <c r="V103" s="151">
        <f t="shared" si="38"/>
        <v>20</v>
      </c>
      <c r="W103" s="151">
        <f t="shared" si="39"/>
        <v>9</v>
      </c>
      <c r="X103" s="151">
        <f t="shared" si="40"/>
        <v>3</v>
      </c>
      <c r="Y103" s="18">
        <f t="shared" si="32"/>
        <v>39</v>
      </c>
      <c r="AB103" s="168"/>
      <c r="AC103" s="168"/>
      <c r="AD103" t="e">
        <f t="shared" si="26"/>
        <v>#N/A</v>
      </c>
    </row>
    <row r="104" spans="1:30" x14ac:dyDescent="0.2">
      <c r="A104" s="183" t="s">
        <v>554</v>
      </c>
      <c r="B104" t="s">
        <v>386</v>
      </c>
      <c r="C104" t="s">
        <v>238</v>
      </c>
      <c r="D104">
        <v>3409901</v>
      </c>
      <c r="E104" t="s">
        <v>175</v>
      </c>
      <c r="F104" s="177">
        <v>37196</v>
      </c>
      <c r="G104" s="177"/>
      <c r="H104" s="177"/>
      <c r="I104" s="177" t="s">
        <v>576</v>
      </c>
      <c r="J104">
        <f t="shared" si="22"/>
        <v>518</v>
      </c>
      <c r="K104">
        <f t="shared" si="33"/>
        <v>649</v>
      </c>
      <c r="L104" s="67">
        <f t="shared" si="34"/>
        <v>2.2800000000000001E-2</v>
      </c>
      <c r="M104" s="127">
        <f t="shared" si="35"/>
        <v>11.8104</v>
      </c>
      <c r="N104" s="127">
        <f t="shared" si="27"/>
        <v>14.7972</v>
      </c>
      <c r="O104" s="127">
        <f t="shared" si="28"/>
        <v>449</v>
      </c>
      <c r="P104" s="127">
        <f t="shared" si="29"/>
        <v>563</v>
      </c>
      <c r="Q104" s="43" t="str">
        <f t="shared" si="36"/>
        <v>Y</v>
      </c>
      <c r="R104" s="43">
        <f t="shared" si="30"/>
        <v>449</v>
      </c>
      <c r="S104">
        <f t="shared" si="31"/>
        <v>200</v>
      </c>
      <c r="T104" s="18">
        <f t="shared" si="23"/>
        <v>114</v>
      </c>
      <c r="U104" s="151">
        <f t="shared" si="37"/>
        <v>15</v>
      </c>
      <c r="V104" s="151">
        <f t="shared" si="38"/>
        <v>46</v>
      </c>
      <c r="W104" s="151">
        <f t="shared" si="39"/>
        <v>19</v>
      </c>
      <c r="X104" s="151">
        <f t="shared" si="40"/>
        <v>6</v>
      </c>
      <c r="Y104" s="18">
        <f t="shared" si="32"/>
        <v>86</v>
      </c>
      <c r="AB104" s="168"/>
      <c r="AC104" s="168"/>
      <c r="AD104" t="e">
        <f t="shared" si="26"/>
        <v>#N/A</v>
      </c>
    </row>
    <row r="105" spans="1:30" x14ac:dyDescent="0.2">
      <c r="A105" s="183" t="s">
        <v>554</v>
      </c>
      <c r="B105" t="s">
        <v>386</v>
      </c>
      <c r="C105" t="s">
        <v>402</v>
      </c>
      <c r="D105">
        <v>3410301</v>
      </c>
      <c r="E105" t="s">
        <v>121</v>
      </c>
      <c r="F105" s="177">
        <v>37196</v>
      </c>
      <c r="G105" s="177"/>
      <c r="H105" s="177"/>
      <c r="I105" s="177" t="s">
        <v>576</v>
      </c>
      <c r="J105">
        <f t="shared" si="22"/>
        <v>67</v>
      </c>
      <c r="K105">
        <f t="shared" si="33"/>
        <v>124</v>
      </c>
      <c r="L105" s="67">
        <f t="shared" si="34"/>
        <v>2.2800000000000001E-2</v>
      </c>
      <c r="M105" s="127">
        <f t="shared" si="35"/>
        <v>1.5276000000000001</v>
      </c>
      <c r="N105" s="127">
        <f t="shared" si="27"/>
        <v>2.8271999999999999</v>
      </c>
      <c r="O105" s="127">
        <f t="shared" si="28"/>
        <v>58</v>
      </c>
      <c r="P105" s="127">
        <f t="shared" si="29"/>
        <v>108</v>
      </c>
      <c r="Q105" s="43" t="str">
        <f t="shared" si="36"/>
        <v>Y</v>
      </c>
      <c r="R105" s="43">
        <f t="shared" si="30"/>
        <v>58</v>
      </c>
      <c r="S105">
        <f t="shared" si="31"/>
        <v>66</v>
      </c>
      <c r="T105" s="18">
        <f t="shared" si="23"/>
        <v>50</v>
      </c>
      <c r="U105" s="151">
        <f t="shared" si="37"/>
        <v>3</v>
      </c>
      <c r="V105" s="151">
        <f t="shared" si="38"/>
        <v>9</v>
      </c>
      <c r="W105" s="151">
        <f t="shared" si="39"/>
        <v>4</v>
      </c>
      <c r="X105" s="151">
        <f t="shared" si="40"/>
        <v>1</v>
      </c>
      <c r="Y105" s="18">
        <f t="shared" si="32"/>
        <v>17</v>
      </c>
      <c r="AB105" s="168"/>
      <c r="AC105" s="168"/>
      <c r="AD105" t="e">
        <f t="shared" si="26"/>
        <v>#N/A</v>
      </c>
    </row>
    <row r="106" spans="1:30" x14ac:dyDescent="0.2">
      <c r="A106" s="183" t="s">
        <v>554</v>
      </c>
      <c r="B106" t="s">
        <v>386</v>
      </c>
      <c r="C106" t="s">
        <v>400</v>
      </c>
      <c r="D106">
        <v>3415201</v>
      </c>
      <c r="E106" t="s">
        <v>121</v>
      </c>
      <c r="F106" s="177">
        <v>37196</v>
      </c>
      <c r="G106" s="177"/>
      <c r="H106" s="177"/>
      <c r="I106" s="177" t="s">
        <v>576</v>
      </c>
      <c r="J106">
        <f t="shared" si="22"/>
        <v>0</v>
      </c>
      <c r="K106">
        <f t="shared" si="33"/>
        <v>0</v>
      </c>
      <c r="L106" s="67">
        <f t="shared" si="34"/>
        <v>2.2800000000000001E-2</v>
      </c>
      <c r="M106" s="127">
        <f t="shared" si="35"/>
        <v>0</v>
      </c>
      <c r="N106" s="127">
        <f t="shared" si="27"/>
        <v>0</v>
      </c>
      <c r="O106" s="127">
        <f t="shared" si="28"/>
        <v>0</v>
      </c>
      <c r="P106" s="127">
        <f t="shared" si="29"/>
        <v>0</v>
      </c>
      <c r="Q106" s="43" t="str">
        <f t="shared" si="36"/>
        <v>Y</v>
      </c>
      <c r="R106" s="43">
        <f t="shared" si="30"/>
        <v>0</v>
      </c>
      <c r="S106">
        <f t="shared" si="31"/>
        <v>0</v>
      </c>
      <c r="T106" s="18">
        <f t="shared" si="23"/>
        <v>0</v>
      </c>
      <c r="U106" s="151">
        <f t="shared" si="37"/>
        <v>0</v>
      </c>
      <c r="V106" s="151">
        <f t="shared" si="38"/>
        <v>0</v>
      </c>
      <c r="W106" s="151">
        <f t="shared" si="39"/>
        <v>0</v>
      </c>
      <c r="X106" s="151">
        <f t="shared" si="40"/>
        <v>0</v>
      </c>
      <c r="Y106" s="18">
        <f t="shared" si="32"/>
        <v>0</v>
      </c>
      <c r="AB106" s="168"/>
      <c r="AC106" s="168"/>
      <c r="AD106" t="e">
        <f t="shared" si="26"/>
        <v>#N/A</v>
      </c>
    </row>
    <row r="107" spans="1:30" x14ac:dyDescent="0.2">
      <c r="A107" s="183" t="s">
        <v>554</v>
      </c>
      <c r="B107" t="s">
        <v>386</v>
      </c>
      <c r="C107" t="s">
        <v>250</v>
      </c>
      <c r="D107">
        <v>3420401</v>
      </c>
      <c r="E107" t="s">
        <v>166</v>
      </c>
      <c r="F107" s="177">
        <v>37196</v>
      </c>
      <c r="G107" s="177"/>
      <c r="H107" s="177"/>
      <c r="I107" s="177" t="s">
        <v>576</v>
      </c>
      <c r="J107">
        <f t="shared" si="22"/>
        <v>0</v>
      </c>
      <c r="K107">
        <f t="shared" si="33"/>
        <v>0</v>
      </c>
      <c r="L107" s="67">
        <f t="shared" si="34"/>
        <v>2.2800000000000001E-2</v>
      </c>
      <c r="M107" s="127">
        <f t="shared" si="35"/>
        <v>0</v>
      </c>
      <c r="N107" s="127">
        <f t="shared" si="27"/>
        <v>0</v>
      </c>
      <c r="O107" s="127">
        <f t="shared" si="28"/>
        <v>0</v>
      </c>
      <c r="P107" s="127">
        <f t="shared" si="29"/>
        <v>0</v>
      </c>
      <c r="Q107" s="43" t="str">
        <f t="shared" si="36"/>
        <v>Y</v>
      </c>
      <c r="R107" s="43">
        <f t="shared" si="30"/>
        <v>0</v>
      </c>
      <c r="S107">
        <f t="shared" si="31"/>
        <v>0</v>
      </c>
      <c r="T107" s="18">
        <f t="shared" si="23"/>
        <v>0</v>
      </c>
      <c r="U107" s="151">
        <f t="shared" si="37"/>
        <v>0</v>
      </c>
      <c r="V107" s="151">
        <f t="shared" si="38"/>
        <v>0</v>
      </c>
      <c r="W107" s="151">
        <f t="shared" si="39"/>
        <v>0</v>
      </c>
      <c r="X107" s="151">
        <f t="shared" si="40"/>
        <v>0</v>
      </c>
      <c r="Y107" s="18">
        <f t="shared" si="32"/>
        <v>0</v>
      </c>
      <c r="AB107" s="168"/>
      <c r="AC107" s="168"/>
      <c r="AD107" t="e">
        <f t="shared" si="26"/>
        <v>#N/A</v>
      </c>
    </row>
    <row r="108" spans="1:30" x14ac:dyDescent="0.2">
      <c r="A108" s="183" t="s">
        <v>554</v>
      </c>
      <c r="B108" t="s">
        <v>387</v>
      </c>
      <c r="C108" t="s">
        <v>470</v>
      </c>
      <c r="D108">
        <v>3421301</v>
      </c>
      <c r="E108" t="s">
        <v>457</v>
      </c>
      <c r="F108" s="177">
        <v>37196</v>
      </c>
      <c r="G108" s="177"/>
      <c r="H108" s="177"/>
      <c r="I108" s="177" t="s">
        <v>583</v>
      </c>
      <c r="J108">
        <f t="shared" si="22"/>
        <v>24</v>
      </c>
      <c r="K108">
        <f t="shared" si="33"/>
        <v>30</v>
      </c>
      <c r="L108" s="67">
        <f t="shared" si="34"/>
        <v>0</v>
      </c>
      <c r="M108" s="127">
        <f t="shared" si="35"/>
        <v>0</v>
      </c>
      <c r="N108" s="127">
        <f t="shared" si="27"/>
        <v>0</v>
      </c>
      <c r="O108" s="127">
        <f t="shared" si="28"/>
        <v>23</v>
      </c>
      <c r="P108" s="127">
        <f t="shared" si="29"/>
        <v>29</v>
      </c>
      <c r="Q108" s="43" t="str">
        <f t="shared" si="36"/>
        <v>Y</v>
      </c>
      <c r="R108" s="43">
        <f t="shared" si="30"/>
        <v>23</v>
      </c>
      <c r="S108">
        <f t="shared" si="31"/>
        <v>7</v>
      </c>
      <c r="T108" s="18">
        <f t="shared" si="23"/>
        <v>6</v>
      </c>
      <c r="U108" s="151">
        <f t="shared" si="37"/>
        <v>0</v>
      </c>
      <c r="V108" s="151">
        <f t="shared" si="38"/>
        <v>0</v>
      </c>
      <c r="W108" s="151">
        <f t="shared" si="39"/>
        <v>1</v>
      </c>
      <c r="X108" s="151">
        <f t="shared" si="40"/>
        <v>0</v>
      </c>
      <c r="Y108" s="18">
        <f t="shared" si="32"/>
        <v>1</v>
      </c>
      <c r="AB108" s="168"/>
      <c r="AC108" s="168"/>
      <c r="AD108" t="e">
        <f t="shared" si="26"/>
        <v>#N/A</v>
      </c>
    </row>
    <row r="109" spans="1:30" x14ac:dyDescent="0.2">
      <c r="A109" s="183" t="s">
        <v>554</v>
      </c>
      <c r="B109" t="s">
        <v>386</v>
      </c>
      <c r="C109" t="s">
        <v>251</v>
      </c>
      <c r="D109">
        <v>3422001</v>
      </c>
      <c r="E109" t="s">
        <v>252</v>
      </c>
      <c r="F109" s="177">
        <v>37196</v>
      </c>
      <c r="G109" s="177"/>
      <c r="H109" s="177"/>
      <c r="I109" s="177" t="s">
        <v>576</v>
      </c>
      <c r="J109">
        <f t="shared" si="22"/>
        <v>0</v>
      </c>
      <c r="K109">
        <f t="shared" si="33"/>
        <v>0</v>
      </c>
      <c r="L109" s="67">
        <f t="shared" si="34"/>
        <v>2.2800000000000001E-2</v>
      </c>
      <c r="M109" s="127">
        <f t="shared" si="35"/>
        <v>0</v>
      </c>
      <c r="N109" s="127">
        <f t="shared" si="27"/>
        <v>0</v>
      </c>
      <c r="O109" s="127">
        <f t="shared" si="28"/>
        <v>0</v>
      </c>
      <c r="P109" s="127">
        <f t="shared" si="29"/>
        <v>0</v>
      </c>
      <c r="Q109" s="43" t="str">
        <f t="shared" si="36"/>
        <v>Y</v>
      </c>
      <c r="R109" s="43">
        <f t="shared" si="30"/>
        <v>0</v>
      </c>
      <c r="S109">
        <f t="shared" si="31"/>
        <v>0</v>
      </c>
      <c r="T109" s="18">
        <f t="shared" si="23"/>
        <v>0</v>
      </c>
      <c r="U109" s="151">
        <f t="shared" si="37"/>
        <v>0</v>
      </c>
      <c r="V109" s="151">
        <f t="shared" si="38"/>
        <v>0</v>
      </c>
      <c r="W109" s="151">
        <f t="shared" si="39"/>
        <v>0</v>
      </c>
      <c r="X109" s="151">
        <f t="shared" si="40"/>
        <v>0</v>
      </c>
      <c r="Y109" s="18">
        <f t="shared" si="32"/>
        <v>0</v>
      </c>
      <c r="AB109" s="168"/>
      <c r="AC109" s="168"/>
      <c r="AD109" t="e">
        <f t="shared" si="26"/>
        <v>#N/A</v>
      </c>
    </row>
    <row r="110" spans="1:30" x14ac:dyDescent="0.2">
      <c r="A110" s="183" t="s">
        <v>554</v>
      </c>
      <c r="B110" t="s">
        <v>386</v>
      </c>
      <c r="C110" t="s">
        <v>277</v>
      </c>
      <c r="D110">
        <v>3422901</v>
      </c>
      <c r="E110" t="s">
        <v>130</v>
      </c>
      <c r="F110" s="177">
        <v>37196</v>
      </c>
      <c r="G110" s="177"/>
      <c r="H110" s="177"/>
      <c r="I110" s="177" t="s">
        <v>576</v>
      </c>
      <c r="J110">
        <f t="shared" si="22"/>
        <v>114</v>
      </c>
      <c r="K110">
        <f t="shared" si="33"/>
        <v>127</v>
      </c>
      <c r="L110" s="67">
        <f t="shared" si="34"/>
        <v>2.2800000000000001E-2</v>
      </c>
      <c r="M110" s="127">
        <f t="shared" si="35"/>
        <v>2.5992000000000002</v>
      </c>
      <c r="N110" s="127">
        <f t="shared" si="27"/>
        <v>2.8956</v>
      </c>
      <c r="O110" s="127">
        <f t="shared" si="28"/>
        <v>99</v>
      </c>
      <c r="P110" s="127">
        <f t="shared" si="29"/>
        <v>110</v>
      </c>
      <c r="Q110" s="43" t="str">
        <f t="shared" si="36"/>
        <v>Y</v>
      </c>
      <c r="R110" s="43">
        <f t="shared" si="30"/>
        <v>99</v>
      </c>
      <c r="S110">
        <f t="shared" si="31"/>
        <v>28</v>
      </c>
      <c r="T110" s="18">
        <f t="shared" si="23"/>
        <v>11</v>
      </c>
      <c r="U110" s="151">
        <f t="shared" si="37"/>
        <v>3</v>
      </c>
      <c r="V110" s="151">
        <f t="shared" si="38"/>
        <v>9</v>
      </c>
      <c r="W110" s="151">
        <f t="shared" si="39"/>
        <v>4</v>
      </c>
      <c r="X110" s="151">
        <f t="shared" si="40"/>
        <v>1</v>
      </c>
      <c r="Y110" s="18">
        <f t="shared" si="32"/>
        <v>17</v>
      </c>
      <c r="AB110" s="168"/>
      <c r="AC110" s="168"/>
      <c r="AD110" t="e">
        <f t="shared" si="26"/>
        <v>#N/A</v>
      </c>
    </row>
    <row r="111" spans="1:30" x14ac:dyDescent="0.2">
      <c r="A111" s="183" t="s">
        <v>554</v>
      </c>
      <c r="B111" t="s">
        <v>386</v>
      </c>
      <c r="C111" t="s">
        <v>150</v>
      </c>
      <c r="D111">
        <v>3423501</v>
      </c>
      <c r="E111" t="s">
        <v>151</v>
      </c>
      <c r="F111" s="177">
        <v>37196</v>
      </c>
      <c r="G111" s="177"/>
      <c r="H111" s="177"/>
      <c r="I111" s="177" t="s">
        <v>576</v>
      </c>
      <c r="J111">
        <f t="shared" si="22"/>
        <v>0</v>
      </c>
      <c r="K111">
        <f t="shared" si="33"/>
        <v>0</v>
      </c>
      <c r="L111" s="67">
        <f t="shared" si="34"/>
        <v>2.2800000000000001E-2</v>
      </c>
      <c r="M111" s="127">
        <f t="shared" si="35"/>
        <v>0</v>
      </c>
      <c r="N111" s="127">
        <f t="shared" si="27"/>
        <v>0</v>
      </c>
      <c r="O111" s="127">
        <f t="shared" si="28"/>
        <v>0</v>
      </c>
      <c r="P111" s="127">
        <f t="shared" si="29"/>
        <v>0</v>
      </c>
      <c r="Q111" s="43" t="str">
        <f t="shared" si="36"/>
        <v>Y</v>
      </c>
      <c r="R111" s="43">
        <f t="shared" si="30"/>
        <v>0</v>
      </c>
      <c r="S111">
        <f t="shared" si="31"/>
        <v>0</v>
      </c>
      <c r="T111" s="18">
        <f t="shared" si="23"/>
        <v>0</v>
      </c>
      <c r="U111" s="151">
        <f t="shared" si="37"/>
        <v>0</v>
      </c>
      <c r="V111" s="151">
        <f t="shared" si="38"/>
        <v>0</v>
      </c>
      <c r="W111" s="151">
        <f t="shared" si="39"/>
        <v>0</v>
      </c>
      <c r="X111" s="151">
        <f t="shared" si="40"/>
        <v>0</v>
      </c>
      <c r="Y111" s="18">
        <f t="shared" si="32"/>
        <v>0</v>
      </c>
      <c r="AB111" s="168"/>
      <c r="AC111" s="168"/>
      <c r="AD111" t="e">
        <f t="shared" si="26"/>
        <v>#N/A</v>
      </c>
    </row>
    <row r="112" spans="1:30" x14ac:dyDescent="0.2">
      <c r="A112" s="183" t="s">
        <v>554</v>
      </c>
      <c r="B112" t="s">
        <v>386</v>
      </c>
      <c r="C112" t="s">
        <v>152</v>
      </c>
      <c r="D112">
        <v>3423601</v>
      </c>
      <c r="E112" t="s">
        <v>151</v>
      </c>
      <c r="F112" s="177">
        <v>37196</v>
      </c>
      <c r="G112" s="177"/>
      <c r="H112" s="177"/>
      <c r="I112" s="177" t="s">
        <v>576</v>
      </c>
      <c r="J112">
        <f t="shared" si="22"/>
        <v>97</v>
      </c>
      <c r="K112">
        <f t="shared" si="33"/>
        <v>124</v>
      </c>
      <c r="L112" s="67">
        <f t="shared" si="34"/>
        <v>2.2800000000000001E-2</v>
      </c>
      <c r="M112" s="127">
        <f t="shared" si="35"/>
        <v>2.2116000000000002</v>
      </c>
      <c r="N112" s="127">
        <f t="shared" si="27"/>
        <v>2.8271999999999999</v>
      </c>
      <c r="O112" s="127">
        <f t="shared" si="28"/>
        <v>84</v>
      </c>
      <c r="P112" s="127">
        <f t="shared" si="29"/>
        <v>108</v>
      </c>
      <c r="Q112" s="43" t="str">
        <f t="shared" si="36"/>
        <v>Y</v>
      </c>
      <c r="R112" s="43">
        <f t="shared" si="30"/>
        <v>84</v>
      </c>
      <c r="S112">
        <f t="shared" si="31"/>
        <v>40</v>
      </c>
      <c r="T112" s="18">
        <f t="shared" si="23"/>
        <v>24</v>
      </c>
      <c r="U112" s="151">
        <f t="shared" si="37"/>
        <v>3</v>
      </c>
      <c r="V112" s="151">
        <f t="shared" si="38"/>
        <v>9</v>
      </c>
      <c r="W112" s="151">
        <f t="shared" si="39"/>
        <v>4</v>
      </c>
      <c r="X112" s="151">
        <f t="shared" si="40"/>
        <v>1</v>
      </c>
      <c r="Y112" s="18">
        <f t="shared" si="32"/>
        <v>17</v>
      </c>
      <c r="AB112" s="168"/>
      <c r="AC112" s="168"/>
      <c r="AD112" t="e">
        <f t="shared" si="26"/>
        <v>#N/A</v>
      </c>
    </row>
    <row r="113" spans="1:30" x14ac:dyDescent="0.2">
      <c r="A113" s="183" t="s">
        <v>554</v>
      </c>
      <c r="B113" t="s">
        <v>386</v>
      </c>
      <c r="C113" t="s">
        <v>153</v>
      </c>
      <c r="D113">
        <v>3423701</v>
      </c>
      <c r="E113" t="s">
        <v>151</v>
      </c>
      <c r="F113" s="177">
        <v>37196</v>
      </c>
      <c r="G113" s="177"/>
      <c r="H113" s="177"/>
      <c r="I113" s="177" t="s">
        <v>576</v>
      </c>
      <c r="J113">
        <f t="shared" si="22"/>
        <v>123</v>
      </c>
      <c r="K113">
        <f t="shared" si="33"/>
        <v>146</v>
      </c>
      <c r="L113" s="67">
        <f t="shared" si="34"/>
        <v>2.2800000000000001E-2</v>
      </c>
      <c r="M113" s="127">
        <f t="shared" si="35"/>
        <v>2.8044000000000002</v>
      </c>
      <c r="N113" s="127">
        <f t="shared" si="27"/>
        <v>3.3288000000000002</v>
      </c>
      <c r="O113" s="127">
        <f t="shared" si="28"/>
        <v>107</v>
      </c>
      <c r="P113" s="127">
        <f t="shared" si="29"/>
        <v>127</v>
      </c>
      <c r="Q113" s="43" t="str">
        <f t="shared" si="36"/>
        <v>Y</v>
      </c>
      <c r="R113" s="43">
        <f t="shared" si="30"/>
        <v>107</v>
      </c>
      <c r="S113">
        <f t="shared" si="31"/>
        <v>39</v>
      </c>
      <c r="T113" s="18">
        <f t="shared" si="23"/>
        <v>20</v>
      </c>
      <c r="U113" s="151">
        <f t="shared" si="37"/>
        <v>3</v>
      </c>
      <c r="V113" s="151">
        <f t="shared" si="38"/>
        <v>10</v>
      </c>
      <c r="W113" s="151">
        <f t="shared" si="39"/>
        <v>4</v>
      </c>
      <c r="X113" s="151">
        <f t="shared" si="40"/>
        <v>1</v>
      </c>
      <c r="Y113" s="18">
        <f t="shared" si="32"/>
        <v>18</v>
      </c>
      <c r="AB113" s="168"/>
      <c r="AC113" s="168"/>
      <c r="AD113" t="e">
        <f t="shared" si="26"/>
        <v>#N/A</v>
      </c>
    </row>
    <row r="114" spans="1:30" x14ac:dyDescent="0.2">
      <c r="A114" s="183" t="s">
        <v>554</v>
      </c>
      <c r="B114" t="s">
        <v>386</v>
      </c>
      <c r="C114" t="s">
        <v>154</v>
      </c>
      <c r="D114">
        <v>3423801</v>
      </c>
      <c r="E114" t="s">
        <v>151</v>
      </c>
      <c r="F114" s="177">
        <v>37196</v>
      </c>
      <c r="G114" s="177"/>
      <c r="H114" s="177"/>
      <c r="I114" s="177" t="s">
        <v>576</v>
      </c>
      <c r="J114">
        <f t="shared" si="22"/>
        <v>498</v>
      </c>
      <c r="K114">
        <f t="shared" si="33"/>
        <v>606</v>
      </c>
      <c r="L114" s="67">
        <f t="shared" si="34"/>
        <v>2.2800000000000001E-2</v>
      </c>
      <c r="M114" s="127">
        <f t="shared" si="35"/>
        <v>11.3544</v>
      </c>
      <c r="N114" s="127">
        <f t="shared" si="27"/>
        <v>13.816800000000001</v>
      </c>
      <c r="O114" s="127">
        <f t="shared" si="28"/>
        <v>432</v>
      </c>
      <c r="P114" s="127">
        <f t="shared" si="29"/>
        <v>526</v>
      </c>
      <c r="Q114" s="43" t="str">
        <f t="shared" si="36"/>
        <v>Y</v>
      </c>
      <c r="R114" s="43">
        <f t="shared" si="30"/>
        <v>432</v>
      </c>
      <c r="S114">
        <f t="shared" si="31"/>
        <v>174</v>
      </c>
      <c r="T114" s="18">
        <f t="shared" si="23"/>
        <v>94</v>
      </c>
      <c r="U114" s="151">
        <f t="shared" si="37"/>
        <v>14</v>
      </c>
      <c r="V114" s="151">
        <f t="shared" si="38"/>
        <v>43</v>
      </c>
      <c r="W114" s="151">
        <f t="shared" si="39"/>
        <v>18</v>
      </c>
      <c r="X114" s="151">
        <f t="shared" si="40"/>
        <v>6</v>
      </c>
      <c r="Y114" s="18">
        <f t="shared" si="32"/>
        <v>81</v>
      </c>
      <c r="AB114" s="168"/>
      <c r="AC114" s="168"/>
      <c r="AD114" t="e">
        <f t="shared" si="26"/>
        <v>#N/A</v>
      </c>
    </row>
    <row r="115" spans="1:30" x14ac:dyDescent="0.2">
      <c r="A115" s="183" t="s">
        <v>554</v>
      </c>
      <c r="B115" t="s">
        <v>386</v>
      </c>
      <c r="C115" t="s">
        <v>472</v>
      </c>
      <c r="D115">
        <v>3425201</v>
      </c>
      <c r="E115" t="s">
        <v>457</v>
      </c>
      <c r="F115" s="177">
        <v>37196</v>
      </c>
      <c r="G115" s="177"/>
      <c r="H115" s="177"/>
      <c r="I115" s="177" t="s">
        <v>576</v>
      </c>
      <c r="J115">
        <f t="shared" si="22"/>
        <v>45</v>
      </c>
      <c r="K115">
        <f t="shared" si="33"/>
        <v>62</v>
      </c>
      <c r="L115" s="67">
        <f t="shared" si="34"/>
        <v>2.2800000000000001E-2</v>
      </c>
      <c r="M115" s="127">
        <f t="shared" si="35"/>
        <v>1.026</v>
      </c>
      <c r="N115" s="127">
        <f t="shared" si="27"/>
        <v>1.4136</v>
      </c>
      <c r="O115" s="127">
        <f t="shared" si="28"/>
        <v>39</v>
      </c>
      <c r="P115" s="127">
        <f t="shared" si="29"/>
        <v>54</v>
      </c>
      <c r="Q115" s="43" t="str">
        <f t="shared" si="36"/>
        <v>Y</v>
      </c>
      <c r="R115" s="43">
        <f t="shared" si="30"/>
        <v>39</v>
      </c>
      <c r="S115">
        <f t="shared" si="31"/>
        <v>23</v>
      </c>
      <c r="T115" s="18">
        <f t="shared" si="23"/>
        <v>15</v>
      </c>
      <c r="U115" s="151">
        <f t="shared" si="37"/>
        <v>1</v>
      </c>
      <c r="V115" s="151">
        <f t="shared" si="38"/>
        <v>4</v>
      </c>
      <c r="W115" s="151">
        <f t="shared" si="39"/>
        <v>2</v>
      </c>
      <c r="X115" s="151">
        <f t="shared" si="40"/>
        <v>1</v>
      </c>
      <c r="Y115" s="18">
        <f t="shared" si="32"/>
        <v>8</v>
      </c>
      <c r="AB115" s="168"/>
      <c r="AC115" s="168"/>
      <c r="AD115" t="e">
        <f t="shared" si="26"/>
        <v>#N/A</v>
      </c>
    </row>
    <row r="116" spans="1:30" x14ac:dyDescent="0.2">
      <c r="A116" s="183" t="s">
        <v>554</v>
      </c>
      <c r="B116" t="s">
        <v>386</v>
      </c>
      <c r="C116" t="s">
        <v>405</v>
      </c>
      <c r="D116">
        <v>3425301</v>
      </c>
      <c r="E116" t="s">
        <v>404</v>
      </c>
      <c r="F116" s="177">
        <v>37196</v>
      </c>
      <c r="G116" s="177"/>
      <c r="H116" s="177"/>
      <c r="I116" s="177" t="s">
        <v>576</v>
      </c>
      <c r="J116">
        <f t="shared" si="22"/>
        <v>312</v>
      </c>
      <c r="K116">
        <f t="shared" si="33"/>
        <v>443</v>
      </c>
      <c r="L116" s="67">
        <f t="shared" si="34"/>
        <v>2.2800000000000001E-2</v>
      </c>
      <c r="M116" s="127">
        <f t="shared" si="35"/>
        <v>7.1135999999999999</v>
      </c>
      <c r="N116" s="127">
        <f t="shared" si="27"/>
        <v>10.1004</v>
      </c>
      <c r="O116" s="127">
        <f t="shared" si="28"/>
        <v>271</v>
      </c>
      <c r="P116" s="127">
        <f t="shared" si="29"/>
        <v>384</v>
      </c>
      <c r="Q116" s="43" t="str">
        <f t="shared" si="36"/>
        <v>Y</v>
      </c>
      <c r="R116" s="43">
        <f t="shared" si="30"/>
        <v>271</v>
      </c>
      <c r="S116">
        <f t="shared" si="31"/>
        <v>172</v>
      </c>
      <c r="T116" s="18">
        <f t="shared" si="23"/>
        <v>113</v>
      </c>
      <c r="U116" s="151">
        <f t="shared" si="37"/>
        <v>10</v>
      </c>
      <c r="V116" s="151">
        <f t="shared" si="38"/>
        <v>31</v>
      </c>
      <c r="W116" s="151">
        <f t="shared" si="39"/>
        <v>13</v>
      </c>
      <c r="X116" s="151">
        <f t="shared" si="40"/>
        <v>4</v>
      </c>
      <c r="Y116" s="18">
        <f t="shared" si="32"/>
        <v>58</v>
      </c>
      <c r="AB116" s="168"/>
      <c r="AC116" s="168"/>
      <c r="AD116" t="e">
        <f t="shared" si="26"/>
        <v>#N/A</v>
      </c>
    </row>
    <row r="117" spans="1:30" x14ac:dyDescent="0.2">
      <c r="A117" s="183" t="s">
        <v>554</v>
      </c>
      <c r="B117" t="s">
        <v>386</v>
      </c>
      <c r="C117" t="s">
        <v>397</v>
      </c>
      <c r="D117">
        <v>3425601</v>
      </c>
      <c r="E117" t="s">
        <v>121</v>
      </c>
      <c r="F117" s="177">
        <v>37196</v>
      </c>
      <c r="G117" s="177"/>
      <c r="H117" s="177"/>
      <c r="I117" s="177" t="s">
        <v>576</v>
      </c>
      <c r="J117">
        <f t="shared" si="22"/>
        <v>288</v>
      </c>
      <c r="K117">
        <f t="shared" si="33"/>
        <v>400</v>
      </c>
      <c r="L117" s="67">
        <f t="shared" si="34"/>
        <v>2.2800000000000001E-2</v>
      </c>
      <c r="M117" s="127">
        <f t="shared" si="35"/>
        <v>6.5663999999999998</v>
      </c>
      <c r="N117" s="127">
        <f t="shared" si="27"/>
        <v>9.120000000000001</v>
      </c>
      <c r="O117" s="127">
        <f t="shared" si="28"/>
        <v>250</v>
      </c>
      <c r="P117" s="127">
        <f t="shared" si="29"/>
        <v>347</v>
      </c>
      <c r="Q117" s="43" t="str">
        <f t="shared" si="36"/>
        <v>Y</v>
      </c>
      <c r="R117" s="43">
        <f t="shared" si="30"/>
        <v>250</v>
      </c>
      <c r="S117">
        <f t="shared" si="31"/>
        <v>150</v>
      </c>
      <c r="T117" s="18">
        <f t="shared" si="23"/>
        <v>97</v>
      </c>
      <c r="U117" s="151">
        <f t="shared" si="37"/>
        <v>9</v>
      </c>
      <c r="V117" s="151">
        <f t="shared" si="38"/>
        <v>28</v>
      </c>
      <c r="W117" s="151">
        <f t="shared" si="39"/>
        <v>12</v>
      </c>
      <c r="X117" s="151">
        <f t="shared" si="40"/>
        <v>4</v>
      </c>
      <c r="Y117" s="18">
        <f t="shared" si="32"/>
        <v>53</v>
      </c>
      <c r="AB117" s="168"/>
      <c r="AC117" s="168"/>
      <c r="AD117" t="e">
        <f t="shared" si="26"/>
        <v>#N/A</v>
      </c>
    </row>
    <row r="118" spans="1:30" x14ac:dyDescent="0.2">
      <c r="A118" s="183" t="s">
        <v>554</v>
      </c>
      <c r="B118" t="s">
        <v>387</v>
      </c>
      <c r="C118" t="s">
        <v>474</v>
      </c>
      <c r="D118">
        <v>3425901</v>
      </c>
      <c r="E118" t="s">
        <v>457</v>
      </c>
      <c r="F118" s="177">
        <v>37196</v>
      </c>
      <c r="G118" s="177"/>
      <c r="H118" s="177"/>
      <c r="I118" s="177" t="s">
        <v>583</v>
      </c>
      <c r="J118">
        <f t="shared" si="22"/>
        <v>0</v>
      </c>
      <c r="K118">
        <f t="shared" si="33"/>
        <v>0</v>
      </c>
      <c r="L118" s="67">
        <f t="shared" si="34"/>
        <v>0</v>
      </c>
      <c r="M118" s="127">
        <f t="shared" si="35"/>
        <v>0</v>
      </c>
      <c r="N118" s="127">
        <f t="shared" si="27"/>
        <v>0</v>
      </c>
      <c r="O118" s="127">
        <f t="shared" si="28"/>
        <v>0</v>
      </c>
      <c r="P118" s="127">
        <f t="shared" si="29"/>
        <v>0</v>
      </c>
      <c r="Q118" s="43" t="str">
        <f t="shared" si="36"/>
        <v>Y</v>
      </c>
      <c r="R118" s="43">
        <f t="shared" si="30"/>
        <v>0</v>
      </c>
      <c r="S118">
        <f t="shared" si="31"/>
        <v>0</v>
      </c>
      <c r="T118" s="18">
        <f t="shared" si="23"/>
        <v>0</v>
      </c>
      <c r="U118" s="151">
        <f t="shared" si="37"/>
        <v>0</v>
      </c>
      <c r="V118" s="151">
        <f t="shared" si="38"/>
        <v>0</v>
      </c>
      <c r="W118" s="151">
        <f t="shared" si="39"/>
        <v>0</v>
      </c>
      <c r="X118" s="151">
        <f t="shared" si="40"/>
        <v>0</v>
      </c>
      <c r="Y118" s="18">
        <f t="shared" si="32"/>
        <v>0</v>
      </c>
      <c r="AB118" s="168"/>
      <c r="AC118" s="168"/>
      <c r="AD118" t="e">
        <f t="shared" si="26"/>
        <v>#N/A</v>
      </c>
    </row>
    <row r="119" spans="1:30" x14ac:dyDescent="0.2">
      <c r="A119" s="183" t="s">
        <v>554</v>
      </c>
      <c r="B119" t="s">
        <v>386</v>
      </c>
      <c r="C119" t="s">
        <v>247</v>
      </c>
      <c r="D119">
        <v>3426101</v>
      </c>
      <c r="E119" t="s">
        <v>166</v>
      </c>
      <c r="F119" s="177">
        <v>37196</v>
      </c>
      <c r="G119" s="177"/>
      <c r="H119" s="177"/>
      <c r="I119" s="177" t="s">
        <v>576</v>
      </c>
      <c r="J119">
        <f t="shared" si="22"/>
        <v>164</v>
      </c>
      <c r="K119">
        <f t="shared" si="33"/>
        <v>203</v>
      </c>
      <c r="L119" s="67">
        <f t="shared" si="34"/>
        <v>2.2800000000000001E-2</v>
      </c>
      <c r="M119" s="127">
        <f t="shared" si="35"/>
        <v>3.7392000000000003</v>
      </c>
      <c r="N119" s="127">
        <f t="shared" si="27"/>
        <v>4.6284000000000001</v>
      </c>
      <c r="O119" s="127">
        <f t="shared" si="28"/>
        <v>142</v>
      </c>
      <c r="P119" s="127">
        <f t="shared" si="29"/>
        <v>176</v>
      </c>
      <c r="Q119" s="43" t="str">
        <f t="shared" si="36"/>
        <v>Y</v>
      </c>
      <c r="R119" s="43">
        <f t="shared" si="30"/>
        <v>142</v>
      </c>
      <c r="S119">
        <f t="shared" si="31"/>
        <v>61</v>
      </c>
      <c r="T119" s="18">
        <f t="shared" si="23"/>
        <v>34</v>
      </c>
      <c r="U119" s="151">
        <f t="shared" si="37"/>
        <v>5</v>
      </c>
      <c r="V119" s="151">
        <f t="shared" si="38"/>
        <v>14</v>
      </c>
      <c r="W119" s="151">
        <f t="shared" si="39"/>
        <v>6</v>
      </c>
      <c r="X119" s="151">
        <f t="shared" si="40"/>
        <v>2</v>
      </c>
      <c r="Y119" s="18">
        <f t="shared" si="32"/>
        <v>27</v>
      </c>
      <c r="AB119" s="168"/>
      <c r="AC119" s="168"/>
      <c r="AD119" t="e">
        <f t="shared" si="26"/>
        <v>#N/A</v>
      </c>
    </row>
    <row r="120" spans="1:30" x14ac:dyDescent="0.2">
      <c r="A120" s="183" t="s">
        <v>554</v>
      </c>
      <c r="B120" t="s">
        <v>386</v>
      </c>
      <c r="C120" t="s">
        <v>246</v>
      </c>
      <c r="D120">
        <v>3427001</v>
      </c>
      <c r="E120" t="s">
        <v>160</v>
      </c>
      <c r="F120" s="177">
        <v>37196</v>
      </c>
      <c r="G120" s="177"/>
      <c r="H120" s="177"/>
      <c r="I120" s="177" t="s">
        <v>576</v>
      </c>
      <c r="J120">
        <f t="shared" si="22"/>
        <v>279</v>
      </c>
      <c r="K120">
        <f t="shared" si="33"/>
        <v>339</v>
      </c>
      <c r="L120" s="67">
        <f t="shared" si="34"/>
        <v>2.2800000000000001E-2</v>
      </c>
      <c r="M120" s="127">
        <f t="shared" si="35"/>
        <v>6.3612000000000002</v>
      </c>
      <c r="N120" s="127">
        <f t="shared" si="27"/>
        <v>7.7292000000000005</v>
      </c>
      <c r="O120" s="127">
        <f t="shared" si="28"/>
        <v>242</v>
      </c>
      <c r="P120" s="127">
        <f t="shared" si="29"/>
        <v>294</v>
      </c>
      <c r="Q120" s="43" t="str">
        <f t="shared" si="36"/>
        <v>Y</v>
      </c>
      <c r="R120" s="43">
        <f t="shared" si="30"/>
        <v>242</v>
      </c>
      <c r="S120">
        <f t="shared" si="31"/>
        <v>97</v>
      </c>
      <c r="T120" s="18">
        <f t="shared" si="23"/>
        <v>52</v>
      </c>
      <c r="U120" s="151">
        <f t="shared" si="37"/>
        <v>8</v>
      </c>
      <c r="V120" s="151">
        <f t="shared" si="38"/>
        <v>24</v>
      </c>
      <c r="W120" s="151">
        <f t="shared" si="39"/>
        <v>10</v>
      </c>
      <c r="X120" s="151">
        <f t="shared" si="40"/>
        <v>3</v>
      </c>
      <c r="Y120" s="18">
        <f t="shared" si="32"/>
        <v>45</v>
      </c>
      <c r="AB120" s="168"/>
      <c r="AC120" s="168"/>
      <c r="AD120" t="e">
        <f t="shared" si="26"/>
        <v>#N/A</v>
      </c>
    </row>
    <row r="121" spans="1:30" x14ac:dyDescent="0.2">
      <c r="A121" s="183" t="s">
        <v>554</v>
      </c>
      <c r="B121" t="s">
        <v>386</v>
      </c>
      <c r="C121" t="s">
        <v>269</v>
      </c>
      <c r="D121">
        <v>3427701</v>
      </c>
      <c r="E121" t="s">
        <v>217</v>
      </c>
      <c r="F121" s="177">
        <v>37196</v>
      </c>
      <c r="G121" s="177"/>
      <c r="H121" s="177"/>
      <c r="I121" s="177" t="s">
        <v>576</v>
      </c>
      <c r="J121">
        <f t="shared" si="22"/>
        <v>116</v>
      </c>
      <c r="K121">
        <f t="shared" si="33"/>
        <v>134</v>
      </c>
      <c r="L121" s="67">
        <f t="shared" si="34"/>
        <v>2.2800000000000001E-2</v>
      </c>
      <c r="M121" s="127">
        <f t="shared" si="35"/>
        <v>2.6448</v>
      </c>
      <c r="N121" s="127">
        <f t="shared" si="27"/>
        <v>3.0552000000000001</v>
      </c>
      <c r="O121" s="127">
        <f t="shared" si="28"/>
        <v>101</v>
      </c>
      <c r="P121" s="127">
        <f t="shared" si="29"/>
        <v>116</v>
      </c>
      <c r="Q121" s="43" t="str">
        <f t="shared" si="36"/>
        <v>Y</v>
      </c>
      <c r="R121" s="43">
        <f t="shared" si="30"/>
        <v>101</v>
      </c>
      <c r="S121">
        <f t="shared" si="31"/>
        <v>33</v>
      </c>
      <c r="T121" s="18">
        <f t="shared" si="23"/>
        <v>15</v>
      </c>
      <c r="U121" s="151">
        <f t="shared" si="37"/>
        <v>3</v>
      </c>
      <c r="V121" s="151">
        <f t="shared" si="38"/>
        <v>9</v>
      </c>
      <c r="W121" s="151">
        <f t="shared" si="39"/>
        <v>4</v>
      </c>
      <c r="X121" s="151">
        <f t="shared" si="40"/>
        <v>1</v>
      </c>
      <c r="Y121" s="18">
        <f t="shared" si="32"/>
        <v>17</v>
      </c>
      <c r="AB121" s="168"/>
      <c r="AC121" s="168"/>
      <c r="AD121" t="e">
        <f t="shared" si="26"/>
        <v>#N/A</v>
      </c>
    </row>
    <row r="122" spans="1:30" x14ac:dyDescent="0.2">
      <c r="A122" s="183" t="s">
        <v>554</v>
      </c>
      <c r="B122" t="s">
        <v>386</v>
      </c>
      <c r="C122" t="s">
        <v>155</v>
      </c>
      <c r="D122">
        <v>3428401</v>
      </c>
      <c r="E122" t="s">
        <v>151</v>
      </c>
      <c r="F122" s="177">
        <v>37196</v>
      </c>
      <c r="G122" s="177"/>
      <c r="H122" s="177"/>
      <c r="I122" s="177" t="s">
        <v>576</v>
      </c>
      <c r="J122">
        <f t="shared" si="22"/>
        <v>149</v>
      </c>
      <c r="K122">
        <f t="shared" si="33"/>
        <v>183</v>
      </c>
      <c r="L122" s="67">
        <f t="shared" si="34"/>
        <v>2.2800000000000001E-2</v>
      </c>
      <c r="M122" s="127">
        <f t="shared" si="35"/>
        <v>3.3972000000000002</v>
      </c>
      <c r="N122" s="127">
        <f t="shared" si="27"/>
        <v>4.1724000000000006</v>
      </c>
      <c r="O122" s="127">
        <f t="shared" si="28"/>
        <v>129</v>
      </c>
      <c r="P122" s="127">
        <f t="shared" si="29"/>
        <v>159</v>
      </c>
      <c r="Q122" s="43" t="str">
        <f t="shared" si="36"/>
        <v>Y</v>
      </c>
      <c r="R122" s="43">
        <f t="shared" si="30"/>
        <v>129</v>
      </c>
      <c r="S122">
        <f t="shared" si="31"/>
        <v>54</v>
      </c>
      <c r="T122" s="18">
        <f t="shared" si="23"/>
        <v>30</v>
      </c>
      <c r="U122" s="151">
        <f t="shared" si="37"/>
        <v>4</v>
      </c>
      <c r="V122" s="151">
        <f t="shared" si="38"/>
        <v>13</v>
      </c>
      <c r="W122" s="151">
        <f t="shared" si="39"/>
        <v>5</v>
      </c>
      <c r="X122" s="151">
        <f t="shared" si="40"/>
        <v>2</v>
      </c>
      <c r="Y122" s="18">
        <f t="shared" si="32"/>
        <v>24</v>
      </c>
      <c r="AB122" s="168"/>
      <c r="AC122" s="168"/>
      <c r="AD122" t="e">
        <f t="shared" si="26"/>
        <v>#N/A</v>
      </c>
    </row>
    <row r="123" spans="1:30" x14ac:dyDescent="0.2">
      <c r="A123" s="183" t="s">
        <v>554</v>
      </c>
      <c r="B123" t="s">
        <v>386</v>
      </c>
      <c r="C123" t="s">
        <v>156</v>
      </c>
      <c r="D123">
        <v>3429001</v>
      </c>
      <c r="E123" t="s">
        <v>151</v>
      </c>
      <c r="F123" s="177">
        <v>37196</v>
      </c>
      <c r="G123" s="177"/>
      <c r="H123" s="177"/>
      <c r="I123" s="177" t="s">
        <v>576</v>
      </c>
      <c r="J123">
        <f t="shared" si="22"/>
        <v>650</v>
      </c>
      <c r="K123">
        <f t="shared" si="33"/>
        <v>798</v>
      </c>
      <c r="L123" s="67">
        <f t="shared" si="34"/>
        <v>2.2800000000000001E-2</v>
      </c>
      <c r="M123" s="127">
        <f t="shared" si="35"/>
        <v>14.82</v>
      </c>
      <c r="N123" s="127">
        <f t="shared" si="27"/>
        <v>18.194400000000002</v>
      </c>
      <c r="O123" s="127">
        <f t="shared" si="28"/>
        <v>564</v>
      </c>
      <c r="P123" s="127">
        <f t="shared" si="29"/>
        <v>692</v>
      </c>
      <c r="Q123" s="43" t="str">
        <f t="shared" si="36"/>
        <v>Y</v>
      </c>
      <c r="R123" s="43">
        <f t="shared" si="30"/>
        <v>564</v>
      </c>
      <c r="S123">
        <f t="shared" si="31"/>
        <v>234</v>
      </c>
      <c r="T123" s="18">
        <f t="shared" si="23"/>
        <v>128</v>
      </c>
      <c r="U123" s="151">
        <f t="shared" si="37"/>
        <v>18</v>
      </c>
      <c r="V123" s="151">
        <f t="shared" si="38"/>
        <v>56</v>
      </c>
      <c r="W123" s="151">
        <f t="shared" si="39"/>
        <v>24</v>
      </c>
      <c r="X123" s="151">
        <f t="shared" si="40"/>
        <v>7</v>
      </c>
      <c r="Y123" s="18">
        <f t="shared" si="32"/>
        <v>105</v>
      </c>
      <c r="AB123" s="168"/>
      <c r="AC123" s="168"/>
      <c r="AD123" t="e">
        <f t="shared" si="26"/>
        <v>#N/A</v>
      </c>
    </row>
    <row r="124" spans="1:30" x14ac:dyDescent="0.2">
      <c r="A124" s="183" t="s">
        <v>554</v>
      </c>
      <c r="B124" t="s">
        <v>386</v>
      </c>
      <c r="C124" t="s">
        <v>157</v>
      </c>
      <c r="D124">
        <v>3429601</v>
      </c>
      <c r="E124" t="s">
        <v>151</v>
      </c>
      <c r="F124" s="177">
        <v>37196</v>
      </c>
      <c r="G124" s="177"/>
      <c r="H124" s="177"/>
      <c r="I124" s="177" t="s">
        <v>576</v>
      </c>
      <c r="J124">
        <f t="shared" si="22"/>
        <v>240</v>
      </c>
      <c r="K124">
        <f t="shared" si="33"/>
        <v>317</v>
      </c>
      <c r="L124" s="67">
        <f t="shared" si="34"/>
        <v>2.2800000000000001E-2</v>
      </c>
      <c r="M124" s="127">
        <f t="shared" si="35"/>
        <v>5.4720000000000004</v>
      </c>
      <c r="N124" s="127">
        <f t="shared" si="27"/>
        <v>7.2276000000000007</v>
      </c>
      <c r="O124" s="127">
        <f t="shared" si="28"/>
        <v>208</v>
      </c>
      <c r="P124" s="127">
        <f t="shared" si="29"/>
        <v>275</v>
      </c>
      <c r="Q124" s="43" t="str">
        <f t="shared" si="36"/>
        <v>Y</v>
      </c>
      <c r="R124" s="43">
        <f t="shared" si="30"/>
        <v>208</v>
      </c>
      <c r="S124">
        <f t="shared" si="31"/>
        <v>109</v>
      </c>
      <c r="T124" s="18">
        <f t="shared" si="23"/>
        <v>67</v>
      </c>
      <c r="U124" s="151">
        <f t="shared" si="37"/>
        <v>7</v>
      </c>
      <c r="V124" s="151">
        <f t="shared" si="38"/>
        <v>22</v>
      </c>
      <c r="W124" s="151">
        <f t="shared" si="39"/>
        <v>10</v>
      </c>
      <c r="X124" s="151">
        <f t="shared" si="40"/>
        <v>3</v>
      </c>
      <c r="Y124" s="18">
        <f t="shared" si="32"/>
        <v>42</v>
      </c>
      <c r="AB124" s="168"/>
      <c r="AC124" s="168"/>
      <c r="AD124" t="e">
        <f t="shared" si="26"/>
        <v>#N/A</v>
      </c>
    </row>
    <row r="125" spans="1:30" x14ac:dyDescent="0.2">
      <c r="A125" s="183" t="s">
        <v>554</v>
      </c>
      <c r="B125" t="s">
        <v>386</v>
      </c>
      <c r="C125" t="s">
        <v>475</v>
      </c>
      <c r="D125">
        <v>3472501</v>
      </c>
      <c r="E125" t="s">
        <v>457</v>
      </c>
      <c r="F125" s="177">
        <v>37196</v>
      </c>
      <c r="G125" s="177"/>
      <c r="H125" s="177"/>
      <c r="I125" s="177" t="s">
        <v>576</v>
      </c>
      <c r="J125">
        <f t="shared" si="22"/>
        <v>0</v>
      </c>
      <c r="K125">
        <f t="shared" si="33"/>
        <v>0</v>
      </c>
      <c r="L125" s="67">
        <f t="shared" si="34"/>
        <v>2.2800000000000001E-2</v>
      </c>
      <c r="M125" s="127">
        <f t="shared" si="35"/>
        <v>0</v>
      </c>
      <c r="N125" s="127">
        <f t="shared" si="27"/>
        <v>0</v>
      </c>
      <c r="O125" s="127">
        <f t="shared" si="28"/>
        <v>0</v>
      </c>
      <c r="P125" s="127">
        <f t="shared" si="29"/>
        <v>0</v>
      </c>
      <c r="Q125" s="43" t="str">
        <f t="shared" si="36"/>
        <v>Y</v>
      </c>
      <c r="R125" s="43">
        <f t="shared" si="30"/>
        <v>0</v>
      </c>
      <c r="S125">
        <f t="shared" si="31"/>
        <v>0</v>
      </c>
      <c r="T125" s="18">
        <f t="shared" si="23"/>
        <v>0</v>
      </c>
      <c r="U125" s="151">
        <f t="shared" si="37"/>
        <v>0</v>
      </c>
      <c r="V125" s="151">
        <f t="shared" si="38"/>
        <v>0</v>
      </c>
      <c r="W125" s="151">
        <f t="shared" si="39"/>
        <v>0</v>
      </c>
      <c r="X125" s="151">
        <f t="shared" si="40"/>
        <v>0</v>
      </c>
      <c r="Y125" s="18">
        <f t="shared" si="32"/>
        <v>0</v>
      </c>
      <c r="AB125" s="168"/>
      <c r="AC125" s="168"/>
      <c r="AD125" t="e">
        <f t="shared" si="26"/>
        <v>#N/A</v>
      </c>
    </row>
    <row r="126" spans="1:30" x14ac:dyDescent="0.2">
      <c r="A126" s="183" t="s">
        <v>554</v>
      </c>
      <c r="B126" t="s">
        <v>386</v>
      </c>
      <c r="C126" t="s">
        <v>282</v>
      </c>
      <c r="D126">
        <v>3475001</v>
      </c>
      <c r="E126" t="s">
        <v>166</v>
      </c>
      <c r="F126" s="177">
        <v>37196</v>
      </c>
      <c r="G126" s="177"/>
      <c r="H126" s="177"/>
      <c r="I126" s="177" t="s">
        <v>576</v>
      </c>
      <c r="J126">
        <f t="shared" si="22"/>
        <v>105</v>
      </c>
      <c r="K126">
        <f t="shared" si="33"/>
        <v>138</v>
      </c>
      <c r="L126" s="67">
        <f t="shared" si="34"/>
        <v>2.2800000000000001E-2</v>
      </c>
      <c r="M126" s="127">
        <f t="shared" si="35"/>
        <v>2.3940000000000001</v>
      </c>
      <c r="N126" s="127">
        <f t="shared" si="27"/>
        <v>3.1464000000000003</v>
      </c>
      <c r="O126" s="127">
        <f t="shared" si="28"/>
        <v>91</v>
      </c>
      <c r="P126" s="127">
        <f t="shared" si="29"/>
        <v>120</v>
      </c>
      <c r="Q126" s="43" t="str">
        <f t="shared" si="36"/>
        <v>Y</v>
      </c>
      <c r="R126" s="43">
        <f t="shared" si="30"/>
        <v>91</v>
      </c>
      <c r="S126">
        <f t="shared" si="31"/>
        <v>47</v>
      </c>
      <c r="T126" s="18">
        <f t="shared" si="23"/>
        <v>29</v>
      </c>
      <c r="U126" s="151">
        <f t="shared" si="37"/>
        <v>3</v>
      </c>
      <c r="V126" s="151">
        <f t="shared" si="38"/>
        <v>10</v>
      </c>
      <c r="W126" s="151">
        <f t="shared" si="39"/>
        <v>4</v>
      </c>
      <c r="X126" s="151">
        <f t="shared" si="40"/>
        <v>1</v>
      </c>
      <c r="Y126" s="18">
        <f t="shared" si="32"/>
        <v>18</v>
      </c>
      <c r="AB126" s="168"/>
      <c r="AC126" s="168"/>
      <c r="AD126" t="e">
        <f t="shared" si="26"/>
        <v>#N/A</v>
      </c>
    </row>
    <row r="127" spans="1:30" x14ac:dyDescent="0.2">
      <c r="A127" s="183" t="s">
        <v>554</v>
      </c>
      <c r="B127" t="s">
        <v>387</v>
      </c>
      <c r="C127" t="s">
        <v>299</v>
      </c>
      <c r="D127">
        <v>3478201</v>
      </c>
      <c r="E127" t="s">
        <v>151</v>
      </c>
      <c r="F127" s="177">
        <v>37196</v>
      </c>
      <c r="G127" s="177"/>
      <c r="H127" s="177"/>
      <c r="I127" s="177" t="s">
        <v>583</v>
      </c>
      <c r="J127">
        <f t="shared" si="22"/>
        <v>111</v>
      </c>
      <c r="K127">
        <f t="shared" si="33"/>
        <v>140</v>
      </c>
      <c r="L127" s="67">
        <f t="shared" si="34"/>
        <v>0</v>
      </c>
      <c r="M127" s="127">
        <f t="shared" si="35"/>
        <v>0</v>
      </c>
      <c r="N127" s="127">
        <f t="shared" si="27"/>
        <v>0</v>
      </c>
      <c r="O127" s="127">
        <f t="shared" si="28"/>
        <v>107</v>
      </c>
      <c r="P127" s="127">
        <f t="shared" si="29"/>
        <v>135</v>
      </c>
      <c r="Q127" s="43" t="str">
        <f t="shared" si="36"/>
        <v>Y</v>
      </c>
      <c r="R127" s="43">
        <f t="shared" si="30"/>
        <v>107</v>
      </c>
      <c r="S127">
        <f t="shared" si="31"/>
        <v>33</v>
      </c>
      <c r="T127" s="18">
        <f t="shared" si="23"/>
        <v>28</v>
      </c>
      <c r="U127" s="151">
        <f t="shared" si="37"/>
        <v>0</v>
      </c>
      <c r="V127" s="151">
        <f t="shared" si="38"/>
        <v>0</v>
      </c>
      <c r="W127" s="151">
        <f t="shared" si="39"/>
        <v>4</v>
      </c>
      <c r="X127" s="151">
        <f t="shared" si="40"/>
        <v>1</v>
      </c>
      <c r="Y127" s="18">
        <f t="shared" si="32"/>
        <v>5</v>
      </c>
      <c r="AB127" s="168"/>
      <c r="AC127" s="168"/>
      <c r="AD127" t="e">
        <f t="shared" si="26"/>
        <v>#N/A</v>
      </c>
    </row>
    <row r="128" spans="1:30" x14ac:dyDescent="0.2">
      <c r="A128" s="183" t="s">
        <v>554</v>
      </c>
      <c r="B128" t="s">
        <v>386</v>
      </c>
      <c r="C128" t="s">
        <v>158</v>
      </c>
      <c r="D128">
        <v>3502801</v>
      </c>
      <c r="E128" t="s">
        <v>151</v>
      </c>
      <c r="F128" s="177">
        <v>37196</v>
      </c>
      <c r="G128" s="177"/>
      <c r="H128" s="177"/>
      <c r="I128" s="177" t="s">
        <v>576</v>
      </c>
      <c r="J128">
        <f t="shared" si="22"/>
        <v>0</v>
      </c>
      <c r="K128">
        <f t="shared" si="33"/>
        <v>0</v>
      </c>
      <c r="L128" s="67">
        <f t="shared" si="34"/>
        <v>2.2800000000000001E-2</v>
      </c>
      <c r="M128" s="127">
        <f t="shared" si="35"/>
        <v>0</v>
      </c>
      <c r="N128" s="127">
        <f t="shared" si="27"/>
        <v>0</v>
      </c>
      <c r="O128" s="127">
        <f t="shared" si="28"/>
        <v>0</v>
      </c>
      <c r="P128" s="127">
        <f t="shared" si="29"/>
        <v>0</v>
      </c>
      <c r="Q128" s="43" t="str">
        <f t="shared" si="36"/>
        <v>Y</v>
      </c>
      <c r="R128" s="43">
        <f t="shared" si="30"/>
        <v>0</v>
      </c>
      <c r="S128">
        <f t="shared" si="31"/>
        <v>0</v>
      </c>
      <c r="T128" s="18">
        <f t="shared" si="23"/>
        <v>0</v>
      </c>
      <c r="U128" s="151">
        <f t="shared" si="37"/>
        <v>0</v>
      </c>
      <c r="V128" s="151">
        <f t="shared" si="38"/>
        <v>0</v>
      </c>
      <c r="W128" s="151">
        <f t="shared" si="39"/>
        <v>0</v>
      </c>
      <c r="X128" s="151">
        <f t="shared" si="40"/>
        <v>0</v>
      </c>
      <c r="Y128" s="18">
        <f t="shared" si="32"/>
        <v>0</v>
      </c>
      <c r="AB128" s="168"/>
      <c r="AC128" s="168"/>
      <c r="AD128" t="e">
        <f t="shared" si="26"/>
        <v>#N/A</v>
      </c>
    </row>
    <row r="129" spans="1:30" x14ac:dyDescent="0.2">
      <c r="A129" s="183" t="s">
        <v>554</v>
      </c>
      <c r="B129" t="s">
        <v>386</v>
      </c>
      <c r="C129" t="s">
        <v>477</v>
      </c>
      <c r="D129">
        <v>3505301</v>
      </c>
      <c r="E129" t="s">
        <v>478</v>
      </c>
      <c r="F129" s="177">
        <v>37196</v>
      </c>
      <c r="G129" s="177"/>
      <c r="H129" s="177"/>
      <c r="I129" s="177" t="s">
        <v>576</v>
      </c>
      <c r="J129">
        <f t="shared" si="22"/>
        <v>982</v>
      </c>
      <c r="K129">
        <f t="shared" si="33"/>
        <v>1175</v>
      </c>
      <c r="L129" s="67">
        <f t="shared" si="34"/>
        <v>2.2800000000000001E-2</v>
      </c>
      <c r="M129" s="127">
        <f t="shared" si="35"/>
        <v>22.389600000000002</v>
      </c>
      <c r="N129" s="127">
        <f t="shared" si="27"/>
        <v>26.790000000000003</v>
      </c>
      <c r="O129" s="127">
        <f t="shared" si="28"/>
        <v>852</v>
      </c>
      <c r="P129" s="127">
        <f t="shared" si="29"/>
        <v>1019</v>
      </c>
      <c r="Q129" s="43" t="str">
        <f t="shared" si="36"/>
        <v>Y</v>
      </c>
      <c r="R129" s="43">
        <f t="shared" si="30"/>
        <v>852</v>
      </c>
      <c r="S129">
        <f t="shared" si="31"/>
        <v>323</v>
      </c>
      <c r="T129" s="18">
        <f t="shared" si="23"/>
        <v>167</v>
      </c>
      <c r="U129" s="151">
        <f t="shared" si="37"/>
        <v>27</v>
      </c>
      <c r="V129" s="151">
        <f t="shared" si="38"/>
        <v>83</v>
      </c>
      <c r="W129" s="151">
        <f t="shared" si="39"/>
        <v>35</v>
      </c>
      <c r="X129" s="151">
        <f t="shared" si="40"/>
        <v>11</v>
      </c>
      <c r="Y129" s="18">
        <f t="shared" si="32"/>
        <v>156</v>
      </c>
      <c r="AB129" s="168"/>
      <c r="AC129" s="168"/>
      <c r="AD129" t="e">
        <f t="shared" si="26"/>
        <v>#N/A</v>
      </c>
    </row>
    <row r="130" spans="1:30" x14ac:dyDescent="0.2">
      <c r="A130" s="183" t="s">
        <v>554</v>
      </c>
      <c r="B130" t="s">
        <v>386</v>
      </c>
      <c r="C130" t="s">
        <v>263</v>
      </c>
      <c r="D130">
        <v>3506201</v>
      </c>
      <c r="E130" t="s">
        <v>166</v>
      </c>
      <c r="F130" s="177">
        <v>37196</v>
      </c>
      <c r="G130" s="177"/>
      <c r="H130" s="177"/>
      <c r="I130" s="177" t="s">
        <v>576</v>
      </c>
      <c r="J130">
        <f t="shared" si="22"/>
        <v>41</v>
      </c>
      <c r="K130">
        <f t="shared" si="33"/>
        <v>50</v>
      </c>
      <c r="L130" s="67">
        <f t="shared" si="34"/>
        <v>2.2800000000000001E-2</v>
      </c>
      <c r="M130" s="127">
        <f t="shared" si="35"/>
        <v>0.93480000000000008</v>
      </c>
      <c r="N130" s="127">
        <f t="shared" si="27"/>
        <v>1.1400000000000001</v>
      </c>
      <c r="O130" s="127">
        <f t="shared" si="28"/>
        <v>36</v>
      </c>
      <c r="P130" s="127">
        <f t="shared" si="29"/>
        <v>43</v>
      </c>
      <c r="Q130" s="43" t="str">
        <f t="shared" si="36"/>
        <v>Y</v>
      </c>
      <c r="R130" s="43">
        <f t="shared" si="30"/>
        <v>36</v>
      </c>
      <c r="S130">
        <f t="shared" si="31"/>
        <v>14</v>
      </c>
      <c r="T130" s="18">
        <f t="shared" si="23"/>
        <v>7</v>
      </c>
      <c r="U130" s="151">
        <f t="shared" si="37"/>
        <v>1</v>
      </c>
      <c r="V130" s="151">
        <f t="shared" si="38"/>
        <v>4</v>
      </c>
      <c r="W130" s="151">
        <f t="shared" si="39"/>
        <v>2</v>
      </c>
      <c r="X130" s="151">
        <f t="shared" si="40"/>
        <v>0</v>
      </c>
      <c r="Y130" s="18">
        <f t="shared" si="32"/>
        <v>7</v>
      </c>
      <c r="AB130" s="168"/>
      <c r="AC130" s="168"/>
      <c r="AD130" t="e">
        <f t="shared" si="26"/>
        <v>#N/A</v>
      </c>
    </row>
    <row r="131" spans="1:30" x14ac:dyDescent="0.2">
      <c r="A131" s="183" t="s">
        <v>554</v>
      </c>
      <c r="B131" t="s">
        <v>386</v>
      </c>
      <c r="C131" t="s">
        <v>159</v>
      </c>
      <c r="D131">
        <v>3507801</v>
      </c>
      <c r="E131" t="s">
        <v>160</v>
      </c>
      <c r="F131" s="177">
        <v>37196</v>
      </c>
      <c r="G131" s="177"/>
      <c r="H131" s="177"/>
      <c r="I131" s="177" t="s">
        <v>576</v>
      </c>
      <c r="J131">
        <f t="shared" ref="J131:J194" si="41">IF(ISNA(VLOOKUP(C131,CNGx,2,FALSE)),"na",(VLOOKUP(C131,CNGx,2,FALSE)))</f>
        <v>553</v>
      </c>
      <c r="K131">
        <f t="shared" ref="K131:K194" si="42">IF(ISNA(VLOOKUP(C131,CNGx,3,0)),0,VLOOKUP(C131,CNGx,3,FALSE))</f>
        <v>692</v>
      </c>
      <c r="L131" s="67">
        <f t="shared" si="34"/>
        <v>2.2800000000000001E-2</v>
      </c>
      <c r="M131" s="127">
        <f t="shared" si="35"/>
        <v>12.6084</v>
      </c>
      <c r="N131" s="127">
        <f t="shared" si="27"/>
        <v>15.777600000000001</v>
      </c>
      <c r="O131" s="127">
        <f t="shared" si="28"/>
        <v>480</v>
      </c>
      <c r="P131" s="127">
        <f t="shared" si="29"/>
        <v>600</v>
      </c>
      <c r="Q131" s="43" t="str">
        <f t="shared" si="36"/>
        <v>Y</v>
      </c>
      <c r="R131" s="43">
        <f t="shared" si="30"/>
        <v>480</v>
      </c>
      <c r="S131">
        <f t="shared" si="31"/>
        <v>212</v>
      </c>
      <c r="T131" s="18">
        <f t="shared" ref="T131:T194" si="43">+P131-R131</f>
        <v>120</v>
      </c>
      <c r="U131" s="151">
        <f t="shared" si="37"/>
        <v>16</v>
      </c>
      <c r="V131" s="151">
        <f t="shared" si="38"/>
        <v>49</v>
      </c>
      <c r="W131" s="151">
        <f t="shared" si="39"/>
        <v>21</v>
      </c>
      <c r="X131" s="151">
        <f t="shared" si="40"/>
        <v>6</v>
      </c>
      <c r="Y131" s="18">
        <f t="shared" si="32"/>
        <v>92</v>
      </c>
      <c r="AB131" s="168"/>
      <c r="AC131" s="168"/>
      <c r="AD131" t="e">
        <f t="shared" si="26"/>
        <v>#N/A</v>
      </c>
    </row>
    <row r="132" spans="1:30" x14ac:dyDescent="0.2">
      <c r="A132" s="183" t="s">
        <v>554</v>
      </c>
      <c r="B132" t="s">
        <v>386</v>
      </c>
      <c r="C132" t="s">
        <v>161</v>
      </c>
      <c r="D132">
        <v>3507901</v>
      </c>
      <c r="E132" t="s">
        <v>160</v>
      </c>
      <c r="F132" s="177">
        <v>37196</v>
      </c>
      <c r="G132" s="177"/>
      <c r="H132" s="177"/>
      <c r="I132" s="177" t="s">
        <v>576</v>
      </c>
      <c r="J132">
        <f t="shared" si="41"/>
        <v>343</v>
      </c>
      <c r="K132">
        <f t="shared" si="42"/>
        <v>413</v>
      </c>
      <c r="L132" s="67">
        <f t="shared" si="34"/>
        <v>2.2800000000000001E-2</v>
      </c>
      <c r="M132" s="127">
        <f t="shared" si="35"/>
        <v>7.8204000000000002</v>
      </c>
      <c r="N132" s="127">
        <f t="shared" si="27"/>
        <v>9.4164000000000012</v>
      </c>
      <c r="O132" s="127">
        <f t="shared" si="28"/>
        <v>298</v>
      </c>
      <c r="P132" s="127">
        <f t="shared" si="29"/>
        <v>358</v>
      </c>
      <c r="Q132" s="43" t="str">
        <f t="shared" si="36"/>
        <v>Y</v>
      </c>
      <c r="R132" s="43">
        <f t="shared" si="30"/>
        <v>298</v>
      </c>
      <c r="S132">
        <f t="shared" si="31"/>
        <v>115</v>
      </c>
      <c r="T132" s="18">
        <f t="shared" si="43"/>
        <v>60</v>
      </c>
      <c r="U132" s="151">
        <f t="shared" si="37"/>
        <v>9</v>
      </c>
      <c r="V132" s="151">
        <f t="shared" si="38"/>
        <v>29</v>
      </c>
      <c r="W132" s="151">
        <f t="shared" si="39"/>
        <v>12</v>
      </c>
      <c r="X132" s="151">
        <f t="shared" si="40"/>
        <v>4</v>
      </c>
      <c r="Y132" s="18">
        <f t="shared" si="32"/>
        <v>54</v>
      </c>
      <c r="AB132" s="168"/>
      <c r="AC132" s="168"/>
      <c r="AD132" t="e">
        <f t="shared" si="26"/>
        <v>#N/A</v>
      </c>
    </row>
    <row r="133" spans="1:30" x14ac:dyDescent="0.2">
      <c r="A133" s="183" t="s">
        <v>554</v>
      </c>
      <c r="B133" t="s">
        <v>386</v>
      </c>
      <c r="C133" t="s">
        <v>162</v>
      </c>
      <c r="D133">
        <v>3508401</v>
      </c>
      <c r="E133" t="s">
        <v>160</v>
      </c>
      <c r="F133" s="177">
        <v>37196</v>
      </c>
      <c r="G133" s="177"/>
      <c r="H133" s="177"/>
      <c r="I133" s="177" t="s">
        <v>576</v>
      </c>
      <c r="J133">
        <f t="shared" si="41"/>
        <v>47</v>
      </c>
      <c r="K133">
        <f t="shared" si="42"/>
        <v>57</v>
      </c>
      <c r="L133" s="67">
        <f t="shared" si="34"/>
        <v>2.2800000000000001E-2</v>
      </c>
      <c r="M133" s="127">
        <f t="shared" si="35"/>
        <v>1.0716000000000001</v>
      </c>
      <c r="N133" s="127">
        <f t="shared" si="27"/>
        <v>1.2996000000000001</v>
      </c>
      <c r="O133" s="127">
        <f t="shared" si="28"/>
        <v>41</v>
      </c>
      <c r="P133" s="127">
        <f t="shared" si="29"/>
        <v>49</v>
      </c>
      <c r="Q133" s="43" t="str">
        <f t="shared" si="36"/>
        <v>Y</v>
      </c>
      <c r="R133" s="43">
        <f t="shared" si="30"/>
        <v>41</v>
      </c>
      <c r="S133">
        <f t="shared" si="31"/>
        <v>16</v>
      </c>
      <c r="T133" s="18">
        <f t="shared" si="43"/>
        <v>8</v>
      </c>
      <c r="U133" s="151">
        <f t="shared" si="37"/>
        <v>1</v>
      </c>
      <c r="V133" s="151">
        <f t="shared" si="38"/>
        <v>4</v>
      </c>
      <c r="W133" s="151">
        <f t="shared" si="39"/>
        <v>2</v>
      </c>
      <c r="X133" s="151">
        <f t="shared" si="40"/>
        <v>1</v>
      </c>
      <c r="Y133" s="18">
        <f t="shared" si="32"/>
        <v>8</v>
      </c>
      <c r="AB133" s="168"/>
      <c r="AC133" s="168"/>
      <c r="AD133" t="e">
        <f t="shared" si="26"/>
        <v>#N/A</v>
      </c>
    </row>
    <row r="134" spans="1:30" x14ac:dyDescent="0.2">
      <c r="A134" s="183" t="s">
        <v>554</v>
      </c>
      <c r="B134" t="s">
        <v>386</v>
      </c>
      <c r="C134" t="s">
        <v>262</v>
      </c>
      <c r="D134">
        <v>3509101</v>
      </c>
      <c r="E134" t="s">
        <v>166</v>
      </c>
      <c r="F134" s="177">
        <v>37196</v>
      </c>
      <c r="G134" s="177"/>
      <c r="H134" s="177"/>
      <c r="I134" s="177" t="s">
        <v>576</v>
      </c>
      <c r="J134">
        <f t="shared" si="41"/>
        <v>45</v>
      </c>
      <c r="K134">
        <f t="shared" si="42"/>
        <v>55</v>
      </c>
      <c r="L134" s="67">
        <f t="shared" si="34"/>
        <v>2.2800000000000001E-2</v>
      </c>
      <c r="M134" s="127">
        <f t="shared" si="35"/>
        <v>1.026</v>
      </c>
      <c r="N134" s="127">
        <f t="shared" si="27"/>
        <v>1.254</v>
      </c>
      <c r="O134" s="127">
        <f t="shared" si="28"/>
        <v>39</v>
      </c>
      <c r="P134" s="127">
        <f t="shared" si="29"/>
        <v>48</v>
      </c>
      <c r="Q134" s="43" t="str">
        <f t="shared" si="36"/>
        <v>Y</v>
      </c>
      <c r="R134" s="43">
        <f t="shared" si="30"/>
        <v>39</v>
      </c>
      <c r="S134">
        <f t="shared" si="31"/>
        <v>16</v>
      </c>
      <c r="T134" s="18">
        <f t="shared" si="43"/>
        <v>9</v>
      </c>
      <c r="U134" s="151">
        <f t="shared" si="37"/>
        <v>1</v>
      </c>
      <c r="V134" s="151">
        <f t="shared" si="38"/>
        <v>4</v>
      </c>
      <c r="W134" s="151">
        <f t="shared" si="39"/>
        <v>2</v>
      </c>
      <c r="X134" s="151">
        <f t="shared" si="40"/>
        <v>1</v>
      </c>
      <c r="Y134" s="18">
        <f t="shared" si="32"/>
        <v>8</v>
      </c>
      <c r="AB134" s="168"/>
      <c r="AC134" s="168"/>
      <c r="AD134" t="e">
        <f t="shared" si="26"/>
        <v>#N/A</v>
      </c>
    </row>
    <row r="135" spans="1:30" x14ac:dyDescent="0.2">
      <c r="A135" s="183" t="s">
        <v>554</v>
      </c>
      <c r="B135" t="s">
        <v>386</v>
      </c>
      <c r="C135" t="s">
        <v>278</v>
      </c>
      <c r="D135">
        <v>3510601</v>
      </c>
      <c r="E135" t="s">
        <v>130</v>
      </c>
      <c r="F135" s="177">
        <v>37196</v>
      </c>
      <c r="G135" s="177"/>
      <c r="H135" s="177"/>
      <c r="I135" s="177" t="s">
        <v>576</v>
      </c>
      <c r="J135">
        <f t="shared" si="41"/>
        <v>32</v>
      </c>
      <c r="K135">
        <f t="shared" si="42"/>
        <v>35</v>
      </c>
      <c r="L135" s="67">
        <f t="shared" si="34"/>
        <v>2.2800000000000001E-2</v>
      </c>
      <c r="M135" s="127">
        <f t="shared" si="35"/>
        <v>0.72960000000000003</v>
      </c>
      <c r="N135" s="127">
        <f t="shared" si="27"/>
        <v>0.79800000000000004</v>
      </c>
      <c r="O135" s="127">
        <f t="shared" si="28"/>
        <v>28</v>
      </c>
      <c r="P135" s="127">
        <f t="shared" si="29"/>
        <v>30</v>
      </c>
      <c r="Q135" s="43" t="str">
        <f t="shared" si="36"/>
        <v>Y</v>
      </c>
      <c r="R135" s="43">
        <f t="shared" si="30"/>
        <v>28</v>
      </c>
      <c r="S135">
        <f t="shared" si="31"/>
        <v>7</v>
      </c>
      <c r="T135" s="18">
        <f t="shared" si="43"/>
        <v>2</v>
      </c>
      <c r="U135" s="151">
        <f t="shared" si="37"/>
        <v>1</v>
      </c>
      <c r="V135" s="151">
        <f t="shared" si="38"/>
        <v>2</v>
      </c>
      <c r="W135" s="151">
        <f t="shared" si="39"/>
        <v>1</v>
      </c>
      <c r="X135" s="151">
        <f t="shared" si="40"/>
        <v>0</v>
      </c>
      <c r="Y135" s="18">
        <f t="shared" si="32"/>
        <v>4</v>
      </c>
      <c r="AB135" s="168"/>
      <c r="AC135" s="168"/>
      <c r="AD135" t="e">
        <f t="shared" si="26"/>
        <v>#N/A</v>
      </c>
    </row>
    <row r="136" spans="1:30" x14ac:dyDescent="0.2">
      <c r="A136" s="183" t="s">
        <v>554</v>
      </c>
      <c r="B136" t="s">
        <v>386</v>
      </c>
      <c r="C136" t="s">
        <v>280</v>
      </c>
      <c r="D136">
        <v>3510801</v>
      </c>
      <c r="E136" t="s">
        <v>130</v>
      </c>
      <c r="F136" s="177">
        <v>37196</v>
      </c>
      <c r="G136" s="177"/>
      <c r="H136" s="177"/>
      <c r="I136" s="177" t="s">
        <v>576</v>
      </c>
      <c r="J136">
        <f t="shared" si="41"/>
        <v>0</v>
      </c>
      <c r="K136">
        <f t="shared" si="42"/>
        <v>0</v>
      </c>
      <c r="L136" s="67">
        <f t="shared" si="34"/>
        <v>2.2800000000000001E-2</v>
      </c>
      <c r="M136" s="127">
        <f t="shared" si="35"/>
        <v>0</v>
      </c>
      <c r="N136" s="127">
        <f t="shared" si="27"/>
        <v>0</v>
      </c>
      <c r="O136" s="127">
        <f t="shared" si="28"/>
        <v>0</v>
      </c>
      <c r="P136" s="127">
        <f t="shared" si="29"/>
        <v>0</v>
      </c>
      <c r="Q136" s="43" t="str">
        <f t="shared" si="36"/>
        <v>Y</v>
      </c>
      <c r="R136" s="43">
        <f t="shared" si="30"/>
        <v>0</v>
      </c>
      <c r="S136">
        <f t="shared" si="31"/>
        <v>0</v>
      </c>
      <c r="T136" s="18">
        <f t="shared" si="43"/>
        <v>0</v>
      </c>
      <c r="U136" s="151">
        <f t="shared" si="37"/>
        <v>0</v>
      </c>
      <c r="V136" s="151">
        <f t="shared" si="38"/>
        <v>0</v>
      </c>
      <c r="W136" s="151">
        <f t="shared" si="39"/>
        <v>0</v>
      </c>
      <c r="X136" s="151">
        <f t="shared" si="40"/>
        <v>0</v>
      </c>
      <c r="Y136" s="18">
        <f t="shared" si="32"/>
        <v>0</v>
      </c>
      <c r="AB136" s="168"/>
      <c r="AC136" s="168"/>
      <c r="AD136" t="e">
        <f t="shared" si="26"/>
        <v>#N/A</v>
      </c>
    </row>
    <row r="137" spans="1:30" x14ac:dyDescent="0.2">
      <c r="A137" s="183" t="s">
        <v>554</v>
      </c>
      <c r="B137" t="s">
        <v>386</v>
      </c>
      <c r="C137" t="s">
        <v>480</v>
      </c>
      <c r="D137">
        <v>3511801</v>
      </c>
      <c r="E137" t="s">
        <v>478</v>
      </c>
      <c r="F137" s="177">
        <v>37196</v>
      </c>
      <c r="G137" s="177"/>
      <c r="H137" s="177"/>
      <c r="I137" s="177" t="s">
        <v>576</v>
      </c>
      <c r="J137">
        <f t="shared" si="41"/>
        <v>1033</v>
      </c>
      <c r="K137">
        <f t="shared" si="42"/>
        <v>1370</v>
      </c>
      <c r="L137" s="67">
        <f t="shared" si="34"/>
        <v>2.2800000000000001E-2</v>
      </c>
      <c r="M137" s="127">
        <f t="shared" si="35"/>
        <v>23.552400000000002</v>
      </c>
      <c r="N137" s="127">
        <f t="shared" si="27"/>
        <v>31.236000000000001</v>
      </c>
      <c r="O137" s="127">
        <f t="shared" si="28"/>
        <v>896</v>
      </c>
      <c r="P137" s="127">
        <f t="shared" si="29"/>
        <v>1188</v>
      </c>
      <c r="Q137" s="43" t="str">
        <f t="shared" si="36"/>
        <v>Y</v>
      </c>
      <c r="R137" s="43">
        <f t="shared" si="30"/>
        <v>896</v>
      </c>
      <c r="S137">
        <f t="shared" si="31"/>
        <v>474</v>
      </c>
      <c r="T137" s="18">
        <f t="shared" si="43"/>
        <v>292</v>
      </c>
      <c r="U137" s="151">
        <f t="shared" si="37"/>
        <v>31</v>
      </c>
      <c r="V137" s="151">
        <f t="shared" si="38"/>
        <v>97</v>
      </c>
      <c r="W137" s="151">
        <f t="shared" si="39"/>
        <v>41</v>
      </c>
      <c r="X137" s="151">
        <f t="shared" si="40"/>
        <v>12</v>
      </c>
      <c r="Y137" s="18">
        <f t="shared" si="32"/>
        <v>181</v>
      </c>
      <c r="AB137" s="168"/>
      <c r="AC137" s="168"/>
      <c r="AD137" t="e">
        <f t="shared" si="26"/>
        <v>#N/A</v>
      </c>
    </row>
    <row r="138" spans="1:30" x14ac:dyDescent="0.2">
      <c r="A138" s="183" t="s">
        <v>554</v>
      </c>
      <c r="B138" t="s">
        <v>386</v>
      </c>
      <c r="C138" t="s">
        <v>264</v>
      </c>
      <c r="D138">
        <v>3512101</v>
      </c>
      <c r="E138" t="s">
        <v>130</v>
      </c>
      <c r="F138" s="177">
        <v>37196</v>
      </c>
      <c r="G138" s="177"/>
      <c r="H138" s="177"/>
      <c r="I138" s="177" t="s">
        <v>576</v>
      </c>
      <c r="J138">
        <f t="shared" si="41"/>
        <v>0</v>
      </c>
      <c r="K138">
        <f t="shared" si="42"/>
        <v>0</v>
      </c>
      <c r="L138" s="67">
        <f t="shared" si="34"/>
        <v>2.2800000000000001E-2</v>
      </c>
      <c r="M138" s="127">
        <f t="shared" si="35"/>
        <v>0</v>
      </c>
      <c r="N138" s="127">
        <f t="shared" si="27"/>
        <v>0</v>
      </c>
      <c r="O138" s="127">
        <f t="shared" si="28"/>
        <v>0</v>
      </c>
      <c r="P138" s="127">
        <f t="shared" si="29"/>
        <v>0</v>
      </c>
      <c r="Q138" s="43" t="str">
        <f t="shared" si="36"/>
        <v>Y</v>
      </c>
      <c r="R138" s="43">
        <f t="shared" si="30"/>
        <v>0</v>
      </c>
      <c r="S138">
        <f t="shared" si="31"/>
        <v>0</v>
      </c>
      <c r="T138" s="18">
        <f t="shared" si="43"/>
        <v>0</v>
      </c>
      <c r="U138" s="151">
        <f t="shared" si="37"/>
        <v>0</v>
      </c>
      <c r="V138" s="151">
        <f t="shared" si="38"/>
        <v>0</v>
      </c>
      <c r="W138" s="151">
        <f t="shared" si="39"/>
        <v>0</v>
      </c>
      <c r="X138" s="151">
        <f t="shared" si="40"/>
        <v>0</v>
      </c>
      <c r="Y138" s="18">
        <f t="shared" si="32"/>
        <v>0</v>
      </c>
      <c r="AB138" s="168"/>
      <c r="AC138" s="168"/>
      <c r="AD138" t="e">
        <f t="shared" si="26"/>
        <v>#N/A</v>
      </c>
    </row>
    <row r="139" spans="1:30" x14ac:dyDescent="0.2">
      <c r="A139" s="183" t="s">
        <v>554</v>
      </c>
      <c r="B139" t="s">
        <v>386</v>
      </c>
      <c r="C139" t="s">
        <v>279</v>
      </c>
      <c r="D139">
        <v>3513301</v>
      </c>
      <c r="E139" t="s">
        <v>130</v>
      </c>
      <c r="F139" s="177">
        <v>37196</v>
      </c>
      <c r="G139" s="177"/>
      <c r="H139" s="177"/>
      <c r="I139" s="177" t="s">
        <v>576</v>
      </c>
      <c r="J139">
        <f t="shared" si="41"/>
        <v>286</v>
      </c>
      <c r="K139">
        <f t="shared" si="42"/>
        <v>325</v>
      </c>
      <c r="L139" s="67">
        <f t="shared" si="34"/>
        <v>2.2800000000000001E-2</v>
      </c>
      <c r="M139" s="127">
        <f t="shared" si="35"/>
        <v>6.5208000000000004</v>
      </c>
      <c r="N139" s="127">
        <f t="shared" si="27"/>
        <v>7.41</v>
      </c>
      <c r="O139" s="127">
        <f t="shared" si="28"/>
        <v>248</v>
      </c>
      <c r="P139" s="127">
        <f t="shared" si="29"/>
        <v>282</v>
      </c>
      <c r="Q139" s="43" t="str">
        <f t="shared" si="36"/>
        <v>Y</v>
      </c>
      <c r="R139" s="43">
        <f t="shared" si="30"/>
        <v>248</v>
      </c>
      <c r="S139">
        <f t="shared" si="31"/>
        <v>77</v>
      </c>
      <c r="T139" s="18">
        <f t="shared" si="43"/>
        <v>34</v>
      </c>
      <c r="U139" s="151">
        <f t="shared" si="37"/>
        <v>7</v>
      </c>
      <c r="V139" s="151">
        <f t="shared" si="38"/>
        <v>23</v>
      </c>
      <c r="W139" s="151">
        <f t="shared" si="39"/>
        <v>10</v>
      </c>
      <c r="X139" s="151">
        <f t="shared" si="40"/>
        <v>3</v>
      </c>
      <c r="Y139" s="18">
        <f t="shared" si="32"/>
        <v>43</v>
      </c>
      <c r="AB139" s="168"/>
      <c r="AC139" s="168"/>
      <c r="AD139" t="e">
        <f t="shared" si="26"/>
        <v>#N/A</v>
      </c>
    </row>
    <row r="140" spans="1:30" x14ac:dyDescent="0.2">
      <c r="A140" s="183" t="s">
        <v>554</v>
      </c>
      <c r="B140" t="s">
        <v>387</v>
      </c>
      <c r="C140" t="s">
        <v>301</v>
      </c>
      <c r="D140">
        <v>3514402</v>
      </c>
      <c r="E140" t="s">
        <v>217</v>
      </c>
      <c r="F140" s="177">
        <v>37196</v>
      </c>
      <c r="G140" s="177"/>
      <c r="H140" s="177"/>
      <c r="I140" s="177" t="s">
        <v>583</v>
      </c>
      <c r="J140">
        <f t="shared" si="41"/>
        <v>0</v>
      </c>
      <c r="K140">
        <f t="shared" si="42"/>
        <v>0</v>
      </c>
      <c r="L140" s="67">
        <f t="shared" si="34"/>
        <v>0</v>
      </c>
      <c r="M140" s="127">
        <f t="shared" si="35"/>
        <v>0</v>
      </c>
      <c r="N140" s="127">
        <f t="shared" si="27"/>
        <v>0</v>
      </c>
      <c r="O140" s="127">
        <f t="shared" si="28"/>
        <v>0</v>
      </c>
      <c r="P140" s="127">
        <f t="shared" si="29"/>
        <v>0</v>
      </c>
      <c r="Q140" s="43" t="str">
        <f t="shared" si="36"/>
        <v>Y</v>
      </c>
      <c r="R140" s="43">
        <f t="shared" si="30"/>
        <v>0</v>
      </c>
      <c r="S140">
        <f t="shared" si="31"/>
        <v>0</v>
      </c>
      <c r="T140" s="18">
        <f t="shared" si="43"/>
        <v>0</v>
      </c>
      <c r="U140" s="151">
        <f t="shared" si="37"/>
        <v>0</v>
      </c>
      <c r="V140" s="151">
        <f t="shared" si="38"/>
        <v>0</v>
      </c>
      <c r="W140" s="151">
        <f t="shared" si="39"/>
        <v>0</v>
      </c>
      <c r="X140" s="151">
        <f t="shared" si="40"/>
        <v>0</v>
      </c>
      <c r="Y140" s="18">
        <f t="shared" si="32"/>
        <v>0</v>
      </c>
      <c r="AB140" s="168"/>
      <c r="AC140" s="168"/>
      <c r="AD140" t="e">
        <f t="shared" si="26"/>
        <v>#N/A</v>
      </c>
    </row>
    <row r="141" spans="1:30" x14ac:dyDescent="0.2">
      <c r="A141" s="183" t="s">
        <v>554</v>
      </c>
      <c r="B141" t="s">
        <v>386</v>
      </c>
      <c r="C141" t="s">
        <v>481</v>
      </c>
      <c r="D141">
        <v>3516301</v>
      </c>
      <c r="E141" t="s">
        <v>478</v>
      </c>
      <c r="F141" s="177">
        <v>37196</v>
      </c>
      <c r="G141" s="177"/>
      <c r="H141" s="177"/>
      <c r="I141" s="177" t="s">
        <v>576</v>
      </c>
      <c r="J141">
        <f t="shared" si="41"/>
        <v>227</v>
      </c>
      <c r="K141">
        <f t="shared" si="42"/>
        <v>263</v>
      </c>
      <c r="L141" s="67">
        <f t="shared" si="34"/>
        <v>2.2800000000000001E-2</v>
      </c>
      <c r="M141" s="127">
        <f t="shared" si="35"/>
        <v>5.1756000000000002</v>
      </c>
      <c r="N141" s="127">
        <f t="shared" si="27"/>
        <v>5.9964000000000004</v>
      </c>
      <c r="O141" s="127">
        <f t="shared" si="28"/>
        <v>197</v>
      </c>
      <c r="P141" s="127">
        <f t="shared" si="29"/>
        <v>228</v>
      </c>
      <c r="Q141" s="43" t="str">
        <f t="shared" si="36"/>
        <v>Y</v>
      </c>
      <c r="R141" s="43">
        <f t="shared" si="30"/>
        <v>197</v>
      </c>
      <c r="S141">
        <f t="shared" si="31"/>
        <v>66</v>
      </c>
      <c r="T141" s="18">
        <f t="shared" si="43"/>
        <v>31</v>
      </c>
      <c r="U141" s="151">
        <f t="shared" si="37"/>
        <v>6</v>
      </c>
      <c r="V141" s="151">
        <f t="shared" si="38"/>
        <v>19</v>
      </c>
      <c r="W141" s="151">
        <f t="shared" si="39"/>
        <v>8</v>
      </c>
      <c r="X141" s="151">
        <f t="shared" si="40"/>
        <v>2</v>
      </c>
      <c r="Y141" s="18">
        <f t="shared" si="32"/>
        <v>35</v>
      </c>
      <c r="AB141" s="168"/>
      <c r="AC141" s="168"/>
      <c r="AD141" t="e">
        <f t="shared" si="26"/>
        <v>#N/A</v>
      </c>
    </row>
    <row r="142" spans="1:30" x14ac:dyDescent="0.2">
      <c r="A142" s="183" t="s">
        <v>554</v>
      </c>
      <c r="B142" t="s">
        <v>386</v>
      </c>
      <c r="C142" t="s">
        <v>482</v>
      </c>
      <c r="D142">
        <v>3517001</v>
      </c>
      <c r="E142" t="s">
        <v>478</v>
      </c>
      <c r="F142" s="177">
        <v>37196</v>
      </c>
      <c r="G142" s="177"/>
      <c r="H142" s="177"/>
      <c r="I142" s="177" t="s">
        <v>576</v>
      </c>
      <c r="J142">
        <f t="shared" si="41"/>
        <v>848</v>
      </c>
      <c r="K142">
        <f t="shared" si="42"/>
        <v>1057</v>
      </c>
      <c r="L142" s="67">
        <f t="shared" si="34"/>
        <v>2.2800000000000001E-2</v>
      </c>
      <c r="M142" s="127">
        <f t="shared" si="35"/>
        <v>19.334400000000002</v>
      </c>
      <c r="N142" s="127">
        <f t="shared" si="27"/>
        <v>24.099600000000002</v>
      </c>
      <c r="O142" s="127">
        <f t="shared" si="28"/>
        <v>736</v>
      </c>
      <c r="P142" s="127">
        <f t="shared" si="29"/>
        <v>917</v>
      </c>
      <c r="Q142" s="43" t="str">
        <f t="shared" si="36"/>
        <v>Y</v>
      </c>
      <c r="R142" s="43">
        <f t="shared" si="30"/>
        <v>736</v>
      </c>
      <c r="S142">
        <f t="shared" si="31"/>
        <v>321</v>
      </c>
      <c r="T142" s="18">
        <f t="shared" si="43"/>
        <v>181</v>
      </c>
      <c r="U142" s="151">
        <f t="shared" si="37"/>
        <v>24</v>
      </c>
      <c r="V142" s="151">
        <f t="shared" si="38"/>
        <v>75</v>
      </c>
      <c r="W142" s="151">
        <f t="shared" si="39"/>
        <v>32</v>
      </c>
      <c r="X142" s="151">
        <f t="shared" si="40"/>
        <v>10</v>
      </c>
      <c r="Y142" s="18">
        <f t="shared" si="32"/>
        <v>141</v>
      </c>
      <c r="AB142" s="168"/>
      <c r="AC142" s="168"/>
      <c r="AD142" t="e">
        <f t="shared" si="26"/>
        <v>#N/A</v>
      </c>
    </row>
    <row r="143" spans="1:30" x14ac:dyDescent="0.2">
      <c r="A143" s="183" t="s">
        <v>554</v>
      </c>
      <c r="B143" t="s">
        <v>386</v>
      </c>
      <c r="C143" t="s">
        <v>483</v>
      </c>
      <c r="D143">
        <v>3522201</v>
      </c>
      <c r="E143" t="s">
        <v>478</v>
      </c>
      <c r="F143" s="177">
        <v>37196</v>
      </c>
      <c r="G143" s="177"/>
      <c r="H143" s="177"/>
      <c r="I143" s="177" t="s">
        <v>576</v>
      </c>
      <c r="J143">
        <f t="shared" si="41"/>
        <v>285</v>
      </c>
      <c r="K143">
        <f t="shared" si="42"/>
        <v>349</v>
      </c>
      <c r="L143" s="67">
        <f t="shared" si="34"/>
        <v>2.2800000000000001E-2</v>
      </c>
      <c r="M143" s="127">
        <f t="shared" si="35"/>
        <v>6.4980000000000002</v>
      </c>
      <c r="N143" s="127">
        <f t="shared" si="27"/>
        <v>7.9572000000000003</v>
      </c>
      <c r="O143" s="127">
        <f t="shared" si="28"/>
        <v>247</v>
      </c>
      <c r="P143" s="127">
        <f t="shared" si="29"/>
        <v>303</v>
      </c>
      <c r="Q143" s="43" t="str">
        <f t="shared" si="36"/>
        <v>Y</v>
      </c>
      <c r="R143" s="43">
        <f t="shared" si="30"/>
        <v>247</v>
      </c>
      <c r="S143">
        <f t="shared" si="31"/>
        <v>102</v>
      </c>
      <c r="T143" s="18">
        <f t="shared" si="43"/>
        <v>56</v>
      </c>
      <c r="U143" s="151">
        <f t="shared" si="37"/>
        <v>8</v>
      </c>
      <c r="V143" s="151">
        <f t="shared" si="38"/>
        <v>25</v>
      </c>
      <c r="W143" s="151">
        <f t="shared" si="39"/>
        <v>10</v>
      </c>
      <c r="X143" s="151">
        <f t="shared" si="40"/>
        <v>3</v>
      </c>
      <c r="Y143" s="18">
        <f t="shared" si="32"/>
        <v>46</v>
      </c>
      <c r="AB143" s="168"/>
      <c r="AC143" s="168"/>
      <c r="AD143" t="e">
        <f t="shared" si="26"/>
        <v>#N/A</v>
      </c>
    </row>
    <row r="144" spans="1:30" x14ac:dyDescent="0.2">
      <c r="A144" s="183" t="s">
        <v>554</v>
      </c>
      <c r="B144" t="s">
        <v>386</v>
      </c>
      <c r="C144" t="s">
        <v>484</v>
      </c>
      <c r="D144">
        <v>3522901</v>
      </c>
      <c r="E144" t="s">
        <v>478</v>
      </c>
      <c r="F144" s="177">
        <v>37196</v>
      </c>
      <c r="G144" s="177"/>
      <c r="H144" s="177"/>
      <c r="I144" s="177" t="s">
        <v>576</v>
      </c>
      <c r="J144">
        <f t="shared" si="41"/>
        <v>454</v>
      </c>
      <c r="K144">
        <f t="shared" si="42"/>
        <v>574</v>
      </c>
      <c r="L144" s="67">
        <f t="shared" si="34"/>
        <v>2.2800000000000001E-2</v>
      </c>
      <c r="M144" s="127">
        <f t="shared" si="35"/>
        <v>10.3512</v>
      </c>
      <c r="N144" s="127">
        <f t="shared" si="27"/>
        <v>13.087200000000001</v>
      </c>
      <c r="O144" s="127">
        <f t="shared" si="28"/>
        <v>394</v>
      </c>
      <c r="P144" s="127">
        <f t="shared" si="29"/>
        <v>498</v>
      </c>
      <c r="Q144" s="43" t="str">
        <f t="shared" si="36"/>
        <v>Y</v>
      </c>
      <c r="R144" s="43">
        <f t="shared" si="30"/>
        <v>394</v>
      </c>
      <c r="S144">
        <f t="shared" si="31"/>
        <v>180</v>
      </c>
      <c r="T144" s="18">
        <f t="shared" si="43"/>
        <v>104</v>
      </c>
      <c r="U144" s="151">
        <f t="shared" si="37"/>
        <v>13</v>
      </c>
      <c r="V144" s="151">
        <f t="shared" si="38"/>
        <v>41</v>
      </c>
      <c r="W144" s="151">
        <f t="shared" si="39"/>
        <v>17</v>
      </c>
      <c r="X144" s="151">
        <f t="shared" si="40"/>
        <v>5</v>
      </c>
      <c r="Y144" s="18">
        <f t="shared" si="32"/>
        <v>76</v>
      </c>
      <c r="AB144" s="168"/>
      <c r="AC144" s="168"/>
      <c r="AD144" t="e">
        <f t="shared" si="26"/>
        <v>#N/A</v>
      </c>
    </row>
    <row r="145" spans="1:30" x14ac:dyDescent="0.2">
      <c r="A145" s="183" t="s">
        <v>554</v>
      </c>
      <c r="B145" t="s">
        <v>386</v>
      </c>
      <c r="C145" t="s">
        <v>265</v>
      </c>
      <c r="D145">
        <v>3524201</v>
      </c>
      <c r="E145" t="s">
        <v>130</v>
      </c>
      <c r="F145" s="177">
        <v>37196</v>
      </c>
      <c r="G145" s="177"/>
      <c r="H145" s="177"/>
      <c r="I145" s="177" t="s">
        <v>576</v>
      </c>
      <c r="J145">
        <f t="shared" si="41"/>
        <v>57</v>
      </c>
      <c r="K145">
        <f t="shared" si="42"/>
        <v>66</v>
      </c>
      <c r="L145" s="67">
        <f t="shared" si="34"/>
        <v>2.2800000000000001E-2</v>
      </c>
      <c r="M145" s="127">
        <f t="shared" si="35"/>
        <v>1.2996000000000001</v>
      </c>
      <c r="N145" s="127">
        <f t="shared" si="27"/>
        <v>1.5048000000000001</v>
      </c>
      <c r="O145" s="127">
        <f t="shared" si="28"/>
        <v>49</v>
      </c>
      <c r="P145" s="127">
        <f t="shared" si="29"/>
        <v>57</v>
      </c>
      <c r="Q145" s="43" t="str">
        <f t="shared" si="36"/>
        <v>Y</v>
      </c>
      <c r="R145" s="43">
        <f t="shared" si="30"/>
        <v>49</v>
      </c>
      <c r="S145">
        <f t="shared" si="31"/>
        <v>17</v>
      </c>
      <c r="T145" s="18">
        <f t="shared" si="43"/>
        <v>8</v>
      </c>
      <c r="U145" s="151">
        <f t="shared" si="37"/>
        <v>2</v>
      </c>
      <c r="V145" s="151">
        <f t="shared" si="38"/>
        <v>5</v>
      </c>
      <c r="W145" s="151">
        <f t="shared" si="39"/>
        <v>2</v>
      </c>
      <c r="X145" s="151">
        <f t="shared" si="40"/>
        <v>1</v>
      </c>
      <c r="Y145" s="18">
        <f t="shared" si="32"/>
        <v>10</v>
      </c>
      <c r="AB145" s="168"/>
      <c r="AC145" s="168"/>
      <c r="AD145" t="e">
        <f t="shared" si="26"/>
        <v>#N/A</v>
      </c>
    </row>
    <row r="146" spans="1:30" x14ac:dyDescent="0.2">
      <c r="A146" s="183" t="s">
        <v>554</v>
      </c>
      <c r="B146" t="s">
        <v>388</v>
      </c>
      <c r="C146" t="s">
        <v>309</v>
      </c>
      <c r="D146">
        <v>3525501</v>
      </c>
      <c r="E146" t="s">
        <v>130</v>
      </c>
      <c r="F146" s="177">
        <v>37196</v>
      </c>
      <c r="G146" s="177"/>
      <c r="H146" s="177"/>
      <c r="I146" s="177" t="s">
        <v>575</v>
      </c>
      <c r="J146">
        <f t="shared" si="41"/>
        <v>235</v>
      </c>
      <c r="K146">
        <f t="shared" si="42"/>
        <v>340</v>
      </c>
      <c r="L146" s="67">
        <f t="shared" si="34"/>
        <v>2.2800000000000001E-2</v>
      </c>
      <c r="M146" s="127">
        <f t="shared" si="35"/>
        <v>5.3580000000000005</v>
      </c>
      <c r="N146" s="127">
        <f t="shared" si="27"/>
        <v>7.7520000000000007</v>
      </c>
      <c r="O146" s="127">
        <f t="shared" si="28"/>
        <v>213</v>
      </c>
      <c r="P146" s="127">
        <f t="shared" si="29"/>
        <v>308</v>
      </c>
      <c r="Q146" s="43" t="str">
        <f t="shared" si="36"/>
        <v>Y</v>
      </c>
      <c r="R146" s="43">
        <f t="shared" si="30"/>
        <v>213</v>
      </c>
      <c r="S146">
        <f t="shared" si="31"/>
        <v>127</v>
      </c>
      <c r="T146" s="18">
        <f t="shared" si="43"/>
        <v>95</v>
      </c>
      <c r="U146" s="151">
        <f t="shared" si="37"/>
        <v>8</v>
      </c>
      <c r="V146" s="151">
        <f t="shared" si="38"/>
        <v>24</v>
      </c>
      <c r="W146" s="151">
        <f t="shared" si="39"/>
        <v>0</v>
      </c>
      <c r="X146" s="151">
        <f t="shared" si="40"/>
        <v>0</v>
      </c>
      <c r="Y146" s="18">
        <f t="shared" si="32"/>
        <v>32</v>
      </c>
      <c r="AB146" s="168"/>
      <c r="AC146" s="168"/>
      <c r="AD146" t="e">
        <f t="shared" si="26"/>
        <v>#N/A</v>
      </c>
    </row>
    <row r="147" spans="1:30" x14ac:dyDescent="0.2">
      <c r="A147" s="183" t="s">
        <v>554</v>
      </c>
      <c r="B147" t="s">
        <v>386</v>
      </c>
      <c r="C147" t="s">
        <v>281</v>
      </c>
      <c r="D147">
        <v>3526101</v>
      </c>
      <c r="E147" t="s">
        <v>130</v>
      </c>
      <c r="F147" s="177">
        <v>37196</v>
      </c>
      <c r="G147" s="177"/>
      <c r="H147" s="177"/>
      <c r="I147" s="177" t="s">
        <v>576</v>
      </c>
      <c r="J147">
        <f t="shared" si="41"/>
        <v>267</v>
      </c>
      <c r="K147">
        <f t="shared" si="42"/>
        <v>306</v>
      </c>
      <c r="L147" s="67">
        <f t="shared" si="34"/>
        <v>2.2800000000000001E-2</v>
      </c>
      <c r="M147" s="127">
        <f t="shared" si="35"/>
        <v>6.0876000000000001</v>
      </c>
      <c r="N147" s="127">
        <f t="shared" si="27"/>
        <v>6.9767999999999999</v>
      </c>
      <c r="O147" s="127">
        <f t="shared" si="28"/>
        <v>232</v>
      </c>
      <c r="P147" s="127">
        <f t="shared" si="29"/>
        <v>265</v>
      </c>
      <c r="Q147" s="43" t="str">
        <f t="shared" si="36"/>
        <v>Y</v>
      </c>
      <c r="R147" s="43">
        <f t="shared" si="30"/>
        <v>232</v>
      </c>
      <c r="S147">
        <f t="shared" si="31"/>
        <v>74</v>
      </c>
      <c r="T147" s="18">
        <f t="shared" si="43"/>
        <v>33</v>
      </c>
      <c r="U147" s="151">
        <f t="shared" si="37"/>
        <v>7</v>
      </c>
      <c r="V147" s="151">
        <f t="shared" si="38"/>
        <v>22</v>
      </c>
      <c r="W147" s="151">
        <f t="shared" si="39"/>
        <v>9</v>
      </c>
      <c r="X147" s="151">
        <f t="shared" si="40"/>
        <v>3</v>
      </c>
      <c r="Y147" s="18">
        <f t="shared" si="32"/>
        <v>41</v>
      </c>
      <c r="AB147" s="168"/>
      <c r="AC147" s="168"/>
      <c r="AD147" t="e">
        <f t="shared" si="26"/>
        <v>#N/A</v>
      </c>
    </row>
    <row r="148" spans="1:30" x14ac:dyDescent="0.2">
      <c r="A148" s="183" t="s">
        <v>554</v>
      </c>
      <c r="B148" t="s">
        <v>386</v>
      </c>
      <c r="C148" t="s">
        <v>485</v>
      </c>
      <c r="D148">
        <v>3528901</v>
      </c>
      <c r="E148" t="s">
        <v>478</v>
      </c>
      <c r="F148" s="177">
        <v>37196</v>
      </c>
      <c r="G148" s="177"/>
      <c r="H148" s="177"/>
      <c r="I148" s="177" t="s">
        <v>576</v>
      </c>
      <c r="J148">
        <f t="shared" si="41"/>
        <v>1561</v>
      </c>
      <c r="K148">
        <f t="shared" si="42"/>
        <v>1995</v>
      </c>
      <c r="L148" s="67">
        <f t="shared" si="34"/>
        <v>2.2800000000000001E-2</v>
      </c>
      <c r="M148" s="127">
        <f t="shared" si="35"/>
        <v>35.590800000000002</v>
      </c>
      <c r="N148" s="127">
        <f t="shared" si="27"/>
        <v>45.486000000000004</v>
      </c>
      <c r="O148" s="127">
        <f t="shared" si="28"/>
        <v>1354</v>
      </c>
      <c r="P148" s="127">
        <f t="shared" si="29"/>
        <v>1731</v>
      </c>
      <c r="Q148" s="43" t="str">
        <f t="shared" si="36"/>
        <v>Y</v>
      </c>
      <c r="R148" s="43">
        <f t="shared" si="30"/>
        <v>1354</v>
      </c>
      <c r="S148">
        <f t="shared" si="31"/>
        <v>641</v>
      </c>
      <c r="T148" s="18">
        <f t="shared" si="43"/>
        <v>377</v>
      </c>
      <c r="U148" s="151">
        <f t="shared" si="37"/>
        <v>45</v>
      </c>
      <c r="V148" s="151">
        <f t="shared" si="38"/>
        <v>141</v>
      </c>
      <c r="W148" s="151">
        <f t="shared" si="39"/>
        <v>60</v>
      </c>
      <c r="X148" s="151">
        <f t="shared" si="40"/>
        <v>18</v>
      </c>
      <c r="Y148" s="18">
        <f t="shared" si="32"/>
        <v>264</v>
      </c>
      <c r="AB148" s="168"/>
      <c r="AC148" s="168"/>
      <c r="AD148" t="e">
        <f t="shared" si="26"/>
        <v>#N/A</v>
      </c>
    </row>
    <row r="149" spans="1:30" x14ac:dyDescent="0.2">
      <c r="A149" s="183" t="s">
        <v>554</v>
      </c>
      <c r="B149" t="s">
        <v>386</v>
      </c>
      <c r="C149" t="s">
        <v>486</v>
      </c>
      <c r="D149">
        <v>3529001</v>
      </c>
      <c r="E149" t="s">
        <v>478</v>
      </c>
      <c r="F149" s="177">
        <v>37196</v>
      </c>
      <c r="G149" s="177"/>
      <c r="H149" s="177"/>
      <c r="I149" s="177" t="s">
        <v>576</v>
      </c>
      <c r="J149">
        <f t="shared" si="41"/>
        <v>291</v>
      </c>
      <c r="K149">
        <f t="shared" si="42"/>
        <v>358</v>
      </c>
      <c r="L149" s="67">
        <f t="shared" si="34"/>
        <v>2.2800000000000001E-2</v>
      </c>
      <c r="M149" s="127">
        <f t="shared" si="35"/>
        <v>6.6348000000000003</v>
      </c>
      <c r="N149" s="127">
        <f t="shared" si="27"/>
        <v>8.1623999999999999</v>
      </c>
      <c r="O149" s="127">
        <f t="shared" si="28"/>
        <v>252</v>
      </c>
      <c r="P149" s="127">
        <f t="shared" si="29"/>
        <v>311</v>
      </c>
      <c r="Q149" s="43" t="str">
        <f t="shared" si="36"/>
        <v>Y</v>
      </c>
      <c r="R149" s="43">
        <f t="shared" si="30"/>
        <v>252</v>
      </c>
      <c r="S149">
        <f t="shared" si="31"/>
        <v>106</v>
      </c>
      <c r="T149" s="18">
        <f t="shared" si="43"/>
        <v>59</v>
      </c>
      <c r="U149" s="151">
        <f t="shared" si="37"/>
        <v>8</v>
      </c>
      <c r="V149" s="151">
        <f t="shared" si="38"/>
        <v>25</v>
      </c>
      <c r="W149" s="151">
        <f t="shared" si="39"/>
        <v>11</v>
      </c>
      <c r="X149" s="151">
        <f t="shared" si="40"/>
        <v>3</v>
      </c>
      <c r="Y149" s="18">
        <f t="shared" si="32"/>
        <v>47</v>
      </c>
      <c r="AB149" s="168"/>
      <c r="AC149" s="168"/>
      <c r="AD149" t="e">
        <f t="shared" si="26"/>
        <v>#N/A</v>
      </c>
    </row>
    <row r="150" spans="1:30" x14ac:dyDescent="0.2">
      <c r="A150" s="183" t="s">
        <v>554</v>
      </c>
      <c r="B150" t="s">
        <v>386</v>
      </c>
      <c r="C150" t="s">
        <v>487</v>
      </c>
      <c r="D150">
        <v>3529101</v>
      </c>
      <c r="E150" t="s">
        <v>478</v>
      </c>
      <c r="F150" s="177">
        <v>37196</v>
      </c>
      <c r="G150" s="177"/>
      <c r="H150" s="177"/>
      <c r="I150" s="177" t="s">
        <v>576</v>
      </c>
      <c r="J150">
        <f t="shared" si="41"/>
        <v>356</v>
      </c>
      <c r="K150">
        <f t="shared" si="42"/>
        <v>441</v>
      </c>
      <c r="L150" s="67">
        <f t="shared" si="34"/>
        <v>2.2800000000000001E-2</v>
      </c>
      <c r="M150" s="127">
        <f t="shared" si="35"/>
        <v>8.1167999999999996</v>
      </c>
      <c r="N150" s="127">
        <f t="shared" si="27"/>
        <v>10.0548</v>
      </c>
      <c r="O150" s="127">
        <f t="shared" si="28"/>
        <v>309</v>
      </c>
      <c r="P150" s="127">
        <f t="shared" si="29"/>
        <v>383</v>
      </c>
      <c r="Q150" s="43" t="str">
        <f t="shared" si="36"/>
        <v>Y</v>
      </c>
      <c r="R150" s="43">
        <f t="shared" si="30"/>
        <v>309</v>
      </c>
      <c r="S150">
        <f t="shared" si="31"/>
        <v>132</v>
      </c>
      <c r="T150" s="18">
        <f t="shared" si="43"/>
        <v>74</v>
      </c>
      <c r="U150" s="151">
        <f t="shared" si="37"/>
        <v>10</v>
      </c>
      <c r="V150" s="151">
        <f t="shared" si="38"/>
        <v>31</v>
      </c>
      <c r="W150" s="151">
        <f t="shared" si="39"/>
        <v>13</v>
      </c>
      <c r="X150" s="151">
        <f t="shared" si="40"/>
        <v>4</v>
      </c>
      <c r="Y150" s="18">
        <f t="shared" si="32"/>
        <v>58</v>
      </c>
      <c r="AB150" s="168"/>
      <c r="AC150" s="168"/>
      <c r="AD150" t="e">
        <f t="shared" si="26"/>
        <v>#N/A</v>
      </c>
    </row>
    <row r="151" spans="1:30" x14ac:dyDescent="0.2">
      <c r="A151" s="183" t="s">
        <v>554</v>
      </c>
      <c r="B151" t="s">
        <v>386</v>
      </c>
      <c r="C151" t="s">
        <v>488</v>
      </c>
      <c r="D151">
        <v>3532301</v>
      </c>
      <c r="E151" t="s">
        <v>478</v>
      </c>
      <c r="F151" s="177">
        <v>37196</v>
      </c>
      <c r="G151" s="177"/>
      <c r="H151" s="177"/>
      <c r="I151" s="177" t="s">
        <v>576</v>
      </c>
      <c r="J151">
        <f t="shared" si="41"/>
        <v>906</v>
      </c>
      <c r="K151">
        <f t="shared" si="42"/>
        <v>1123</v>
      </c>
      <c r="L151" s="67">
        <f t="shared" si="34"/>
        <v>2.2800000000000001E-2</v>
      </c>
      <c r="M151" s="127">
        <f t="shared" si="35"/>
        <v>20.6568</v>
      </c>
      <c r="N151" s="127">
        <f t="shared" si="27"/>
        <v>25.604400000000002</v>
      </c>
      <c r="O151" s="127">
        <f t="shared" si="28"/>
        <v>786</v>
      </c>
      <c r="P151" s="127">
        <f t="shared" si="29"/>
        <v>974</v>
      </c>
      <c r="Q151" s="43" t="str">
        <f t="shared" si="36"/>
        <v>Y</v>
      </c>
      <c r="R151" s="43">
        <f t="shared" si="30"/>
        <v>786</v>
      </c>
      <c r="S151">
        <f t="shared" si="31"/>
        <v>337</v>
      </c>
      <c r="T151" s="18">
        <f t="shared" si="43"/>
        <v>188</v>
      </c>
      <c r="U151" s="151">
        <f t="shared" si="37"/>
        <v>26</v>
      </c>
      <c r="V151" s="151">
        <f t="shared" si="38"/>
        <v>79</v>
      </c>
      <c r="W151" s="151">
        <f t="shared" si="39"/>
        <v>34</v>
      </c>
      <c r="X151" s="151">
        <f t="shared" si="40"/>
        <v>10</v>
      </c>
      <c r="Y151" s="18">
        <f t="shared" si="32"/>
        <v>149</v>
      </c>
      <c r="AB151" s="168"/>
      <c r="AC151" s="168"/>
      <c r="AD151" t="e">
        <f t="shared" si="26"/>
        <v>#N/A</v>
      </c>
    </row>
    <row r="152" spans="1:30" x14ac:dyDescent="0.2">
      <c r="A152" s="183" t="s">
        <v>554</v>
      </c>
      <c r="B152" t="s">
        <v>386</v>
      </c>
      <c r="C152" t="s">
        <v>399</v>
      </c>
      <c r="D152">
        <v>3533901</v>
      </c>
      <c r="E152" t="s">
        <v>121</v>
      </c>
      <c r="F152" s="177">
        <v>37196</v>
      </c>
      <c r="G152" s="177"/>
      <c r="H152" s="177"/>
      <c r="I152" s="177" t="s">
        <v>576</v>
      </c>
      <c r="J152">
        <f t="shared" si="41"/>
        <v>164</v>
      </c>
      <c r="K152">
        <f t="shared" si="42"/>
        <v>208</v>
      </c>
      <c r="L152" s="67">
        <f t="shared" si="34"/>
        <v>2.2800000000000001E-2</v>
      </c>
      <c r="M152" s="127">
        <f t="shared" si="35"/>
        <v>3.7392000000000003</v>
      </c>
      <c r="N152" s="127">
        <f t="shared" si="27"/>
        <v>4.7423999999999999</v>
      </c>
      <c r="O152" s="127">
        <f t="shared" si="28"/>
        <v>142</v>
      </c>
      <c r="P152" s="127">
        <f t="shared" si="29"/>
        <v>180</v>
      </c>
      <c r="Q152" s="43" t="str">
        <f t="shared" si="36"/>
        <v>Y</v>
      </c>
      <c r="R152" s="43">
        <f t="shared" si="30"/>
        <v>142</v>
      </c>
      <c r="S152">
        <f t="shared" si="31"/>
        <v>66</v>
      </c>
      <c r="T152" s="18">
        <f t="shared" si="43"/>
        <v>38</v>
      </c>
      <c r="U152" s="151">
        <f t="shared" si="37"/>
        <v>5</v>
      </c>
      <c r="V152" s="151">
        <f t="shared" si="38"/>
        <v>15</v>
      </c>
      <c r="W152" s="151">
        <f t="shared" si="39"/>
        <v>6</v>
      </c>
      <c r="X152" s="151">
        <f t="shared" si="40"/>
        <v>2</v>
      </c>
      <c r="Y152" s="18">
        <f t="shared" si="32"/>
        <v>28</v>
      </c>
      <c r="AB152" s="168"/>
      <c r="AC152" s="168"/>
      <c r="AD152" t="e">
        <f t="shared" si="26"/>
        <v>#N/A</v>
      </c>
    </row>
    <row r="153" spans="1:30" x14ac:dyDescent="0.2">
      <c r="A153" s="183" t="s">
        <v>554</v>
      </c>
      <c r="B153" t="s">
        <v>386</v>
      </c>
      <c r="C153" t="s">
        <v>489</v>
      </c>
      <c r="D153">
        <v>3539901</v>
      </c>
      <c r="E153" t="s">
        <v>457</v>
      </c>
      <c r="F153" s="177">
        <v>37196</v>
      </c>
      <c r="G153" s="177"/>
      <c r="H153" s="177"/>
      <c r="I153" s="177" t="s">
        <v>576</v>
      </c>
      <c r="J153">
        <f t="shared" si="41"/>
        <v>0</v>
      </c>
      <c r="K153">
        <f t="shared" si="42"/>
        <v>0</v>
      </c>
      <c r="L153" s="67">
        <f t="shared" si="34"/>
        <v>2.2800000000000001E-2</v>
      </c>
      <c r="M153" s="127">
        <f t="shared" si="35"/>
        <v>0</v>
      </c>
      <c r="N153" s="127">
        <f t="shared" si="27"/>
        <v>0</v>
      </c>
      <c r="O153" s="127">
        <f t="shared" si="28"/>
        <v>0</v>
      </c>
      <c r="P153" s="127">
        <f t="shared" si="29"/>
        <v>0</v>
      </c>
      <c r="Q153" s="43" t="str">
        <f t="shared" si="36"/>
        <v>Y</v>
      </c>
      <c r="R153" s="43">
        <f t="shared" si="30"/>
        <v>0</v>
      </c>
      <c r="S153">
        <f t="shared" si="31"/>
        <v>0</v>
      </c>
      <c r="T153" s="18">
        <f t="shared" si="43"/>
        <v>0</v>
      </c>
      <c r="U153" s="151">
        <f t="shared" si="37"/>
        <v>0</v>
      </c>
      <c r="V153" s="151">
        <f t="shared" si="38"/>
        <v>0</v>
      </c>
      <c r="W153" s="151">
        <f t="shared" si="39"/>
        <v>0</v>
      </c>
      <c r="X153" s="151">
        <f t="shared" si="40"/>
        <v>0</v>
      </c>
      <c r="Y153" s="18">
        <f t="shared" si="32"/>
        <v>0</v>
      </c>
      <c r="AB153" s="168"/>
      <c r="AC153" s="168"/>
      <c r="AD153" t="e">
        <f t="shared" si="26"/>
        <v>#N/A</v>
      </c>
    </row>
    <row r="154" spans="1:30" x14ac:dyDescent="0.2">
      <c r="A154" s="183" t="s">
        <v>554</v>
      </c>
      <c r="B154" t="s">
        <v>386</v>
      </c>
      <c r="C154" t="s">
        <v>490</v>
      </c>
      <c r="D154">
        <v>3540501</v>
      </c>
      <c r="E154" t="s">
        <v>478</v>
      </c>
      <c r="F154" s="177">
        <v>37196</v>
      </c>
      <c r="G154" s="177"/>
      <c r="H154" s="177"/>
      <c r="I154" s="177" t="s">
        <v>576</v>
      </c>
      <c r="J154">
        <f t="shared" si="41"/>
        <v>2096</v>
      </c>
      <c r="K154">
        <f t="shared" si="42"/>
        <v>2574</v>
      </c>
      <c r="L154" s="67">
        <f t="shared" si="34"/>
        <v>2.2800000000000001E-2</v>
      </c>
      <c r="M154" s="127">
        <f t="shared" si="35"/>
        <v>47.788800000000002</v>
      </c>
      <c r="N154" s="127">
        <f t="shared" si="27"/>
        <v>58.687200000000004</v>
      </c>
      <c r="O154" s="127">
        <f t="shared" si="28"/>
        <v>1818</v>
      </c>
      <c r="P154" s="127">
        <f t="shared" si="29"/>
        <v>2233</v>
      </c>
      <c r="Q154" s="43" t="str">
        <f t="shared" si="36"/>
        <v>Y</v>
      </c>
      <c r="R154" s="43">
        <f t="shared" si="30"/>
        <v>1818</v>
      </c>
      <c r="S154">
        <f t="shared" si="31"/>
        <v>756</v>
      </c>
      <c r="T154" s="18">
        <f t="shared" si="43"/>
        <v>415</v>
      </c>
      <c r="U154" s="151">
        <f t="shared" si="37"/>
        <v>59</v>
      </c>
      <c r="V154" s="151">
        <f t="shared" si="38"/>
        <v>182</v>
      </c>
      <c r="W154" s="151">
        <f t="shared" si="39"/>
        <v>77</v>
      </c>
      <c r="X154" s="151">
        <f t="shared" si="40"/>
        <v>23</v>
      </c>
      <c r="Y154" s="18">
        <f t="shared" si="32"/>
        <v>341</v>
      </c>
      <c r="AB154" s="168"/>
      <c r="AC154" s="168"/>
      <c r="AD154" t="e">
        <f t="shared" si="26"/>
        <v>#N/A</v>
      </c>
    </row>
    <row r="155" spans="1:30" x14ac:dyDescent="0.2">
      <c r="A155" s="183" t="s">
        <v>554</v>
      </c>
      <c r="B155" t="s">
        <v>386</v>
      </c>
      <c r="C155" t="s">
        <v>266</v>
      </c>
      <c r="D155">
        <v>3541601</v>
      </c>
      <c r="E155" t="s">
        <v>130</v>
      </c>
      <c r="F155" s="177">
        <v>37196</v>
      </c>
      <c r="G155" s="177"/>
      <c r="H155" s="177"/>
      <c r="I155" s="177" t="s">
        <v>576</v>
      </c>
      <c r="J155">
        <f t="shared" si="41"/>
        <v>52</v>
      </c>
      <c r="K155">
        <f t="shared" si="42"/>
        <v>61</v>
      </c>
      <c r="L155" s="67">
        <f t="shared" si="34"/>
        <v>2.2800000000000001E-2</v>
      </c>
      <c r="M155" s="127">
        <f t="shared" si="35"/>
        <v>1.1856</v>
      </c>
      <c r="N155" s="127">
        <f t="shared" si="27"/>
        <v>1.3908</v>
      </c>
      <c r="O155" s="127">
        <f t="shared" si="28"/>
        <v>45</v>
      </c>
      <c r="P155" s="127">
        <f t="shared" si="29"/>
        <v>53</v>
      </c>
      <c r="Q155" s="43" t="str">
        <f t="shared" si="36"/>
        <v>Y</v>
      </c>
      <c r="R155" s="43">
        <f t="shared" si="30"/>
        <v>45</v>
      </c>
      <c r="S155">
        <f t="shared" si="31"/>
        <v>16</v>
      </c>
      <c r="T155" s="18">
        <f t="shared" si="43"/>
        <v>8</v>
      </c>
      <c r="U155" s="151">
        <f t="shared" si="37"/>
        <v>1</v>
      </c>
      <c r="V155" s="151">
        <f t="shared" si="38"/>
        <v>4</v>
      </c>
      <c r="W155" s="151">
        <f t="shared" si="39"/>
        <v>2</v>
      </c>
      <c r="X155" s="151">
        <f t="shared" si="40"/>
        <v>1</v>
      </c>
      <c r="Y155" s="18">
        <f t="shared" si="32"/>
        <v>8</v>
      </c>
      <c r="AB155" s="168"/>
      <c r="AC155" s="168"/>
      <c r="AD155" t="e">
        <f t="shared" si="26"/>
        <v>#N/A</v>
      </c>
    </row>
    <row r="156" spans="1:30" x14ac:dyDescent="0.2">
      <c r="A156" s="183" t="s">
        <v>554</v>
      </c>
      <c r="B156" t="s">
        <v>386</v>
      </c>
      <c r="C156" t="s">
        <v>491</v>
      </c>
      <c r="D156">
        <v>3542401</v>
      </c>
      <c r="E156" t="s">
        <v>478</v>
      </c>
      <c r="F156" s="177">
        <v>37196</v>
      </c>
      <c r="G156" s="177"/>
      <c r="H156" s="177"/>
      <c r="I156" s="177" t="s">
        <v>576</v>
      </c>
      <c r="J156">
        <f t="shared" si="41"/>
        <v>328</v>
      </c>
      <c r="K156">
        <f t="shared" si="42"/>
        <v>395</v>
      </c>
      <c r="L156" s="67">
        <f t="shared" si="34"/>
        <v>2.2800000000000001E-2</v>
      </c>
      <c r="M156" s="127">
        <f t="shared" si="35"/>
        <v>7.4784000000000006</v>
      </c>
      <c r="N156" s="127">
        <f t="shared" si="27"/>
        <v>9.0060000000000002</v>
      </c>
      <c r="O156" s="127">
        <f t="shared" si="28"/>
        <v>285</v>
      </c>
      <c r="P156" s="127">
        <f t="shared" si="29"/>
        <v>343</v>
      </c>
      <c r="Q156" s="43" t="str">
        <f t="shared" si="36"/>
        <v>Y</v>
      </c>
      <c r="R156" s="43">
        <f t="shared" si="30"/>
        <v>285</v>
      </c>
      <c r="S156">
        <f t="shared" si="31"/>
        <v>110</v>
      </c>
      <c r="T156" s="18">
        <f t="shared" si="43"/>
        <v>58</v>
      </c>
      <c r="U156" s="151">
        <f t="shared" si="37"/>
        <v>9</v>
      </c>
      <c r="V156" s="151">
        <f t="shared" si="38"/>
        <v>28</v>
      </c>
      <c r="W156" s="151">
        <f t="shared" si="39"/>
        <v>12</v>
      </c>
      <c r="X156" s="151">
        <f t="shared" si="40"/>
        <v>4</v>
      </c>
      <c r="Y156" s="18">
        <f t="shared" si="32"/>
        <v>53</v>
      </c>
      <c r="AB156" s="168"/>
      <c r="AC156" s="168"/>
      <c r="AD156" t="e">
        <f t="shared" si="26"/>
        <v>#N/A</v>
      </c>
    </row>
    <row r="157" spans="1:30" x14ac:dyDescent="0.2">
      <c r="A157" s="183" t="s">
        <v>554</v>
      </c>
      <c r="B157" t="s">
        <v>386</v>
      </c>
      <c r="C157" t="s">
        <v>492</v>
      </c>
      <c r="D157">
        <v>3543801</v>
      </c>
      <c r="E157" t="s">
        <v>493</v>
      </c>
      <c r="F157" s="177">
        <v>37196</v>
      </c>
      <c r="G157" s="177"/>
      <c r="H157" s="177"/>
      <c r="I157" s="177" t="s">
        <v>576</v>
      </c>
      <c r="J157">
        <f t="shared" si="41"/>
        <v>130</v>
      </c>
      <c r="K157">
        <f t="shared" si="42"/>
        <v>159</v>
      </c>
      <c r="L157" s="67">
        <f t="shared" si="34"/>
        <v>2.2800000000000001E-2</v>
      </c>
      <c r="M157" s="127">
        <f t="shared" si="35"/>
        <v>2.964</v>
      </c>
      <c r="N157" s="127">
        <f t="shared" si="27"/>
        <v>3.6252</v>
      </c>
      <c r="O157" s="127">
        <f t="shared" si="28"/>
        <v>113</v>
      </c>
      <c r="P157" s="127">
        <f t="shared" si="29"/>
        <v>138</v>
      </c>
      <c r="Q157" s="43" t="str">
        <f t="shared" si="36"/>
        <v>Y</v>
      </c>
      <c r="R157" s="43">
        <f t="shared" si="30"/>
        <v>113</v>
      </c>
      <c r="S157">
        <f t="shared" si="31"/>
        <v>46</v>
      </c>
      <c r="T157" s="18">
        <f t="shared" si="43"/>
        <v>25</v>
      </c>
      <c r="U157" s="151">
        <f t="shared" si="37"/>
        <v>4</v>
      </c>
      <c r="V157" s="151">
        <f t="shared" si="38"/>
        <v>11</v>
      </c>
      <c r="W157" s="151">
        <f t="shared" si="39"/>
        <v>5</v>
      </c>
      <c r="X157" s="151">
        <f t="shared" si="40"/>
        <v>1</v>
      </c>
      <c r="Y157" s="18">
        <f t="shared" si="32"/>
        <v>21</v>
      </c>
      <c r="AB157" s="168"/>
      <c r="AC157" s="168"/>
      <c r="AD157" t="e">
        <f t="shared" si="26"/>
        <v>#N/A</v>
      </c>
    </row>
    <row r="158" spans="1:30" x14ac:dyDescent="0.2">
      <c r="A158" s="183" t="s">
        <v>554</v>
      </c>
      <c r="B158" t="s">
        <v>386</v>
      </c>
      <c r="C158" t="s">
        <v>165</v>
      </c>
      <c r="D158">
        <v>3549301</v>
      </c>
      <c r="E158" t="s">
        <v>166</v>
      </c>
      <c r="F158" s="177">
        <v>37196</v>
      </c>
      <c r="G158" s="177"/>
      <c r="H158" s="177"/>
      <c r="I158" s="177" t="s">
        <v>576</v>
      </c>
      <c r="J158">
        <f t="shared" si="41"/>
        <v>68</v>
      </c>
      <c r="K158">
        <f t="shared" si="42"/>
        <v>88</v>
      </c>
      <c r="L158" s="67">
        <f t="shared" si="34"/>
        <v>2.2800000000000001E-2</v>
      </c>
      <c r="M158" s="127">
        <f t="shared" si="35"/>
        <v>1.5504</v>
      </c>
      <c r="N158" s="127">
        <f t="shared" si="27"/>
        <v>2.0064000000000002</v>
      </c>
      <c r="O158" s="127">
        <f t="shared" si="28"/>
        <v>59</v>
      </c>
      <c r="P158" s="127">
        <f t="shared" si="29"/>
        <v>76</v>
      </c>
      <c r="Q158" s="43" t="str">
        <f t="shared" si="36"/>
        <v>Y</v>
      </c>
      <c r="R158" s="43">
        <f t="shared" si="30"/>
        <v>59</v>
      </c>
      <c r="S158">
        <f t="shared" si="31"/>
        <v>29</v>
      </c>
      <c r="T158" s="18">
        <f t="shared" si="43"/>
        <v>17</v>
      </c>
      <c r="U158" s="151">
        <f t="shared" si="37"/>
        <v>2</v>
      </c>
      <c r="V158" s="151">
        <f t="shared" si="38"/>
        <v>6</v>
      </c>
      <c r="W158" s="151">
        <f t="shared" si="39"/>
        <v>3</v>
      </c>
      <c r="X158" s="151">
        <f t="shared" si="40"/>
        <v>1</v>
      </c>
      <c r="Y158" s="18">
        <f t="shared" si="32"/>
        <v>12</v>
      </c>
      <c r="AB158" s="168"/>
      <c r="AC158" s="168"/>
      <c r="AD158" t="e">
        <f t="shared" si="26"/>
        <v>#N/A</v>
      </c>
    </row>
    <row r="159" spans="1:30" x14ac:dyDescent="0.2">
      <c r="A159" s="183" t="s">
        <v>554</v>
      </c>
      <c r="B159" t="s">
        <v>386</v>
      </c>
      <c r="C159" t="s">
        <v>494</v>
      </c>
      <c r="D159">
        <v>3549701</v>
      </c>
      <c r="E159" t="s">
        <v>420</v>
      </c>
      <c r="F159" s="177">
        <v>37196</v>
      </c>
      <c r="G159" s="177"/>
      <c r="H159" s="177"/>
      <c r="I159" s="177" t="s">
        <v>576</v>
      </c>
      <c r="J159">
        <f t="shared" si="41"/>
        <v>199</v>
      </c>
      <c r="K159">
        <f t="shared" si="42"/>
        <v>217</v>
      </c>
      <c r="L159" s="67">
        <f t="shared" si="34"/>
        <v>2.2800000000000001E-2</v>
      </c>
      <c r="M159" s="127">
        <f t="shared" si="35"/>
        <v>4.5372000000000003</v>
      </c>
      <c r="N159" s="127">
        <f t="shared" si="27"/>
        <v>4.9476000000000004</v>
      </c>
      <c r="O159" s="127">
        <f t="shared" si="28"/>
        <v>173</v>
      </c>
      <c r="P159" s="127">
        <f t="shared" si="29"/>
        <v>188</v>
      </c>
      <c r="Q159" s="43" t="str">
        <f t="shared" si="36"/>
        <v>Y</v>
      </c>
      <c r="R159" s="43">
        <f t="shared" si="30"/>
        <v>173</v>
      </c>
      <c r="S159">
        <f t="shared" si="31"/>
        <v>44</v>
      </c>
      <c r="T159" s="18">
        <f t="shared" si="43"/>
        <v>15</v>
      </c>
      <c r="U159" s="151">
        <f t="shared" si="37"/>
        <v>5</v>
      </c>
      <c r="V159" s="151">
        <f t="shared" si="38"/>
        <v>15</v>
      </c>
      <c r="W159" s="151">
        <f t="shared" si="39"/>
        <v>7</v>
      </c>
      <c r="X159" s="151">
        <f t="shared" si="40"/>
        <v>2</v>
      </c>
      <c r="Y159" s="18">
        <f t="shared" si="32"/>
        <v>29</v>
      </c>
      <c r="AB159" s="168"/>
      <c r="AC159" s="168"/>
      <c r="AD159" t="e">
        <f t="shared" si="26"/>
        <v>#N/A</v>
      </c>
    </row>
    <row r="160" spans="1:30" x14ac:dyDescent="0.2">
      <c r="A160" s="183" t="s">
        <v>554</v>
      </c>
      <c r="B160" t="s">
        <v>386</v>
      </c>
      <c r="C160" t="s">
        <v>237</v>
      </c>
      <c r="D160">
        <v>3551401</v>
      </c>
      <c r="E160" t="s">
        <v>175</v>
      </c>
      <c r="F160" s="177">
        <v>37196</v>
      </c>
      <c r="G160" s="177"/>
      <c r="H160" s="177"/>
      <c r="I160" s="177" t="s">
        <v>576</v>
      </c>
      <c r="J160">
        <f t="shared" si="41"/>
        <v>78</v>
      </c>
      <c r="K160">
        <f t="shared" si="42"/>
        <v>101</v>
      </c>
      <c r="L160" s="67">
        <f t="shared" si="34"/>
        <v>2.2800000000000001E-2</v>
      </c>
      <c r="M160" s="127">
        <f t="shared" si="35"/>
        <v>1.7784</v>
      </c>
      <c r="N160" s="127">
        <f t="shared" si="27"/>
        <v>2.3028</v>
      </c>
      <c r="O160" s="127">
        <f t="shared" si="28"/>
        <v>68</v>
      </c>
      <c r="P160" s="127">
        <f t="shared" si="29"/>
        <v>88</v>
      </c>
      <c r="Q160" s="43" t="str">
        <f t="shared" si="36"/>
        <v>Y</v>
      </c>
      <c r="R160" s="43">
        <f t="shared" si="30"/>
        <v>68</v>
      </c>
      <c r="S160">
        <f t="shared" si="31"/>
        <v>33</v>
      </c>
      <c r="T160" s="18">
        <f t="shared" si="43"/>
        <v>20</v>
      </c>
      <c r="U160" s="151">
        <f t="shared" si="37"/>
        <v>2</v>
      </c>
      <c r="V160" s="151">
        <f t="shared" si="38"/>
        <v>7</v>
      </c>
      <c r="W160" s="151">
        <f t="shared" si="39"/>
        <v>3</v>
      </c>
      <c r="X160" s="151">
        <f t="shared" si="40"/>
        <v>1</v>
      </c>
      <c r="Y160" s="18">
        <f t="shared" si="32"/>
        <v>13</v>
      </c>
      <c r="AB160" s="168"/>
      <c r="AC160" s="168"/>
      <c r="AD160" t="e">
        <f t="shared" si="26"/>
        <v>#N/A</v>
      </c>
    </row>
    <row r="161" spans="1:30" s="20" customFormat="1" x14ac:dyDescent="0.2">
      <c r="A161" s="183" t="s">
        <v>554</v>
      </c>
      <c r="B161" t="s">
        <v>386</v>
      </c>
      <c r="C161" t="s">
        <v>495</v>
      </c>
      <c r="D161">
        <v>3552201</v>
      </c>
      <c r="E161" t="s">
        <v>420</v>
      </c>
      <c r="F161" s="177">
        <v>37196</v>
      </c>
      <c r="G161" s="177"/>
      <c r="H161" s="177"/>
      <c r="I161" s="177" t="s">
        <v>576</v>
      </c>
      <c r="J161">
        <f t="shared" si="41"/>
        <v>4</v>
      </c>
      <c r="K161">
        <f t="shared" si="42"/>
        <v>4</v>
      </c>
      <c r="L161" s="60">
        <f t="shared" si="34"/>
        <v>2.2800000000000001E-2</v>
      </c>
      <c r="M161" s="178">
        <f t="shared" si="35"/>
        <v>9.1200000000000003E-2</v>
      </c>
      <c r="N161" s="178">
        <f t="shared" si="27"/>
        <v>9.1200000000000003E-2</v>
      </c>
      <c r="O161" s="178">
        <f t="shared" si="28"/>
        <v>3</v>
      </c>
      <c r="P161" s="127">
        <f t="shared" si="29"/>
        <v>3</v>
      </c>
      <c r="Q161" s="143" t="str">
        <f t="shared" si="36"/>
        <v>Y</v>
      </c>
      <c r="R161" s="143">
        <f t="shared" si="30"/>
        <v>3</v>
      </c>
      <c r="S161" s="20">
        <f t="shared" si="31"/>
        <v>1</v>
      </c>
      <c r="T161" s="18">
        <f t="shared" si="43"/>
        <v>0</v>
      </c>
      <c r="U161" s="178">
        <f t="shared" si="37"/>
        <v>0</v>
      </c>
      <c r="V161" s="178">
        <f t="shared" si="38"/>
        <v>0</v>
      </c>
      <c r="W161" s="178">
        <f t="shared" si="39"/>
        <v>0</v>
      </c>
      <c r="X161" s="178">
        <f t="shared" si="40"/>
        <v>0</v>
      </c>
      <c r="Y161" s="179">
        <f t="shared" si="32"/>
        <v>0</v>
      </c>
      <c r="AB161" s="180"/>
      <c r="AC161" s="180"/>
      <c r="AD161" s="20" t="e">
        <f t="shared" si="26"/>
        <v>#N/A</v>
      </c>
    </row>
    <row r="162" spans="1:30" x14ac:dyDescent="0.2">
      <c r="A162" s="183" t="s">
        <v>554</v>
      </c>
      <c r="B162" t="s">
        <v>386</v>
      </c>
      <c r="C162" t="s">
        <v>167</v>
      </c>
      <c r="D162">
        <v>3552801</v>
      </c>
      <c r="E162" t="s">
        <v>168</v>
      </c>
      <c r="F162" s="177">
        <v>37196</v>
      </c>
      <c r="G162" s="177"/>
      <c r="H162" s="177"/>
      <c r="I162" s="177" t="s">
        <v>576</v>
      </c>
      <c r="J162">
        <f t="shared" si="41"/>
        <v>0</v>
      </c>
      <c r="K162">
        <f t="shared" si="42"/>
        <v>0</v>
      </c>
      <c r="L162" s="67">
        <f t="shared" si="34"/>
        <v>2.2800000000000001E-2</v>
      </c>
      <c r="M162" s="127">
        <f t="shared" si="35"/>
        <v>0</v>
      </c>
      <c r="N162" s="127">
        <f t="shared" si="27"/>
        <v>0</v>
      </c>
      <c r="O162" s="127">
        <f t="shared" si="28"/>
        <v>0</v>
      </c>
      <c r="P162" s="127">
        <f t="shared" si="29"/>
        <v>0</v>
      </c>
      <c r="Q162" s="43" t="str">
        <f t="shared" si="36"/>
        <v>Y</v>
      </c>
      <c r="R162" s="43">
        <f t="shared" si="30"/>
        <v>0</v>
      </c>
      <c r="S162">
        <f t="shared" si="31"/>
        <v>0</v>
      </c>
      <c r="T162" s="18">
        <f t="shared" si="43"/>
        <v>0</v>
      </c>
      <c r="U162" s="151">
        <f t="shared" si="37"/>
        <v>0</v>
      </c>
      <c r="V162" s="151">
        <f t="shared" si="38"/>
        <v>0</v>
      </c>
      <c r="W162" s="151">
        <f t="shared" si="39"/>
        <v>0</v>
      </c>
      <c r="X162" s="151">
        <f t="shared" si="40"/>
        <v>0</v>
      </c>
      <c r="Y162" s="18">
        <f>SUM(U162:X162)</f>
        <v>0</v>
      </c>
      <c r="AB162" s="168"/>
      <c r="AC162" s="168"/>
      <c r="AD162" t="e">
        <f t="shared" ref="AD162:AD224" si="44">VLOOKUP(AB162,INCNG,3,FALSE)</f>
        <v>#N/A</v>
      </c>
    </row>
    <row r="163" spans="1:30" x14ac:dyDescent="0.2">
      <c r="A163" s="183" t="s">
        <v>554</v>
      </c>
      <c r="B163" t="s">
        <v>386</v>
      </c>
      <c r="C163" t="s">
        <v>169</v>
      </c>
      <c r="D163">
        <v>3553701</v>
      </c>
      <c r="E163" t="s">
        <v>164</v>
      </c>
      <c r="F163" s="177">
        <v>37196</v>
      </c>
      <c r="G163" s="177"/>
      <c r="H163" s="177"/>
      <c r="I163" s="177" t="s">
        <v>576</v>
      </c>
      <c r="J163">
        <f t="shared" si="41"/>
        <v>0</v>
      </c>
      <c r="K163">
        <f t="shared" si="42"/>
        <v>0</v>
      </c>
      <c r="L163" s="67">
        <f t="shared" si="34"/>
        <v>2.2800000000000001E-2</v>
      </c>
      <c r="M163" s="127">
        <f t="shared" si="35"/>
        <v>0</v>
      </c>
      <c r="N163" s="127">
        <f t="shared" si="27"/>
        <v>0</v>
      </c>
      <c r="O163" s="127">
        <f t="shared" si="28"/>
        <v>0</v>
      </c>
      <c r="P163" s="127">
        <f t="shared" si="29"/>
        <v>0</v>
      </c>
      <c r="Q163" s="43" t="str">
        <f t="shared" si="36"/>
        <v>Y</v>
      </c>
      <c r="R163" s="43">
        <f t="shared" si="30"/>
        <v>0</v>
      </c>
      <c r="S163">
        <f t="shared" si="31"/>
        <v>0</v>
      </c>
      <c r="T163" s="18">
        <f t="shared" si="43"/>
        <v>0</v>
      </c>
      <c r="U163" s="151">
        <f t="shared" si="37"/>
        <v>0</v>
      </c>
      <c r="V163" s="151">
        <f t="shared" si="38"/>
        <v>0</v>
      </c>
      <c r="W163" s="151">
        <f t="shared" si="39"/>
        <v>0</v>
      </c>
      <c r="X163" s="151">
        <f t="shared" si="40"/>
        <v>0</v>
      </c>
      <c r="Y163" s="18">
        <f t="shared" ref="Y163:Y225" si="45">SUM(U163:X163)</f>
        <v>0</v>
      </c>
      <c r="AB163" s="168"/>
      <c r="AC163" s="168"/>
      <c r="AD163" t="e">
        <f t="shared" si="44"/>
        <v>#N/A</v>
      </c>
    </row>
    <row r="164" spans="1:30" x14ac:dyDescent="0.2">
      <c r="A164" s="183" t="s">
        <v>554</v>
      </c>
      <c r="B164" t="s">
        <v>386</v>
      </c>
      <c r="C164" t="s">
        <v>496</v>
      </c>
      <c r="D164">
        <v>3557101</v>
      </c>
      <c r="E164" t="s">
        <v>420</v>
      </c>
      <c r="F164" s="177">
        <v>37196</v>
      </c>
      <c r="G164" s="177"/>
      <c r="H164" s="177"/>
      <c r="I164" s="177" t="s">
        <v>576</v>
      </c>
      <c r="J164">
        <f t="shared" si="41"/>
        <v>0</v>
      </c>
      <c r="K164">
        <f t="shared" si="42"/>
        <v>0</v>
      </c>
      <c r="L164" s="67">
        <f t="shared" si="34"/>
        <v>2.2800000000000001E-2</v>
      </c>
      <c r="M164" s="127">
        <f t="shared" si="35"/>
        <v>0</v>
      </c>
      <c r="N164" s="127">
        <f t="shared" si="27"/>
        <v>0</v>
      </c>
      <c r="O164" s="127">
        <f t="shared" si="28"/>
        <v>0</v>
      </c>
      <c r="P164" s="127">
        <f t="shared" si="29"/>
        <v>0</v>
      </c>
      <c r="Q164" s="43" t="str">
        <f t="shared" si="36"/>
        <v>Y</v>
      </c>
      <c r="R164" s="43">
        <f t="shared" si="30"/>
        <v>0</v>
      </c>
      <c r="S164">
        <f t="shared" si="31"/>
        <v>0</v>
      </c>
      <c r="T164" s="18">
        <f t="shared" si="43"/>
        <v>0</v>
      </c>
      <c r="U164" s="151">
        <f t="shared" si="37"/>
        <v>0</v>
      </c>
      <c r="V164" s="151">
        <f t="shared" si="38"/>
        <v>0</v>
      </c>
      <c r="W164" s="151">
        <f t="shared" si="39"/>
        <v>0</v>
      </c>
      <c r="X164" s="151">
        <f t="shared" si="40"/>
        <v>0</v>
      </c>
      <c r="Y164" s="18">
        <f t="shared" si="45"/>
        <v>0</v>
      </c>
      <c r="AB164" s="168"/>
      <c r="AC164" s="168"/>
      <c r="AD164" t="e">
        <f t="shared" si="44"/>
        <v>#N/A</v>
      </c>
    </row>
    <row r="165" spans="1:30" x14ac:dyDescent="0.2">
      <c r="A165" s="183" t="s">
        <v>554</v>
      </c>
      <c r="B165" t="s">
        <v>388</v>
      </c>
      <c r="C165" t="s">
        <v>114</v>
      </c>
      <c r="D165">
        <v>3557501</v>
      </c>
      <c r="E165" t="s">
        <v>574</v>
      </c>
      <c r="F165" s="177">
        <v>37196</v>
      </c>
      <c r="G165" s="177"/>
      <c r="H165" s="177"/>
      <c r="I165" s="177" t="s">
        <v>575</v>
      </c>
      <c r="J165">
        <f t="shared" si="41"/>
        <v>117</v>
      </c>
      <c r="K165">
        <f t="shared" si="42"/>
        <v>128</v>
      </c>
      <c r="L165" s="67">
        <f t="shared" si="34"/>
        <v>2.2800000000000001E-2</v>
      </c>
      <c r="M165" s="127">
        <f t="shared" si="35"/>
        <v>2.6676000000000002</v>
      </c>
      <c r="N165" s="127">
        <f t="shared" ref="N165:N227" si="46">IF(OR(I165="TD",I165="TW"),0,K165*0.0228)</f>
        <v>2.9184000000000001</v>
      </c>
      <c r="O165" s="127">
        <f t="shared" ref="O165:O175" si="47">J165-ROUND(+$J165*(VLOOKUP($I165,cngded,6,FALSE)),0)</f>
        <v>106</v>
      </c>
      <c r="P165" s="127">
        <f t="shared" ref="P165:P228" si="48">K165-ROUND(+$K165*(VLOOKUP($I165,cngded,6,FALSE)),0)</f>
        <v>116</v>
      </c>
      <c r="Q165" s="43" t="str">
        <f t="shared" si="36"/>
        <v>Y</v>
      </c>
      <c r="R165" s="43">
        <f t="shared" ref="R165:R184" si="49">IF(ISNA(VLOOKUP(C165,INCNG,10,FALSE)),0,VLOOKUP(C165,INCNG,10,FALSE))</f>
        <v>106</v>
      </c>
      <c r="S165">
        <f t="shared" ref="S165:S227" si="50">+K165-R165</f>
        <v>22</v>
      </c>
      <c r="T165" s="18">
        <f t="shared" si="43"/>
        <v>10</v>
      </c>
      <c r="U165" s="151">
        <f t="shared" si="37"/>
        <v>3</v>
      </c>
      <c r="V165" s="151">
        <f t="shared" si="38"/>
        <v>9</v>
      </c>
      <c r="W165" s="151">
        <f t="shared" si="39"/>
        <v>0</v>
      </c>
      <c r="X165" s="151">
        <f t="shared" si="40"/>
        <v>0</v>
      </c>
      <c r="Y165" s="18">
        <f t="shared" si="45"/>
        <v>12</v>
      </c>
      <c r="AB165" s="168"/>
      <c r="AC165" s="168"/>
      <c r="AD165" t="e">
        <f t="shared" si="44"/>
        <v>#N/A</v>
      </c>
    </row>
    <row r="166" spans="1:30" x14ac:dyDescent="0.2">
      <c r="A166" s="183" t="s">
        <v>554</v>
      </c>
      <c r="B166" t="s">
        <v>386</v>
      </c>
      <c r="C166" t="s">
        <v>170</v>
      </c>
      <c r="D166">
        <v>3558301</v>
      </c>
      <c r="E166" t="s">
        <v>164</v>
      </c>
      <c r="F166" s="177">
        <v>37196</v>
      </c>
      <c r="G166" s="177"/>
      <c r="H166" s="177"/>
      <c r="I166" s="177" t="s">
        <v>576</v>
      </c>
      <c r="J166">
        <f t="shared" si="41"/>
        <v>258</v>
      </c>
      <c r="K166">
        <f t="shared" si="42"/>
        <v>286</v>
      </c>
      <c r="L166" s="67">
        <f t="shared" ref="L166:L228" si="51">VLOOKUP(I166,Retention,2,FALSE)</f>
        <v>2.2800000000000001E-2</v>
      </c>
      <c r="M166" s="127">
        <f t="shared" ref="M166:M228" si="52">IF(OR(I166="TD",I166="TW"),0,J166*0.0228)</f>
        <v>5.8824000000000005</v>
      </c>
      <c r="N166" s="127">
        <f t="shared" si="46"/>
        <v>6.5208000000000004</v>
      </c>
      <c r="O166" s="127">
        <f t="shared" si="47"/>
        <v>224</v>
      </c>
      <c r="P166" s="127">
        <f t="shared" si="48"/>
        <v>248</v>
      </c>
      <c r="Q166" s="43" t="str">
        <f t="shared" ref="Q166:Q184" si="53">IF(ISNA(VLOOKUP(C166,INCNG,1,FALSE)),"--", "Y")</f>
        <v>Y</v>
      </c>
      <c r="R166" s="43">
        <f t="shared" si="49"/>
        <v>224</v>
      </c>
      <c r="S166">
        <f t="shared" si="50"/>
        <v>62</v>
      </c>
      <c r="T166" s="18">
        <f t="shared" si="43"/>
        <v>24</v>
      </c>
      <c r="U166" s="151">
        <f t="shared" ref="U166:U228" si="54">ROUND(+$K166*(VLOOKUP($I166,Retention,2,FALSE)),0)</f>
        <v>7</v>
      </c>
      <c r="V166" s="151">
        <f t="shared" ref="V166:V228" si="55">ROUND(+$K166*(VLOOKUP($I166,Retention,3,FALSE)),0)</f>
        <v>20</v>
      </c>
      <c r="W166" s="151">
        <f t="shared" ref="W166:W228" si="56">ROUND(+$K166*(VLOOKUP($I166,Retention,4,FALSE)),0)</f>
        <v>9</v>
      </c>
      <c r="X166" s="151">
        <f t="shared" ref="X166:X228" si="57">ROUND(+$K166*(VLOOKUP($I166,Retention,5,FALSE)),0)</f>
        <v>3</v>
      </c>
      <c r="Y166" s="18">
        <f t="shared" si="45"/>
        <v>39</v>
      </c>
      <c r="AB166" s="168"/>
      <c r="AC166" s="168"/>
      <c r="AD166" t="e">
        <f t="shared" si="44"/>
        <v>#N/A</v>
      </c>
    </row>
    <row r="167" spans="1:30" x14ac:dyDescent="0.2">
      <c r="A167" s="183" t="s">
        <v>554</v>
      </c>
      <c r="B167" t="s">
        <v>386</v>
      </c>
      <c r="C167" t="s">
        <v>295</v>
      </c>
      <c r="D167">
        <v>3562001</v>
      </c>
      <c r="E167" t="s">
        <v>175</v>
      </c>
      <c r="F167" s="177">
        <v>37196</v>
      </c>
      <c r="G167" s="177"/>
      <c r="H167" s="177"/>
      <c r="I167" s="177" t="s">
        <v>576</v>
      </c>
      <c r="J167">
        <f t="shared" si="41"/>
        <v>432</v>
      </c>
      <c r="K167">
        <f t="shared" si="42"/>
        <v>529</v>
      </c>
      <c r="L167" s="67">
        <f t="shared" si="51"/>
        <v>2.2800000000000001E-2</v>
      </c>
      <c r="M167" s="127">
        <f t="shared" si="52"/>
        <v>9.8496000000000006</v>
      </c>
      <c r="N167" s="127">
        <f t="shared" si="46"/>
        <v>12.061200000000001</v>
      </c>
      <c r="O167" s="127">
        <f t="shared" si="47"/>
        <v>375</v>
      </c>
      <c r="P167" s="127">
        <f t="shared" si="48"/>
        <v>459</v>
      </c>
      <c r="Q167" s="43" t="str">
        <f t="shared" si="53"/>
        <v>Y</v>
      </c>
      <c r="R167" s="43">
        <f t="shared" si="49"/>
        <v>375</v>
      </c>
      <c r="S167">
        <f t="shared" si="50"/>
        <v>154</v>
      </c>
      <c r="T167" s="18">
        <f t="shared" si="43"/>
        <v>84</v>
      </c>
      <c r="U167" s="151">
        <f t="shared" si="54"/>
        <v>12</v>
      </c>
      <c r="V167" s="151">
        <f t="shared" si="55"/>
        <v>37</v>
      </c>
      <c r="W167" s="151">
        <f t="shared" si="56"/>
        <v>16</v>
      </c>
      <c r="X167" s="151">
        <f t="shared" si="57"/>
        <v>5</v>
      </c>
      <c r="Y167" s="18">
        <f t="shared" si="45"/>
        <v>70</v>
      </c>
      <c r="AB167" s="168"/>
      <c r="AC167" s="168"/>
      <c r="AD167" t="e">
        <f t="shared" si="44"/>
        <v>#N/A</v>
      </c>
    </row>
    <row r="168" spans="1:30" x14ac:dyDescent="0.2">
      <c r="A168" s="183" t="s">
        <v>554</v>
      </c>
      <c r="B168" t="s">
        <v>386</v>
      </c>
      <c r="C168" t="s">
        <v>171</v>
      </c>
      <c r="D168">
        <v>3564601</v>
      </c>
      <c r="E168" t="s">
        <v>172</v>
      </c>
      <c r="F168" s="177">
        <v>37196</v>
      </c>
      <c r="G168" s="177"/>
      <c r="H168" s="177"/>
      <c r="I168" s="177" t="s">
        <v>576</v>
      </c>
      <c r="J168">
        <f t="shared" si="41"/>
        <v>10</v>
      </c>
      <c r="K168">
        <f t="shared" si="42"/>
        <v>17</v>
      </c>
      <c r="L168" s="67">
        <f t="shared" si="51"/>
        <v>2.2800000000000001E-2</v>
      </c>
      <c r="M168" s="127">
        <f t="shared" si="52"/>
        <v>0.22800000000000001</v>
      </c>
      <c r="N168" s="127">
        <f t="shared" si="46"/>
        <v>0.3876</v>
      </c>
      <c r="O168" s="127">
        <f t="shared" si="47"/>
        <v>9</v>
      </c>
      <c r="P168" s="127">
        <f t="shared" si="48"/>
        <v>15</v>
      </c>
      <c r="Q168" s="43" t="str">
        <f t="shared" si="53"/>
        <v>Y</v>
      </c>
      <c r="R168" s="43">
        <f t="shared" si="49"/>
        <v>9</v>
      </c>
      <c r="S168">
        <f t="shared" si="50"/>
        <v>8</v>
      </c>
      <c r="T168" s="18">
        <f t="shared" si="43"/>
        <v>6</v>
      </c>
      <c r="U168" s="151">
        <f t="shared" si="54"/>
        <v>0</v>
      </c>
      <c r="V168" s="151">
        <f t="shared" si="55"/>
        <v>1</v>
      </c>
      <c r="W168" s="151">
        <f t="shared" si="56"/>
        <v>1</v>
      </c>
      <c r="X168" s="151">
        <f t="shared" si="57"/>
        <v>0</v>
      </c>
      <c r="Y168" s="18">
        <f t="shared" si="45"/>
        <v>2</v>
      </c>
      <c r="AB168" s="168"/>
      <c r="AC168" s="168"/>
      <c r="AD168" t="e">
        <f t="shared" si="44"/>
        <v>#N/A</v>
      </c>
    </row>
    <row r="169" spans="1:30" x14ac:dyDescent="0.2">
      <c r="A169" s="183" t="s">
        <v>554</v>
      </c>
      <c r="B169" t="s">
        <v>386</v>
      </c>
      <c r="C169" t="s">
        <v>578</v>
      </c>
      <c r="D169">
        <v>3564701</v>
      </c>
      <c r="E169" t="s">
        <v>84</v>
      </c>
      <c r="F169" s="177">
        <v>37196</v>
      </c>
      <c r="G169" s="177"/>
      <c r="H169" s="177"/>
      <c r="I169" s="177" t="s">
        <v>576</v>
      </c>
      <c r="J169" t="str">
        <f t="shared" si="41"/>
        <v>na</v>
      </c>
      <c r="K169">
        <f t="shared" si="42"/>
        <v>0</v>
      </c>
      <c r="L169" s="67">
        <f t="shared" si="51"/>
        <v>2.2800000000000001E-2</v>
      </c>
      <c r="M169" s="127" t="e">
        <f t="shared" si="52"/>
        <v>#VALUE!</v>
      </c>
      <c r="N169" s="127">
        <f t="shared" si="46"/>
        <v>0</v>
      </c>
      <c r="O169" s="127" t="e">
        <f t="shared" si="47"/>
        <v>#VALUE!</v>
      </c>
      <c r="P169" s="127">
        <f t="shared" si="48"/>
        <v>0</v>
      </c>
      <c r="Q169" s="43" t="str">
        <f t="shared" si="53"/>
        <v>Y</v>
      </c>
      <c r="R169" s="43" t="e">
        <f t="shared" si="49"/>
        <v>#VALUE!</v>
      </c>
      <c r="S169" t="e">
        <f t="shared" si="50"/>
        <v>#VALUE!</v>
      </c>
      <c r="T169" s="18" t="e">
        <f t="shared" si="43"/>
        <v>#VALUE!</v>
      </c>
      <c r="U169" s="151">
        <f t="shared" si="54"/>
        <v>0</v>
      </c>
      <c r="V169" s="151">
        <f t="shared" si="55"/>
        <v>0</v>
      </c>
      <c r="W169" s="151">
        <f t="shared" si="56"/>
        <v>0</v>
      </c>
      <c r="X169" s="151">
        <f t="shared" si="57"/>
        <v>0</v>
      </c>
      <c r="Y169" s="18">
        <f t="shared" si="45"/>
        <v>0</v>
      </c>
      <c r="AB169" s="168"/>
      <c r="AC169" s="168"/>
      <c r="AD169" t="e">
        <f t="shared" si="44"/>
        <v>#N/A</v>
      </c>
    </row>
    <row r="170" spans="1:30" x14ac:dyDescent="0.2">
      <c r="A170" s="183" t="s">
        <v>554</v>
      </c>
      <c r="B170" t="s">
        <v>386</v>
      </c>
      <c r="C170" t="s">
        <v>580</v>
      </c>
      <c r="D170">
        <v>3564801</v>
      </c>
      <c r="E170" t="s">
        <v>84</v>
      </c>
      <c r="F170" s="177">
        <v>37196</v>
      </c>
      <c r="G170" s="177"/>
      <c r="H170" s="177"/>
      <c r="I170" s="177" t="s">
        <v>576</v>
      </c>
      <c r="J170" t="str">
        <f t="shared" si="41"/>
        <v>na</v>
      </c>
      <c r="K170">
        <f t="shared" si="42"/>
        <v>0</v>
      </c>
      <c r="L170" s="67">
        <f t="shared" si="51"/>
        <v>2.2800000000000001E-2</v>
      </c>
      <c r="M170" s="127" t="e">
        <f t="shared" si="52"/>
        <v>#VALUE!</v>
      </c>
      <c r="N170" s="127">
        <f t="shared" si="46"/>
        <v>0</v>
      </c>
      <c r="O170" s="127" t="e">
        <f t="shared" si="47"/>
        <v>#VALUE!</v>
      </c>
      <c r="P170" s="127">
        <f t="shared" si="48"/>
        <v>0</v>
      </c>
      <c r="Q170" s="43" t="str">
        <f t="shared" si="53"/>
        <v>Y</v>
      </c>
      <c r="R170" s="43" t="e">
        <f t="shared" si="49"/>
        <v>#VALUE!</v>
      </c>
      <c r="S170" t="e">
        <f t="shared" si="50"/>
        <v>#VALUE!</v>
      </c>
      <c r="T170" s="18" t="e">
        <f t="shared" si="43"/>
        <v>#VALUE!</v>
      </c>
      <c r="U170" s="151">
        <f t="shared" si="54"/>
        <v>0</v>
      </c>
      <c r="V170" s="151">
        <f t="shared" si="55"/>
        <v>0</v>
      </c>
      <c r="W170" s="151">
        <f t="shared" si="56"/>
        <v>0</v>
      </c>
      <c r="X170" s="151">
        <f t="shared" si="57"/>
        <v>0</v>
      </c>
      <c r="Y170" s="18">
        <f t="shared" si="45"/>
        <v>0</v>
      </c>
      <c r="AB170" s="168"/>
      <c r="AC170" s="168"/>
      <c r="AD170" t="e">
        <f t="shared" si="44"/>
        <v>#N/A</v>
      </c>
    </row>
    <row r="171" spans="1:30" x14ac:dyDescent="0.2">
      <c r="A171" s="183" t="s">
        <v>554</v>
      </c>
      <c r="B171" t="s">
        <v>386</v>
      </c>
      <c r="C171" t="s">
        <v>174</v>
      </c>
      <c r="D171">
        <v>3565501</v>
      </c>
      <c r="E171" t="s">
        <v>175</v>
      </c>
      <c r="F171" s="177">
        <v>37196</v>
      </c>
      <c r="G171" s="177"/>
      <c r="H171" s="177"/>
      <c r="I171" s="177" t="s">
        <v>576</v>
      </c>
      <c r="J171">
        <f t="shared" si="41"/>
        <v>103</v>
      </c>
      <c r="K171">
        <f t="shared" si="42"/>
        <v>121</v>
      </c>
      <c r="L171" s="67">
        <f t="shared" si="51"/>
        <v>2.2800000000000001E-2</v>
      </c>
      <c r="M171" s="127">
        <f t="shared" si="52"/>
        <v>2.3484000000000003</v>
      </c>
      <c r="N171" s="127">
        <f t="shared" si="46"/>
        <v>2.7587999999999999</v>
      </c>
      <c r="O171" s="127">
        <f t="shared" si="47"/>
        <v>89</v>
      </c>
      <c r="P171" s="127">
        <f t="shared" si="48"/>
        <v>105</v>
      </c>
      <c r="Q171" s="43" t="str">
        <f t="shared" si="53"/>
        <v>Y</v>
      </c>
      <c r="R171" s="43">
        <f t="shared" si="49"/>
        <v>89</v>
      </c>
      <c r="S171">
        <f t="shared" si="50"/>
        <v>32</v>
      </c>
      <c r="T171" s="18">
        <f t="shared" si="43"/>
        <v>16</v>
      </c>
      <c r="U171" s="151">
        <f t="shared" si="54"/>
        <v>3</v>
      </c>
      <c r="V171" s="151">
        <f t="shared" si="55"/>
        <v>9</v>
      </c>
      <c r="W171" s="151">
        <f t="shared" si="56"/>
        <v>4</v>
      </c>
      <c r="X171" s="151">
        <f t="shared" si="57"/>
        <v>1</v>
      </c>
      <c r="Y171" s="18">
        <f t="shared" si="45"/>
        <v>17</v>
      </c>
      <c r="Z171">
        <f>ROUND(+$K171*(VLOOKUP($I171,cngded,6,FALSE)),0)</f>
        <v>16</v>
      </c>
      <c r="AB171" s="168"/>
      <c r="AC171" s="168"/>
      <c r="AD171" t="e">
        <f t="shared" si="44"/>
        <v>#N/A</v>
      </c>
    </row>
    <row r="172" spans="1:30" x14ac:dyDescent="0.2">
      <c r="A172" s="183" t="s">
        <v>554</v>
      </c>
      <c r="B172" t="s">
        <v>386</v>
      </c>
      <c r="C172" t="s">
        <v>363</v>
      </c>
      <c r="D172">
        <v>3571701</v>
      </c>
      <c r="E172" t="s">
        <v>166</v>
      </c>
      <c r="F172" s="177">
        <v>37196</v>
      </c>
      <c r="G172" s="177"/>
      <c r="H172" s="177"/>
      <c r="I172" s="177" t="s">
        <v>576</v>
      </c>
      <c r="J172">
        <f t="shared" si="41"/>
        <v>8</v>
      </c>
      <c r="K172">
        <f t="shared" si="42"/>
        <v>12</v>
      </c>
      <c r="L172" s="67">
        <f t="shared" si="51"/>
        <v>2.2800000000000001E-2</v>
      </c>
      <c r="M172" s="127">
        <f t="shared" si="52"/>
        <v>0.18240000000000001</v>
      </c>
      <c r="N172" s="127">
        <f t="shared" si="46"/>
        <v>0.27360000000000001</v>
      </c>
      <c r="O172" s="127">
        <f t="shared" si="47"/>
        <v>7</v>
      </c>
      <c r="P172" s="127">
        <f t="shared" si="48"/>
        <v>10</v>
      </c>
      <c r="Q172" s="43" t="str">
        <f t="shared" si="53"/>
        <v>Y</v>
      </c>
      <c r="R172" s="43">
        <f t="shared" si="49"/>
        <v>7</v>
      </c>
      <c r="S172">
        <f t="shared" si="50"/>
        <v>5</v>
      </c>
      <c r="T172" s="18">
        <f t="shared" si="43"/>
        <v>3</v>
      </c>
      <c r="U172" s="151">
        <f t="shared" si="54"/>
        <v>0</v>
      </c>
      <c r="V172" s="151">
        <f t="shared" si="55"/>
        <v>1</v>
      </c>
      <c r="W172" s="151">
        <f t="shared" si="56"/>
        <v>0</v>
      </c>
      <c r="X172" s="151">
        <f t="shared" si="57"/>
        <v>0</v>
      </c>
      <c r="Y172" s="18">
        <f t="shared" si="45"/>
        <v>1</v>
      </c>
      <c r="Z172">
        <f t="shared" ref="Z172:Z177" si="58">ROUND(+$K172*(VLOOKUP($I172,cngded,6,FALSE)),0)</f>
        <v>2</v>
      </c>
      <c r="AB172" s="168"/>
      <c r="AC172" s="168"/>
      <c r="AD172" t="e">
        <f t="shared" si="44"/>
        <v>#N/A</v>
      </c>
    </row>
    <row r="173" spans="1:30" x14ac:dyDescent="0.2">
      <c r="A173" s="183" t="s">
        <v>554</v>
      </c>
      <c r="B173" t="s">
        <v>386</v>
      </c>
      <c r="C173" t="s">
        <v>176</v>
      </c>
      <c r="D173">
        <v>3573701</v>
      </c>
      <c r="E173" t="s">
        <v>175</v>
      </c>
      <c r="F173" s="177">
        <v>37196</v>
      </c>
      <c r="G173" s="177"/>
      <c r="H173" s="177"/>
      <c r="I173" s="177" t="s">
        <v>576</v>
      </c>
      <c r="J173">
        <f t="shared" si="41"/>
        <v>201</v>
      </c>
      <c r="K173">
        <f t="shared" si="42"/>
        <v>250</v>
      </c>
      <c r="L173" s="67">
        <f t="shared" si="51"/>
        <v>2.2800000000000001E-2</v>
      </c>
      <c r="M173" s="127">
        <f t="shared" si="52"/>
        <v>4.5827999999999998</v>
      </c>
      <c r="N173" s="127">
        <f t="shared" si="46"/>
        <v>5.7</v>
      </c>
      <c r="O173" s="127">
        <f t="shared" si="47"/>
        <v>174</v>
      </c>
      <c r="P173" s="127">
        <f t="shared" si="48"/>
        <v>217</v>
      </c>
      <c r="Q173" s="43" t="str">
        <f t="shared" si="53"/>
        <v>Y</v>
      </c>
      <c r="R173" s="43">
        <f t="shared" si="49"/>
        <v>174</v>
      </c>
      <c r="S173">
        <f t="shared" si="50"/>
        <v>76</v>
      </c>
      <c r="T173" s="18">
        <f t="shared" si="43"/>
        <v>43</v>
      </c>
      <c r="U173" s="151">
        <f t="shared" si="54"/>
        <v>6</v>
      </c>
      <c r="V173" s="151">
        <f t="shared" si="55"/>
        <v>18</v>
      </c>
      <c r="W173" s="151">
        <f t="shared" si="56"/>
        <v>8</v>
      </c>
      <c r="X173" s="151">
        <f t="shared" si="57"/>
        <v>2</v>
      </c>
      <c r="Y173" s="18">
        <f t="shared" si="45"/>
        <v>34</v>
      </c>
      <c r="Z173">
        <f t="shared" si="58"/>
        <v>33</v>
      </c>
      <c r="AB173" s="168"/>
      <c r="AC173" s="168"/>
      <c r="AD173" t="e">
        <f t="shared" si="44"/>
        <v>#N/A</v>
      </c>
    </row>
    <row r="174" spans="1:30" x14ac:dyDescent="0.2">
      <c r="A174" s="183" t="s">
        <v>554</v>
      </c>
      <c r="B174" t="s">
        <v>386</v>
      </c>
      <c r="C174" t="s">
        <v>355</v>
      </c>
      <c r="D174">
        <v>3576601</v>
      </c>
      <c r="E174" t="s">
        <v>10</v>
      </c>
      <c r="F174" s="177">
        <v>37196</v>
      </c>
      <c r="G174" s="177"/>
      <c r="H174" s="177"/>
      <c r="I174" s="177" t="s">
        <v>576</v>
      </c>
      <c r="J174">
        <f t="shared" si="41"/>
        <v>0</v>
      </c>
      <c r="K174">
        <f t="shared" si="42"/>
        <v>0</v>
      </c>
      <c r="L174" s="67">
        <f t="shared" si="51"/>
        <v>2.2800000000000001E-2</v>
      </c>
      <c r="M174" s="127">
        <f t="shared" si="52"/>
        <v>0</v>
      </c>
      <c r="N174" s="127">
        <f t="shared" si="46"/>
        <v>0</v>
      </c>
      <c r="O174" s="127">
        <f t="shared" si="47"/>
        <v>0</v>
      </c>
      <c r="P174" s="127">
        <f t="shared" si="48"/>
        <v>0</v>
      </c>
      <c r="Q174" s="43" t="str">
        <f t="shared" si="53"/>
        <v>Y</v>
      </c>
      <c r="R174" s="43">
        <f t="shared" si="49"/>
        <v>0</v>
      </c>
      <c r="S174">
        <f t="shared" si="50"/>
        <v>0</v>
      </c>
      <c r="T174" s="18">
        <f t="shared" si="43"/>
        <v>0</v>
      </c>
      <c r="U174" s="151">
        <f t="shared" si="54"/>
        <v>0</v>
      </c>
      <c r="V174" s="151">
        <f t="shared" si="55"/>
        <v>0</v>
      </c>
      <c r="W174" s="151">
        <f t="shared" si="56"/>
        <v>0</v>
      </c>
      <c r="X174" s="151">
        <f t="shared" si="57"/>
        <v>0</v>
      </c>
      <c r="Y174" s="18">
        <f t="shared" si="45"/>
        <v>0</v>
      </c>
      <c r="Z174">
        <f t="shared" si="58"/>
        <v>0</v>
      </c>
      <c r="AB174" s="168"/>
      <c r="AC174" s="168"/>
      <c r="AD174" t="e">
        <f t="shared" si="44"/>
        <v>#N/A</v>
      </c>
    </row>
    <row r="175" spans="1:30" x14ac:dyDescent="0.2">
      <c r="A175" s="183" t="s">
        <v>554</v>
      </c>
      <c r="B175" t="s">
        <v>387</v>
      </c>
      <c r="C175" t="s">
        <v>300</v>
      </c>
      <c r="D175">
        <v>3582101</v>
      </c>
      <c r="E175" t="s">
        <v>166</v>
      </c>
      <c r="F175" s="177">
        <v>37196</v>
      </c>
      <c r="G175" s="177"/>
      <c r="H175" s="177"/>
      <c r="I175" s="177" t="s">
        <v>583</v>
      </c>
      <c r="J175">
        <f t="shared" si="41"/>
        <v>2</v>
      </c>
      <c r="K175">
        <f t="shared" si="42"/>
        <v>2</v>
      </c>
      <c r="L175" s="67">
        <f t="shared" si="51"/>
        <v>0</v>
      </c>
      <c r="M175" s="127">
        <f t="shared" si="52"/>
        <v>0</v>
      </c>
      <c r="N175" s="127">
        <f t="shared" si="46"/>
        <v>0</v>
      </c>
      <c r="O175" s="127">
        <f t="shared" si="47"/>
        <v>2</v>
      </c>
      <c r="P175" s="127">
        <f t="shared" si="48"/>
        <v>2</v>
      </c>
      <c r="Q175" s="43" t="str">
        <f t="shared" si="53"/>
        <v>Y</v>
      </c>
      <c r="R175" s="43">
        <f t="shared" si="49"/>
        <v>2</v>
      </c>
      <c r="S175">
        <f t="shared" si="50"/>
        <v>0</v>
      </c>
      <c r="T175" s="18">
        <f t="shared" si="43"/>
        <v>0</v>
      </c>
      <c r="U175" s="151">
        <f t="shared" si="54"/>
        <v>0</v>
      </c>
      <c r="V175" s="151">
        <f t="shared" si="55"/>
        <v>0</v>
      </c>
      <c r="W175" s="151">
        <f t="shared" si="56"/>
        <v>0</v>
      </c>
      <c r="X175" s="151">
        <f t="shared" si="57"/>
        <v>0</v>
      </c>
      <c r="Y175" s="18">
        <f t="shared" si="45"/>
        <v>0</v>
      </c>
      <c r="Z175">
        <f t="shared" si="58"/>
        <v>0</v>
      </c>
      <c r="AB175" s="168"/>
      <c r="AC175" s="168"/>
      <c r="AD175" t="e">
        <f t="shared" si="44"/>
        <v>#N/A</v>
      </c>
    </row>
    <row r="176" spans="1:30" x14ac:dyDescent="0.2">
      <c r="A176" s="183" t="s">
        <v>554</v>
      </c>
      <c r="B176" t="s">
        <v>386</v>
      </c>
      <c r="C176" t="s">
        <v>360</v>
      </c>
      <c r="D176">
        <v>3584101</v>
      </c>
      <c r="E176" t="s">
        <v>361</v>
      </c>
      <c r="F176" s="177">
        <v>37196</v>
      </c>
      <c r="G176" s="177"/>
      <c r="H176" s="177"/>
      <c r="I176" s="177" t="s">
        <v>576</v>
      </c>
      <c r="J176">
        <f t="shared" si="41"/>
        <v>14</v>
      </c>
      <c r="K176">
        <f t="shared" si="42"/>
        <v>14</v>
      </c>
      <c r="L176" s="67">
        <f t="shared" si="51"/>
        <v>2.2800000000000001E-2</v>
      </c>
      <c r="M176" s="127">
        <f t="shared" si="52"/>
        <v>0.31920000000000004</v>
      </c>
      <c r="N176" s="127">
        <f t="shared" si="46"/>
        <v>0.31920000000000004</v>
      </c>
      <c r="O176" s="127">
        <f>J176-ROUND(+$J176*(VLOOKUP($I176,cngded,6,FALSE)),0)</f>
        <v>12</v>
      </c>
      <c r="P176" s="127">
        <f t="shared" si="48"/>
        <v>12</v>
      </c>
      <c r="Q176" s="43" t="str">
        <f t="shared" si="53"/>
        <v>Y</v>
      </c>
      <c r="R176" s="43">
        <f t="shared" si="49"/>
        <v>12</v>
      </c>
      <c r="S176">
        <f t="shared" si="50"/>
        <v>2</v>
      </c>
      <c r="T176" s="18">
        <f t="shared" si="43"/>
        <v>0</v>
      </c>
      <c r="U176" s="151">
        <f t="shared" si="54"/>
        <v>0</v>
      </c>
      <c r="V176" s="151">
        <f t="shared" si="55"/>
        <v>1</v>
      </c>
      <c r="W176" s="151">
        <f t="shared" si="56"/>
        <v>0</v>
      </c>
      <c r="X176" s="151">
        <f t="shared" si="57"/>
        <v>0</v>
      </c>
      <c r="Y176" s="18">
        <f t="shared" si="45"/>
        <v>1</v>
      </c>
      <c r="Z176">
        <f t="shared" si="58"/>
        <v>2</v>
      </c>
      <c r="AB176" s="168"/>
      <c r="AC176" s="168"/>
      <c r="AD176" t="e">
        <f t="shared" si="44"/>
        <v>#N/A</v>
      </c>
    </row>
    <row r="177" spans="1:30" x14ac:dyDescent="0.2">
      <c r="A177" s="183" t="s">
        <v>554</v>
      </c>
      <c r="B177" t="s">
        <v>386</v>
      </c>
      <c r="C177" t="s">
        <v>362</v>
      </c>
      <c r="D177">
        <v>3584201</v>
      </c>
      <c r="E177" t="s">
        <v>361</v>
      </c>
      <c r="F177" s="177">
        <v>37196</v>
      </c>
      <c r="G177" s="177"/>
      <c r="H177" s="177"/>
      <c r="I177" s="177" t="s">
        <v>576</v>
      </c>
      <c r="J177">
        <f t="shared" si="41"/>
        <v>41</v>
      </c>
      <c r="K177">
        <f t="shared" si="42"/>
        <v>47</v>
      </c>
      <c r="L177" s="67">
        <f t="shared" si="51"/>
        <v>2.2800000000000001E-2</v>
      </c>
      <c r="M177" s="127">
        <f t="shared" si="52"/>
        <v>0.93480000000000008</v>
      </c>
      <c r="N177" s="127">
        <f t="shared" si="46"/>
        <v>1.0716000000000001</v>
      </c>
      <c r="O177" s="127">
        <f t="shared" ref="O177:O239" si="59">J177-ROUND(+$J177*(VLOOKUP($I177,cngded,6,FALSE)),0)</f>
        <v>36</v>
      </c>
      <c r="P177" s="127">
        <f t="shared" si="48"/>
        <v>41</v>
      </c>
      <c r="Q177" s="43" t="str">
        <f t="shared" si="53"/>
        <v>Y</v>
      </c>
      <c r="R177" s="43">
        <f t="shared" si="49"/>
        <v>36</v>
      </c>
      <c r="S177">
        <f t="shared" si="50"/>
        <v>11</v>
      </c>
      <c r="T177" s="18">
        <f t="shared" si="43"/>
        <v>5</v>
      </c>
      <c r="U177" s="151">
        <f t="shared" si="54"/>
        <v>1</v>
      </c>
      <c r="V177" s="151">
        <f t="shared" si="55"/>
        <v>3</v>
      </c>
      <c r="W177" s="151">
        <f t="shared" si="56"/>
        <v>1</v>
      </c>
      <c r="X177" s="151">
        <f t="shared" si="57"/>
        <v>0</v>
      </c>
      <c r="Y177" s="18">
        <f t="shared" si="45"/>
        <v>5</v>
      </c>
      <c r="Z177">
        <f t="shared" si="58"/>
        <v>6</v>
      </c>
      <c r="AB177" s="168"/>
      <c r="AC177" s="168"/>
      <c r="AD177" t="e">
        <f t="shared" si="44"/>
        <v>#N/A</v>
      </c>
    </row>
    <row r="178" spans="1:30" x14ac:dyDescent="0.2">
      <c r="A178" s="183" t="s">
        <v>554</v>
      </c>
      <c r="B178" t="s">
        <v>386</v>
      </c>
      <c r="C178" t="s">
        <v>356</v>
      </c>
      <c r="D178">
        <v>3584401</v>
      </c>
      <c r="E178" t="s">
        <v>10</v>
      </c>
      <c r="F178" s="177">
        <v>37196</v>
      </c>
      <c r="G178" s="177"/>
      <c r="H178" s="177"/>
      <c r="I178" s="177" t="s">
        <v>576</v>
      </c>
      <c r="J178">
        <f t="shared" si="41"/>
        <v>12</v>
      </c>
      <c r="K178">
        <f t="shared" si="42"/>
        <v>14</v>
      </c>
      <c r="L178" s="67">
        <f t="shared" si="51"/>
        <v>2.2800000000000001E-2</v>
      </c>
      <c r="M178" s="127">
        <f t="shared" si="52"/>
        <v>0.27360000000000001</v>
      </c>
      <c r="N178" s="127">
        <f t="shared" si="46"/>
        <v>0.31920000000000004</v>
      </c>
      <c r="O178" s="127">
        <f t="shared" si="59"/>
        <v>10</v>
      </c>
      <c r="P178" s="127">
        <f t="shared" si="48"/>
        <v>12</v>
      </c>
      <c r="Q178" s="43" t="str">
        <f t="shared" si="53"/>
        <v>Y</v>
      </c>
      <c r="R178" s="43">
        <f t="shared" si="49"/>
        <v>10</v>
      </c>
      <c r="S178">
        <f t="shared" si="50"/>
        <v>4</v>
      </c>
      <c r="T178" s="18">
        <f t="shared" si="43"/>
        <v>2</v>
      </c>
      <c r="U178" s="151">
        <f t="shared" si="54"/>
        <v>0</v>
      </c>
      <c r="V178" s="151">
        <f t="shared" si="55"/>
        <v>1</v>
      </c>
      <c r="W178" s="151">
        <f t="shared" si="56"/>
        <v>0</v>
      </c>
      <c r="X178" s="151">
        <f t="shared" si="57"/>
        <v>0</v>
      </c>
      <c r="Y178" s="18">
        <f t="shared" si="45"/>
        <v>1</v>
      </c>
      <c r="AB178" s="168"/>
      <c r="AC178" s="168"/>
      <c r="AD178" t="e">
        <f t="shared" si="44"/>
        <v>#N/A</v>
      </c>
    </row>
    <row r="179" spans="1:30" x14ac:dyDescent="0.2">
      <c r="A179" s="183" t="s">
        <v>554</v>
      </c>
      <c r="B179" t="s">
        <v>386</v>
      </c>
      <c r="C179" t="s">
        <v>50</v>
      </c>
      <c r="D179">
        <v>3585801</v>
      </c>
      <c r="E179" t="s">
        <v>175</v>
      </c>
      <c r="F179" s="177">
        <v>37196</v>
      </c>
      <c r="G179" s="177"/>
      <c r="H179" s="177"/>
      <c r="I179" s="177" t="s">
        <v>576</v>
      </c>
      <c r="J179">
        <f t="shared" si="41"/>
        <v>1525</v>
      </c>
      <c r="K179">
        <f t="shared" si="42"/>
        <v>1922</v>
      </c>
      <c r="L179" s="67">
        <f t="shared" si="51"/>
        <v>2.2800000000000001E-2</v>
      </c>
      <c r="M179" s="127">
        <f t="shared" si="52"/>
        <v>34.770000000000003</v>
      </c>
      <c r="N179" s="127">
        <f t="shared" si="46"/>
        <v>43.821600000000004</v>
      </c>
      <c r="O179" s="127">
        <f t="shared" si="59"/>
        <v>1323</v>
      </c>
      <c r="P179" s="127">
        <f t="shared" si="48"/>
        <v>1667</v>
      </c>
      <c r="Q179" s="43" t="str">
        <f t="shared" si="53"/>
        <v>Y</v>
      </c>
      <c r="R179" s="43">
        <f t="shared" si="49"/>
        <v>1323</v>
      </c>
      <c r="S179">
        <f t="shared" si="50"/>
        <v>599</v>
      </c>
      <c r="T179" s="18">
        <f t="shared" si="43"/>
        <v>344</v>
      </c>
      <c r="U179" s="151">
        <f t="shared" si="54"/>
        <v>44</v>
      </c>
      <c r="V179" s="151">
        <f t="shared" si="55"/>
        <v>136</v>
      </c>
      <c r="W179" s="151">
        <f t="shared" si="56"/>
        <v>58</v>
      </c>
      <c r="X179" s="151">
        <f t="shared" si="57"/>
        <v>17</v>
      </c>
      <c r="Y179" s="18">
        <f t="shared" si="45"/>
        <v>255</v>
      </c>
      <c r="AB179" s="168"/>
      <c r="AC179" s="168"/>
      <c r="AD179" t="e">
        <f t="shared" si="44"/>
        <v>#N/A</v>
      </c>
    </row>
    <row r="180" spans="1:30" x14ac:dyDescent="0.2">
      <c r="A180" s="183" t="s">
        <v>554</v>
      </c>
      <c r="B180" t="s">
        <v>386</v>
      </c>
      <c r="C180" t="s">
        <v>357</v>
      </c>
      <c r="D180">
        <v>3587701</v>
      </c>
      <c r="E180" t="s">
        <v>121</v>
      </c>
      <c r="F180" s="177">
        <v>37196</v>
      </c>
      <c r="G180" s="177"/>
      <c r="H180" s="177"/>
      <c r="I180" s="177" t="s">
        <v>576</v>
      </c>
      <c r="J180">
        <f t="shared" si="41"/>
        <v>152</v>
      </c>
      <c r="K180">
        <f t="shared" si="42"/>
        <v>188</v>
      </c>
      <c r="L180" s="67">
        <f t="shared" si="51"/>
        <v>2.2800000000000001E-2</v>
      </c>
      <c r="M180" s="127">
        <f t="shared" si="52"/>
        <v>3.4656000000000002</v>
      </c>
      <c r="N180" s="127">
        <f t="shared" si="46"/>
        <v>4.2864000000000004</v>
      </c>
      <c r="O180" s="127">
        <f t="shared" si="59"/>
        <v>132</v>
      </c>
      <c r="P180" s="127">
        <f t="shared" si="48"/>
        <v>163</v>
      </c>
      <c r="Q180" s="43" t="str">
        <f t="shared" si="53"/>
        <v>Y</v>
      </c>
      <c r="R180" s="43">
        <f t="shared" si="49"/>
        <v>132</v>
      </c>
      <c r="S180">
        <f t="shared" si="50"/>
        <v>56</v>
      </c>
      <c r="T180" s="18">
        <f t="shared" si="43"/>
        <v>31</v>
      </c>
      <c r="U180" s="151">
        <f t="shared" si="54"/>
        <v>4</v>
      </c>
      <c r="V180" s="151">
        <f t="shared" si="55"/>
        <v>13</v>
      </c>
      <c r="W180" s="151">
        <f t="shared" si="56"/>
        <v>6</v>
      </c>
      <c r="X180" s="151">
        <f t="shared" si="57"/>
        <v>2</v>
      </c>
      <c r="Y180" s="18">
        <f t="shared" si="45"/>
        <v>25</v>
      </c>
      <c r="AB180" s="168"/>
      <c r="AC180" s="168"/>
      <c r="AD180" t="e">
        <f t="shared" si="44"/>
        <v>#N/A</v>
      </c>
    </row>
    <row r="181" spans="1:30" x14ac:dyDescent="0.2">
      <c r="A181" s="183" t="s">
        <v>554</v>
      </c>
      <c r="B181" t="s">
        <v>386</v>
      </c>
      <c r="C181" t="s">
        <v>501</v>
      </c>
      <c r="D181">
        <v>4004301</v>
      </c>
      <c r="E181" t="s">
        <v>502</v>
      </c>
      <c r="F181" s="177">
        <v>37196</v>
      </c>
      <c r="G181" s="177"/>
      <c r="H181" s="177"/>
      <c r="I181" s="177" t="s">
        <v>576</v>
      </c>
      <c r="J181">
        <f t="shared" si="41"/>
        <v>270</v>
      </c>
      <c r="K181">
        <f t="shared" si="42"/>
        <v>312</v>
      </c>
      <c r="L181" s="67">
        <f t="shared" si="51"/>
        <v>2.2800000000000001E-2</v>
      </c>
      <c r="M181" s="127">
        <f t="shared" si="52"/>
        <v>6.1560000000000006</v>
      </c>
      <c r="N181" s="127">
        <f t="shared" si="46"/>
        <v>7.1135999999999999</v>
      </c>
      <c r="O181" s="127">
        <f t="shared" si="59"/>
        <v>234</v>
      </c>
      <c r="P181" s="127">
        <f t="shared" si="48"/>
        <v>271</v>
      </c>
      <c r="Q181" s="43" t="str">
        <f t="shared" si="53"/>
        <v>Y</v>
      </c>
      <c r="R181" s="43">
        <f t="shared" si="49"/>
        <v>234</v>
      </c>
      <c r="S181">
        <f t="shared" si="50"/>
        <v>78</v>
      </c>
      <c r="T181" s="18">
        <f t="shared" si="43"/>
        <v>37</v>
      </c>
      <c r="U181" s="151">
        <f t="shared" si="54"/>
        <v>7</v>
      </c>
      <c r="V181" s="151">
        <f t="shared" si="55"/>
        <v>22</v>
      </c>
      <c r="W181" s="151">
        <f t="shared" si="56"/>
        <v>9</v>
      </c>
      <c r="X181" s="151">
        <f t="shared" si="57"/>
        <v>3</v>
      </c>
      <c r="Y181" s="18">
        <f t="shared" si="45"/>
        <v>41</v>
      </c>
      <c r="AB181" s="168"/>
      <c r="AC181" s="168"/>
      <c r="AD181" t="e">
        <f t="shared" si="44"/>
        <v>#N/A</v>
      </c>
    </row>
    <row r="182" spans="1:30" x14ac:dyDescent="0.2">
      <c r="A182" s="183" t="s">
        <v>554</v>
      </c>
      <c r="B182" t="s">
        <v>386</v>
      </c>
      <c r="C182" t="s">
        <v>503</v>
      </c>
      <c r="D182">
        <v>4004801</v>
      </c>
      <c r="E182" t="s">
        <v>502</v>
      </c>
      <c r="F182" s="177">
        <v>37196</v>
      </c>
      <c r="G182" s="177"/>
      <c r="H182" s="177"/>
      <c r="I182" s="177" t="s">
        <v>576</v>
      </c>
      <c r="J182">
        <f t="shared" si="41"/>
        <v>1301</v>
      </c>
      <c r="K182">
        <f t="shared" si="42"/>
        <v>1534</v>
      </c>
      <c r="L182" s="67">
        <f t="shared" si="51"/>
        <v>2.2800000000000001E-2</v>
      </c>
      <c r="M182" s="127">
        <f t="shared" si="52"/>
        <v>29.662800000000001</v>
      </c>
      <c r="N182" s="127">
        <f t="shared" si="46"/>
        <v>34.975200000000001</v>
      </c>
      <c r="O182" s="127">
        <f t="shared" si="59"/>
        <v>1129</v>
      </c>
      <c r="P182" s="127">
        <f t="shared" si="48"/>
        <v>1331</v>
      </c>
      <c r="Q182" s="43" t="str">
        <f t="shared" si="53"/>
        <v>Y</v>
      </c>
      <c r="R182" s="43">
        <f t="shared" si="49"/>
        <v>1129</v>
      </c>
      <c r="S182">
        <f t="shared" si="50"/>
        <v>405</v>
      </c>
      <c r="T182" s="18">
        <f t="shared" si="43"/>
        <v>202</v>
      </c>
      <c r="U182" s="151">
        <f t="shared" si="54"/>
        <v>35</v>
      </c>
      <c r="V182" s="151">
        <f t="shared" si="55"/>
        <v>108</v>
      </c>
      <c r="W182" s="151">
        <f t="shared" si="56"/>
        <v>46</v>
      </c>
      <c r="X182" s="151">
        <f t="shared" si="57"/>
        <v>14</v>
      </c>
      <c r="Y182" s="18">
        <f t="shared" si="45"/>
        <v>203</v>
      </c>
      <c r="AB182" s="168"/>
      <c r="AC182" s="168"/>
      <c r="AD182" t="e">
        <f t="shared" si="44"/>
        <v>#N/A</v>
      </c>
    </row>
    <row r="183" spans="1:30" x14ac:dyDescent="0.2">
      <c r="A183" s="183" t="s">
        <v>554</v>
      </c>
      <c r="B183" t="s">
        <v>386</v>
      </c>
      <c r="C183" t="s">
        <v>504</v>
      </c>
      <c r="D183">
        <v>4017601</v>
      </c>
      <c r="E183" t="s">
        <v>502</v>
      </c>
      <c r="F183" s="177">
        <v>37196</v>
      </c>
      <c r="G183" s="177"/>
      <c r="H183" s="177"/>
      <c r="I183" s="177" t="s">
        <v>576</v>
      </c>
      <c r="J183">
        <f t="shared" si="41"/>
        <v>369</v>
      </c>
      <c r="K183">
        <f t="shared" si="42"/>
        <v>434</v>
      </c>
      <c r="L183" s="67">
        <f t="shared" si="51"/>
        <v>2.2800000000000001E-2</v>
      </c>
      <c r="M183" s="127">
        <f t="shared" si="52"/>
        <v>8.4131999999999998</v>
      </c>
      <c r="N183" s="127">
        <f t="shared" si="46"/>
        <v>9.8952000000000009</v>
      </c>
      <c r="O183" s="127">
        <f t="shared" si="59"/>
        <v>320</v>
      </c>
      <c r="P183" s="127">
        <f t="shared" si="48"/>
        <v>376</v>
      </c>
      <c r="Q183" s="43" t="str">
        <f t="shared" si="53"/>
        <v>Y</v>
      </c>
      <c r="R183" s="43">
        <f t="shared" si="49"/>
        <v>320</v>
      </c>
      <c r="S183">
        <f t="shared" si="50"/>
        <v>114</v>
      </c>
      <c r="T183" s="18">
        <f t="shared" si="43"/>
        <v>56</v>
      </c>
      <c r="U183" s="151">
        <f t="shared" si="54"/>
        <v>10</v>
      </c>
      <c r="V183" s="151">
        <f t="shared" si="55"/>
        <v>31</v>
      </c>
      <c r="W183" s="151">
        <f t="shared" si="56"/>
        <v>13</v>
      </c>
      <c r="X183" s="151">
        <f t="shared" si="57"/>
        <v>4</v>
      </c>
      <c r="Y183" s="18">
        <f t="shared" si="45"/>
        <v>58</v>
      </c>
      <c r="AB183" s="168"/>
      <c r="AC183" s="168"/>
      <c r="AD183" t="e">
        <f t="shared" si="44"/>
        <v>#N/A</v>
      </c>
    </row>
    <row r="184" spans="1:30" x14ac:dyDescent="0.2">
      <c r="A184" s="183" t="s">
        <v>554</v>
      </c>
      <c r="B184" t="s">
        <v>386</v>
      </c>
      <c r="C184" t="s">
        <v>505</v>
      </c>
      <c r="D184">
        <v>4023001</v>
      </c>
      <c r="E184" t="s">
        <v>502</v>
      </c>
      <c r="F184" s="177">
        <v>37196</v>
      </c>
      <c r="G184" s="177"/>
      <c r="H184" s="177"/>
      <c r="I184" s="177" t="s">
        <v>576</v>
      </c>
      <c r="J184">
        <f t="shared" si="41"/>
        <v>142</v>
      </c>
      <c r="K184">
        <f t="shared" si="42"/>
        <v>164</v>
      </c>
      <c r="L184" s="67">
        <f t="shared" si="51"/>
        <v>2.2800000000000001E-2</v>
      </c>
      <c r="M184" s="127">
        <f t="shared" si="52"/>
        <v>3.2376</v>
      </c>
      <c r="N184" s="127">
        <f t="shared" si="46"/>
        <v>3.7392000000000003</v>
      </c>
      <c r="O184" s="127">
        <f t="shared" si="59"/>
        <v>123</v>
      </c>
      <c r="P184" s="127">
        <f t="shared" si="48"/>
        <v>142</v>
      </c>
      <c r="Q184" s="43" t="str">
        <f t="shared" si="53"/>
        <v>Y</v>
      </c>
      <c r="R184" s="43">
        <f t="shared" si="49"/>
        <v>123</v>
      </c>
      <c r="S184">
        <f t="shared" si="50"/>
        <v>41</v>
      </c>
      <c r="T184" s="18">
        <f t="shared" si="43"/>
        <v>19</v>
      </c>
      <c r="U184" s="151">
        <f t="shared" si="54"/>
        <v>4</v>
      </c>
      <c r="V184" s="151">
        <f t="shared" si="55"/>
        <v>12</v>
      </c>
      <c r="W184" s="151">
        <f t="shared" si="56"/>
        <v>5</v>
      </c>
      <c r="X184" s="151">
        <f t="shared" si="57"/>
        <v>1</v>
      </c>
      <c r="Y184" s="18">
        <f t="shared" si="45"/>
        <v>22</v>
      </c>
      <c r="AB184" s="168"/>
      <c r="AC184" s="168"/>
      <c r="AD184" t="e">
        <f t="shared" si="44"/>
        <v>#N/A</v>
      </c>
    </row>
    <row r="185" spans="1:30" x14ac:dyDescent="0.2">
      <c r="A185" s="183" t="s">
        <v>554</v>
      </c>
      <c r="B185" t="s">
        <v>386</v>
      </c>
      <c r="C185" t="s">
        <v>245</v>
      </c>
      <c r="D185">
        <v>4023601</v>
      </c>
      <c r="E185" t="s">
        <v>164</v>
      </c>
      <c r="F185" s="177">
        <v>37196</v>
      </c>
      <c r="G185" s="177"/>
      <c r="H185" s="177"/>
      <c r="I185" s="177" t="s">
        <v>576</v>
      </c>
      <c r="J185">
        <f t="shared" si="41"/>
        <v>60</v>
      </c>
      <c r="K185">
        <f t="shared" si="42"/>
        <v>69</v>
      </c>
      <c r="L185" s="67">
        <f t="shared" si="51"/>
        <v>2.2800000000000001E-2</v>
      </c>
      <c r="M185" s="127">
        <f t="shared" si="52"/>
        <v>1.3680000000000001</v>
      </c>
      <c r="N185" s="127">
        <f t="shared" si="46"/>
        <v>1.5732000000000002</v>
      </c>
      <c r="O185" s="127">
        <f t="shared" si="59"/>
        <v>52</v>
      </c>
      <c r="P185" s="127">
        <f t="shared" si="48"/>
        <v>60</v>
      </c>
      <c r="Q185" s="43" t="str">
        <f t="shared" ref="Q185:Q247" si="60">IF(ISNA(VLOOKUP(C185,INCNG,1,FALSE)),"--", "Y")</f>
        <v>Y</v>
      </c>
      <c r="R185" s="43">
        <f>IF(ISNA(VLOOKUP(C185,INCNG,10,FALSE)),0,VLOOKUP(C185,INCNG,10,FALSE))</f>
        <v>52</v>
      </c>
      <c r="S185">
        <f t="shared" si="50"/>
        <v>17</v>
      </c>
      <c r="T185" s="18">
        <f t="shared" si="43"/>
        <v>8</v>
      </c>
      <c r="U185" s="151">
        <f t="shared" si="54"/>
        <v>2</v>
      </c>
      <c r="V185" s="151">
        <f t="shared" si="55"/>
        <v>5</v>
      </c>
      <c r="W185" s="151">
        <f t="shared" si="56"/>
        <v>2</v>
      </c>
      <c r="X185" s="151">
        <f t="shared" si="57"/>
        <v>1</v>
      </c>
      <c r="Y185" s="18">
        <f t="shared" si="45"/>
        <v>10</v>
      </c>
      <c r="AB185" s="168"/>
      <c r="AC185" s="168"/>
      <c r="AD185" t="e">
        <f t="shared" si="44"/>
        <v>#N/A</v>
      </c>
    </row>
    <row r="186" spans="1:30" x14ac:dyDescent="0.2">
      <c r="A186" s="183" t="s">
        <v>554</v>
      </c>
      <c r="B186" t="s">
        <v>386</v>
      </c>
      <c r="C186" t="s">
        <v>508</v>
      </c>
      <c r="D186">
        <v>4036701</v>
      </c>
      <c r="E186" t="s">
        <v>502</v>
      </c>
      <c r="F186" s="177">
        <v>37196</v>
      </c>
      <c r="G186" s="177"/>
      <c r="H186" s="177"/>
      <c r="I186" s="177" t="s">
        <v>576</v>
      </c>
      <c r="J186">
        <f t="shared" si="41"/>
        <v>632</v>
      </c>
      <c r="K186">
        <f t="shared" si="42"/>
        <v>716</v>
      </c>
      <c r="L186" s="67">
        <f t="shared" si="51"/>
        <v>2.2800000000000001E-2</v>
      </c>
      <c r="M186" s="127">
        <f t="shared" si="52"/>
        <v>14.409600000000001</v>
      </c>
      <c r="N186" s="127">
        <f t="shared" si="46"/>
        <v>16.3248</v>
      </c>
      <c r="O186" s="127">
        <f t="shared" si="59"/>
        <v>548</v>
      </c>
      <c r="P186" s="127">
        <f t="shared" si="48"/>
        <v>621</v>
      </c>
      <c r="Q186" s="43" t="str">
        <f t="shared" si="60"/>
        <v>Y</v>
      </c>
      <c r="R186" s="43">
        <f t="shared" ref="R186:R247" si="61">IF(ISNA(VLOOKUP(C186,INCNG,10,FALSE)),0,VLOOKUP(C186,INCNG,10,FALSE))</f>
        <v>548</v>
      </c>
      <c r="S186">
        <f t="shared" si="50"/>
        <v>168</v>
      </c>
      <c r="T186" s="18">
        <f t="shared" si="43"/>
        <v>73</v>
      </c>
      <c r="U186" s="151">
        <f t="shared" si="54"/>
        <v>16</v>
      </c>
      <c r="V186" s="151">
        <f t="shared" si="55"/>
        <v>51</v>
      </c>
      <c r="W186" s="151">
        <f t="shared" si="56"/>
        <v>21</v>
      </c>
      <c r="X186" s="151">
        <f t="shared" si="57"/>
        <v>7</v>
      </c>
      <c r="Y186" s="18">
        <f t="shared" si="45"/>
        <v>95</v>
      </c>
      <c r="AB186" s="168"/>
      <c r="AC186" s="168"/>
      <c r="AD186" t="e">
        <f t="shared" si="44"/>
        <v>#N/A</v>
      </c>
    </row>
    <row r="187" spans="1:30" x14ac:dyDescent="0.2">
      <c r="A187" s="183" t="s">
        <v>554</v>
      </c>
      <c r="B187" t="s">
        <v>386</v>
      </c>
      <c r="C187" t="s">
        <v>509</v>
      </c>
      <c r="D187">
        <v>4037201</v>
      </c>
      <c r="E187" t="s">
        <v>502</v>
      </c>
      <c r="F187" s="177">
        <v>37196</v>
      </c>
      <c r="G187" s="177"/>
      <c r="H187" s="177"/>
      <c r="I187" s="177" t="s">
        <v>576</v>
      </c>
      <c r="J187">
        <f t="shared" si="41"/>
        <v>314</v>
      </c>
      <c r="K187">
        <f t="shared" si="42"/>
        <v>347</v>
      </c>
      <c r="L187" s="67">
        <f t="shared" si="51"/>
        <v>2.2800000000000001E-2</v>
      </c>
      <c r="M187" s="127">
        <f t="shared" si="52"/>
        <v>7.1592000000000002</v>
      </c>
      <c r="N187" s="127">
        <f t="shared" si="46"/>
        <v>7.9116</v>
      </c>
      <c r="O187" s="127">
        <f t="shared" si="59"/>
        <v>272</v>
      </c>
      <c r="P187" s="127">
        <f t="shared" si="48"/>
        <v>301</v>
      </c>
      <c r="Q187" s="43" t="str">
        <f t="shared" si="60"/>
        <v>Y</v>
      </c>
      <c r="R187" s="43">
        <f t="shared" si="61"/>
        <v>272</v>
      </c>
      <c r="S187">
        <f t="shared" si="50"/>
        <v>75</v>
      </c>
      <c r="T187" s="18">
        <f t="shared" si="43"/>
        <v>29</v>
      </c>
      <c r="U187" s="151">
        <f t="shared" si="54"/>
        <v>8</v>
      </c>
      <c r="V187" s="151">
        <f t="shared" si="55"/>
        <v>24</v>
      </c>
      <c r="W187" s="151">
        <f t="shared" si="56"/>
        <v>10</v>
      </c>
      <c r="X187" s="151">
        <f t="shared" si="57"/>
        <v>3</v>
      </c>
      <c r="Y187" s="18">
        <f t="shared" si="45"/>
        <v>45</v>
      </c>
      <c r="AB187" s="168"/>
      <c r="AC187" s="168"/>
      <c r="AD187" t="e">
        <f t="shared" si="44"/>
        <v>#N/A</v>
      </c>
    </row>
    <row r="188" spans="1:30" x14ac:dyDescent="0.2">
      <c r="A188" s="183" t="s">
        <v>554</v>
      </c>
      <c r="B188" t="s">
        <v>386</v>
      </c>
      <c r="C188" t="s">
        <v>218</v>
      </c>
      <c r="D188">
        <v>4043501</v>
      </c>
      <c r="E188" t="s">
        <v>215</v>
      </c>
      <c r="F188" s="177">
        <v>37196</v>
      </c>
      <c r="G188" s="177"/>
      <c r="H188" s="177"/>
      <c r="I188" s="177" t="s">
        <v>576</v>
      </c>
      <c r="J188">
        <f t="shared" si="41"/>
        <v>70</v>
      </c>
      <c r="K188">
        <f t="shared" si="42"/>
        <v>96</v>
      </c>
      <c r="L188" s="67">
        <f t="shared" si="51"/>
        <v>2.2800000000000001E-2</v>
      </c>
      <c r="M188" s="127">
        <f t="shared" si="52"/>
        <v>1.5960000000000001</v>
      </c>
      <c r="N188" s="127">
        <f t="shared" si="46"/>
        <v>2.1888000000000001</v>
      </c>
      <c r="O188" s="127">
        <f t="shared" si="59"/>
        <v>61</v>
      </c>
      <c r="P188" s="127">
        <f t="shared" si="48"/>
        <v>83</v>
      </c>
      <c r="Q188" s="43" t="str">
        <f t="shared" si="60"/>
        <v>Y</v>
      </c>
      <c r="R188" s="43">
        <f t="shared" si="61"/>
        <v>61</v>
      </c>
      <c r="S188">
        <f t="shared" si="50"/>
        <v>35</v>
      </c>
      <c r="T188" s="18">
        <f t="shared" si="43"/>
        <v>22</v>
      </c>
      <c r="U188" s="151">
        <f t="shared" si="54"/>
        <v>2</v>
      </c>
      <c r="V188" s="151">
        <f t="shared" si="55"/>
        <v>7</v>
      </c>
      <c r="W188" s="151">
        <f t="shared" si="56"/>
        <v>3</v>
      </c>
      <c r="X188" s="151">
        <f t="shared" si="57"/>
        <v>1</v>
      </c>
      <c r="Y188" s="18">
        <f t="shared" si="45"/>
        <v>13</v>
      </c>
      <c r="AB188" s="168"/>
      <c r="AC188" s="168"/>
      <c r="AD188" t="e">
        <f t="shared" si="44"/>
        <v>#N/A</v>
      </c>
    </row>
    <row r="189" spans="1:30" x14ac:dyDescent="0.2">
      <c r="A189" s="183" t="s">
        <v>554</v>
      </c>
      <c r="B189" t="s">
        <v>386</v>
      </c>
      <c r="C189" t="s">
        <v>267</v>
      </c>
      <c r="D189">
        <v>4044101</v>
      </c>
      <c r="E189" t="s">
        <v>217</v>
      </c>
      <c r="F189" s="177">
        <v>37196</v>
      </c>
      <c r="G189" s="177"/>
      <c r="H189" s="177"/>
      <c r="I189" s="177" t="s">
        <v>576</v>
      </c>
      <c r="J189">
        <f t="shared" si="41"/>
        <v>0</v>
      </c>
      <c r="K189">
        <f t="shared" si="42"/>
        <v>0</v>
      </c>
      <c r="L189" s="67">
        <f t="shared" si="51"/>
        <v>2.2800000000000001E-2</v>
      </c>
      <c r="M189" s="127">
        <f t="shared" si="52"/>
        <v>0</v>
      </c>
      <c r="N189" s="127">
        <f t="shared" si="46"/>
        <v>0</v>
      </c>
      <c r="O189" s="127">
        <f t="shared" si="59"/>
        <v>0</v>
      </c>
      <c r="P189" s="127">
        <f t="shared" si="48"/>
        <v>0</v>
      </c>
      <c r="Q189" s="43" t="str">
        <f t="shared" si="60"/>
        <v>Y</v>
      </c>
      <c r="R189" s="43">
        <f t="shared" si="61"/>
        <v>0</v>
      </c>
      <c r="S189">
        <f t="shared" si="50"/>
        <v>0</v>
      </c>
      <c r="T189" s="18">
        <f t="shared" si="43"/>
        <v>0</v>
      </c>
      <c r="U189" s="151">
        <f t="shared" si="54"/>
        <v>0</v>
      </c>
      <c r="V189" s="151">
        <f t="shared" si="55"/>
        <v>0</v>
      </c>
      <c r="W189" s="151">
        <f t="shared" si="56"/>
        <v>0</v>
      </c>
      <c r="X189" s="151">
        <f t="shared" si="57"/>
        <v>0</v>
      </c>
      <c r="Y189" s="18">
        <f t="shared" si="45"/>
        <v>0</v>
      </c>
      <c r="AB189" s="168"/>
      <c r="AC189" s="168"/>
      <c r="AD189" t="e">
        <f t="shared" si="44"/>
        <v>#N/A</v>
      </c>
    </row>
    <row r="190" spans="1:30" x14ac:dyDescent="0.2">
      <c r="A190" s="183" t="s">
        <v>554</v>
      </c>
      <c r="B190" t="s">
        <v>386</v>
      </c>
      <c r="C190" t="s">
        <v>219</v>
      </c>
      <c r="D190">
        <v>4044401</v>
      </c>
      <c r="E190" t="s">
        <v>555</v>
      </c>
      <c r="F190" s="177">
        <v>37196</v>
      </c>
      <c r="G190" s="177"/>
      <c r="H190" s="177"/>
      <c r="I190" s="177" t="s">
        <v>576</v>
      </c>
      <c r="J190">
        <f t="shared" si="41"/>
        <v>134</v>
      </c>
      <c r="K190">
        <f t="shared" si="42"/>
        <v>156</v>
      </c>
      <c r="L190" s="67">
        <f t="shared" si="51"/>
        <v>2.2800000000000001E-2</v>
      </c>
      <c r="M190" s="127">
        <f t="shared" si="52"/>
        <v>3.0552000000000001</v>
      </c>
      <c r="N190" s="127">
        <f t="shared" si="46"/>
        <v>3.5568</v>
      </c>
      <c r="O190" s="127">
        <f t="shared" si="59"/>
        <v>116</v>
      </c>
      <c r="P190" s="127">
        <f t="shared" si="48"/>
        <v>135</v>
      </c>
      <c r="Q190" s="43" t="str">
        <f t="shared" si="60"/>
        <v>Y</v>
      </c>
      <c r="R190" s="43">
        <f t="shared" si="61"/>
        <v>116</v>
      </c>
      <c r="S190">
        <f t="shared" si="50"/>
        <v>40</v>
      </c>
      <c r="T190" s="18">
        <f t="shared" si="43"/>
        <v>19</v>
      </c>
      <c r="U190" s="151">
        <f t="shared" si="54"/>
        <v>4</v>
      </c>
      <c r="V190" s="151">
        <f t="shared" si="55"/>
        <v>11</v>
      </c>
      <c r="W190" s="151">
        <f t="shared" si="56"/>
        <v>5</v>
      </c>
      <c r="X190" s="151">
        <f t="shared" si="57"/>
        <v>1</v>
      </c>
      <c r="Y190" s="18">
        <f t="shared" si="45"/>
        <v>21</v>
      </c>
      <c r="AB190" s="168"/>
      <c r="AC190" s="168"/>
      <c r="AD190" t="e">
        <f t="shared" si="44"/>
        <v>#N/A</v>
      </c>
    </row>
    <row r="191" spans="1:30" x14ac:dyDescent="0.2">
      <c r="A191" s="183" t="s">
        <v>554</v>
      </c>
      <c r="B191" t="s">
        <v>386</v>
      </c>
      <c r="C191" t="s">
        <v>511</v>
      </c>
      <c r="D191">
        <v>4051201</v>
      </c>
      <c r="E191" t="s">
        <v>502</v>
      </c>
      <c r="F191" s="177">
        <v>37196</v>
      </c>
      <c r="G191" s="177"/>
      <c r="H191" s="177"/>
      <c r="I191" s="177" t="s">
        <v>576</v>
      </c>
      <c r="J191">
        <f t="shared" si="41"/>
        <v>177</v>
      </c>
      <c r="K191">
        <f t="shared" si="42"/>
        <v>206</v>
      </c>
      <c r="L191" s="67">
        <f t="shared" si="51"/>
        <v>2.2800000000000001E-2</v>
      </c>
      <c r="M191" s="127">
        <f t="shared" si="52"/>
        <v>4.0356000000000005</v>
      </c>
      <c r="N191" s="127">
        <f t="shared" si="46"/>
        <v>4.6968000000000005</v>
      </c>
      <c r="O191" s="127">
        <f t="shared" si="59"/>
        <v>154</v>
      </c>
      <c r="P191" s="127">
        <f t="shared" si="48"/>
        <v>179</v>
      </c>
      <c r="Q191" s="43" t="str">
        <f t="shared" si="60"/>
        <v>Y</v>
      </c>
      <c r="R191" s="43">
        <f t="shared" si="61"/>
        <v>154</v>
      </c>
      <c r="S191">
        <f t="shared" si="50"/>
        <v>52</v>
      </c>
      <c r="T191" s="18">
        <f t="shared" si="43"/>
        <v>25</v>
      </c>
      <c r="U191" s="151">
        <f t="shared" si="54"/>
        <v>5</v>
      </c>
      <c r="V191" s="151">
        <f t="shared" si="55"/>
        <v>15</v>
      </c>
      <c r="W191" s="151">
        <f t="shared" si="56"/>
        <v>6</v>
      </c>
      <c r="X191" s="151">
        <f t="shared" si="57"/>
        <v>2</v>
      </c>
      <c r="Y191" s="18">
        <f t="shared" si="45"/>
        <v>28</v>
      </c>
      <c r="AB191" s="168"/>
      <c r="AC191" s="168"/>
      <c r="AD191" t="e">
        <f t="shared" si="44"/>
        <v>#N/A</v>
      </c>
    </row>
    <row r="192" spans="1:30" x14ac:dyDescent="0.2">
      <c r="A192" s="183" t="s">
        <v>554</v>
      </c>
      <c r="B192" t="s">
        <v>386</v>
      </c>
      <c r="C192" t="s">
        <v>214</v>
      </c>
      <c r="D192">
        <v>4058801</v>
      </c>
      <c r="E192" t="s">
        <v>215</v>
      </c>
      <c r="F192" s="177">
        <v>37196</v>
      </c>
      <c r="G192" s="177"/>
      <c r="H192" s="177"/>
      <c r="I192" s="177" t="s">
        <v>576</v>
      </c>
      <c r="J192">
        <f t="shared" si="41"/>
        <v>139</v>
      </c>
      <c r="K192">
        <f t="shared" si="42"/>
        <v>169</v>
      </c>
      <c r="L192" s="67">
        <f t="shared" si="51"/>
        <v>2.2800000000000001E-2</v>
      </c>
      <c r="M192" s="127">
        <f t="shared" si="52"/>
        <v>3.1692</v>
      </c>
      <c r="N192" s="127">
        <f t="shared" si="46"/>
        <v>3.8532000000000002</v>
      </c>
      <c r="O192" s="127">
        <f t="shared" si="59"/>
        <v>121</v>
      </c>
      <c r="P192" s="127">
        <f t="shared" si="48"/>
        <v>147</v>
      </c>
      <c r="Q192" s="43" t="str">
        <f t="shared" si="60"/>
        <v>Y</v>
      </c>
      <c r="R192" s="43">
        <f t="shared" si="61"/>
        <v>121</v>
      </c>
      <c r="S192">
        <f t="shared" si="50"/>
        <v>48</v>
      </c>
      <c r="T192" s="18">
        <f t="shared" si="43"/>
        <v>26</v>
      </c>
      <c r="U192" s="151">
        <f t="shared" si="54"/>
        <v>4</v>
      </c>
      <c r="V192" s="151">
        <f t="shared" si="55"/>
        <v>12</v>
      </c>
      <c r="W192" s="151">
        <f t="shared" si="56"/>
        <v>5</v>
      </c>
      <c r="X192" s="151">
        <f t="shared" si="57"/>
        <v>2</v>
      </c>
      <c r="Y192" s="18">
        <f t="shared" si="45"/>
        <v>23</v>
      </c>
      <c r="AB192" s="168"/>
      <c r="AC192" s="168"/>
      <c r="AD192" t="e">
        <f t="shared" si="44"/>
        <v>#N/A</v>
      </c>
    </row>
    <row r="193" spans="1:30" x14ac:dyDescent="0.2">
      <c r="A193" s="183" t="s">
        <v>554</v>
      </c>
      <c r="B193" t="s">
        <v>386</v>
      </c>
      <c r="C193" t="s">
        <v>512</v>
      </c>
      <c r="D193">
        <v>4065201</v>
      </c>
      <c r="E193" t="s">
        <v>502</v>
      </c>
      <c r="F193" s="177">
        <v>37196</v>
      </c>
      <c r="G193" s="177"/>
      <c r="H193" s="177"/>
      <c r="I193" s="177" t="s">
        <v>576</v>
      </c>
      <c r="J193">
        <f t="shared" si="41"/>
        <v>468</v>
      </c>
      <c r="K193">
        <f t="shared" si="42"/>
        <v>561</v>
      </c>
      <c r="L193" s="67">
        <f t="shared" si="51"/>
        <v>2.2800000000000001E-2</v>
      </c>
      <c r="M193" s="127">
        <f t="shared" si="52"/>
        <v>10.670400000000001</v>
      </c>
      <c r="N193" s="127">
        <f t="shared" si="46"/>
        <v>12.790800000000001</v>
      </c>
      <c r="O193" s="127">
        <f t="shared" si="59"/>
        <v>406</v>
      </c>
      <c r="P193" s="127">
        <f t="shared" si="48"/>
        <v>487</v>
      </c>
      <c r="Q193" s="43" t="str">
        <f t="shared" si="60"/>
        <v>Y</v>
      </c>
      <c r="R193" s="43">
        <f t="shared" si="61"/>
        <v>406</v>
      </c>
      <c r="S193">
        <f t="shared" si="50"/>
        <v>155</v>
      </c>
      <c r="T193" s="18">
        <f t="shared" si="43"/>
        <v>81</v>
      </c>
      <c r="U193" s="151">
        <f t="shared" si="54"/>
        <v>13</v>
      </c>
      <c r="V193" s="151">
        <f t="shared" si="55"/>
        <v>40</v>
      </c>
      <c r="W193" s="151">
        <f t="shared" si="56"/>
        <v>17</v>
      </c>
      <c r="X193" s="151">
        <f t="shared" si="57"/>
        <v>5</v>
      </c>
      <c r="Y193" s="18">
        <f t="shared" si="45"/>
        <v>75</v>
      </c>
      <c r="AB193" s="168"/>
      <c r="AC193" s="168"/>
      <c r="AD193" t="e">
        <f t="shared" si="44"/>
        <v>#N/A</v>
      </c>
    </row>
    <row r="194" spans="1:30" x14ac:dyDescent="0.2">
      <c r="A194" s="183" t="s">
        <v>554</v>
      </c>
      <c r="B194" t="s">
        <v>386</v>
      </c>
      <c r="C194" t="s">
        <v>513</v>
      </c>
      <c r="D194">
        <v>4075401</v>
      </c>
      <c r="E194" t="s">
        <v>502</v>
      </c>
      <c r="F194" s="177">
        <v>37196</v>
      </c>
      <c r="G194" s="177"/>
      <c r="H194" s="177"/>
      <c r="I194" s="177" t="s">
        <v>576</v>
      </c>
      <c r="J194">
        <f t="shared" si="41"/>
        <v>372</v>
      </c>
      <c r="K194">
        <f t="shared" si="42"/>
        <v>435</v>
      </c>
      <c r="L194" s="67">
        <f t="shared" si="51"/>
        <v>2.2800000000000001E-2</v>
      </c>
      <c r="M194" s="127">
        <f t="shared" si="52"/>
        <v>8.4816000000000003</v>
      </c>
      <c r="N194" s="127">
        <f t="shared" si="46"/>
        <v>9.918000000000001</v>
      </c>
      <c r="O194" s="127">
        <f t="shared" si="59"/>
        <v>323</v>
      </c>
      <c r="P194" s="127">
        <f t="shared" si="48"/>
        <v>377</v>
      </c>
      <c r="Q194" s="43" t="str">
        <f t="shared" si="60"/>
        <v>Y</v>
      </c>
      <c r="R194" s="43">
        <f t="shared" si="61"/>
        <v>323</v>
      </c>
      <c r="S194">
        <f t="shared" si="50"/>
        <v>112</v>
      </c>
      <c r="T194" s="18">
        <f t="shared" si="43"/>
        <v>54</v>
      </c>
      <c r="U194" s="151">
        <f t="shared" si="54"/>
        <v>10</v>
      </c>
      <c r="V194" s="151">
        <f t="shared" si="55"/>
        <v>31</v>
      </c>
      <c r="W194" s="151">
        <f t="shared" si="56"/>
        <v>13</v>
      </c>
      <c r="X194" s="151">
        <f t="shared" si="57"/>
        <v>4</v>
      </c>
      <c r="Y194" s="18">
        <f t="shared" si="45"/>
        <v>58</v>
      </c>
      <c r="AB194" s="168"/>
      <c r="AC194" s="168"/>
      <c r="AD194" t="e">
        <f t="shared" si="44"/>
        <v>#N/A</v>
      </c>
    </row>
    <row r="195" spans="1:30" x14ac:dyDescent="0.2">
      <c r="A195" s="183" t="s">
        <v>554</v>
      </c>
      <c r="B195" t="s">
        <v>386</v>
      </c>
      <c r="C195" t="s">
        <v>515</v>
      </c>
      <c r="D195">
        <v>4085901</v>
      </c>
      <c r="E195" t="s">
        <v>556</v>
      </c>
      <c r="F195" s="177">
        <v>37196</v>
      </c>
      <c r="G195" s="177"/>
      <c r="H195" s="177"/>
      <c r="I195" s="177" t="s">
        <v>576</v>
      </c>
      <c r="J195">
        <f t="shared" ref="J195:J247" si="62">IF(ISNA(VLOOKUP(C195,CNGx,2,FALSE)),"na",(VLOOKUP(C195,CNGx,2,FALSE)))</f>
        <v>102</v>
      </c>
      <c r="K195">
        <f t="shared" ref="K195:K247" si="63">IF(ISNA(VLOOKUP(C195,CNGx,3,0)),0,VLOOKUP(C195,CNGx,3,FALSE))</f>
        <v>117</v>
      </c>
      <c r="L195" s="67">
        <f t="shared" si="51"/>
        <v>2.2800000000000001E-2</v>
      </c>
      <c r="M195" s="127">
        <f t="shared" si="52"/>
        <v>2.3256000000000001</v>
      </c>
      <c r="N195" s="127">
        <f t="shared" si="46"/>
        <v>2.6676000000000002</v>
      </c>
      <c r="O195" s="127">
        <f t="shared" si="59"/>
        <v>88</v>
      </c>
      <c r="P195" s="127">
        <f t="shared" si="48"/>
        <v>101</v>
      </c>
      <c r="Q195" s="43" t="str">
        <f t="shared" si="60"/>
        <v>Y</v>
      </c>
      <c r="R195" s="43">
        <f t="shared" si="61"/>
        <v>88</v>
      </c>
      <c r="S195">
        <f t="shared" si="50"/>
        <v>29</v>
      </c>
      <c r="T195" s="18">
        <f t="shared" ref="T195:T247" si="64">+P195-R195</f>
        <v>13</v>
      </c>
      <c r="U195" s="151">
        <f t="shared" si="54"/>
        <v>3</v>
      </c>
      <c r="V195" s="151">
        <f t="shared" si="55"/>
        <v>8</v>
      </c>
      <c r="W195" s="151">
        <f t="shared" si="56"/>
        <v>4</v>
      </c>
      <c r="X195" s="151">
        <f t="shared" si="57"/>
        <v>1</v>
      </c>
      <c r="Y195" s="18">
        <f t="shared" si="45"/>
        <v>16</v>
      </c>
      <c r="AB195" s="168"/>
      <c r="AC195" s="168"/>
      <c r="AD195" t="e">
        <f t="shared" si="44"/>
        <v>#N/A</v>
      </c>
    </row>
    <row r="196" spans="1:30" x14ac:dyDescent="0.2">
      <c r="A196" s="183" t="s">
        <v>554</v>
      </c>
      <c r="B196" t="s">
        <v>386</v>
      </c>
      <c r="C196" t="s">
        <v>123</v>
      </c>
      <c r="D196">
        <v>4092601</v>
      </c>
      <c r="E196" t="s">
        <v>119</v>
      </c>
      <c r="F196" s="177">
        <v>37196</v>
      </c>
      <c r="G196" s="177"/>
      <c r="H196" s="177"/>
      <c r="I196" s="177" t="s">
        <v>576</v>
      </c>
      <c r="J196">
        <f t="shared" si="62"/>
        <v>834</v>
      </c>
      <c r="K196">
        <f t="shared" si="63"/>
        <v>934</v>
      </c>
      <c r="L196" s="67">
        <f t="shared" si="51"/>
        <v>2.2800000000000001E-2</v>
      </c>
      <c r="M196" s="127">
        <f t="shared" si="52"/>
        <v>19.0152</v>
      </c>
      <c r="N196" s="127">
        <f t="shared" si="46"/>
        <v>21.295200000000001</v>
      </c>
      <c r="O196" s="127">
        <f t="shared" si="59"/>
        <v>723</v>
      </c>
      <c r="P196" s="127">
        <f t="shared" si="48"/>
        <v>810</v>
      </c>
      <c r="Q196" s="43" t="str">
        <f t="shared" si="60"/>
        <v>Y</v>
      </c>
      <c r="R196" s="43">
        <f t="shared" si="61"/>
        <v>723</v>
      </c>
      <c r="S196">
        <f t="shared" si="50"/>
        <v>211</v>
      </c>
      <c r="T196" s="18">
        <f t="shared" si="64"/>
        <v>87</v>
      </c>
      <c r="U196" s="151">
        <f t="shared" si="54"/>
        <v>21</v>
      </c>
      <c r="V196" s="151">
        <f t="shared" si="55"/>
        <v>66</v>
      </c>
      <c r="W196" s="151">
        <f t="shared" si="56"/>
        <v>28</v>
      </c>
      <c r="X196" s="151">
        <f t="shared" si="57"/>
        <v>8</v>
      </c>
      <c r="Y196" s="18">
        <f t="shared" si="45"/>
        <v>123</v>
      </c>
      <c r="AB196" s="168"/>
      <c r="AC196" s="168"/>
      <c r="AD196" t="e">
        <f t="shared" si="44"/>
        <v>#N/A</v>
      </c>
    </row>
    <row r="197" spans="1:30" x14ac:dyDescent="0.2">
      <c r="A197" s="183" t="s">
        <v>554</v>
      </c>
      <c r="B197" t="s">
        <v>386</v>
      </c>
      <c r="C197" t="s">
        <v>516</v>
      </c>
      <c r="D197">
        <v>4098601</v>
      </c>
      <c r="E197" t="s">
        <v>502</v>
      </c>
      <c r="F197" s="177">
        <v>37196</v>
      </c>
      <c r="G197" s="177"/>
      <c r="H197" s="177"/>
      <c r="I197" s="177" t="s">
        <v>576</v>
      </c>
      <c r="J197">
        <f t="shared" si="62"/>
        <v>272</v>
      </c>
      <c r="K197">
        <f t="shared" si="63"/>
        <v>311</v>
      </c>
      <c r="L197" s="67">
        <f t="shared" si="51"/>
        <v>2.2800000000000001E-2</v>
      </c>
      <c r="M197" s="127">
        <f t="shared" si="52"/>
        <v>6.2016</v>
      </c>
      <c r="N197" s="127">
        <f t="shared" si="46"/>
        <v>7.0908000000000007</v>
      </c>
      <c r="O197" s="127">
        <f t="shared" si="59"/>
        <v>236</v>
      </c>
      <c r="P197" s="127">
        <f t="shared" si="48"/>
        <v>270</v>
      </c>
      <c r="Q197" s="43" t="str">
        <f t="shared" si="60"/>
        <v>Y</v>
      </c>
      <c r="R197" s="43">
        <f t="shared" si="61"/>
        <v>236</v>
      </c>
      <c r="S197">
        <f t="shared" si="50"/>
        <v>75</v>
      </c>
      <c r="T197" s="18">
        <f t="shared" si="64"/>
        <v>34</v>
      </c>
      <c r="U197" s="151">
        <f t="shared" si="54"/>
        <v>7</v>
      </c>
      <c r="V197" s="151">
        <f t="shared" si="55"/>
        <v>22</v>
      </c>
      <c r="W197" s="151">
        <f t="shared" si="56"/>
        <v>9</v>
      </c>
      <c r="X197" s="151">
        <f t="shared" si="57"/>
        <v>3</v>
      </c>
      <c r="Y197" s="18">
        <f t="shared" si="45"/>
        <v>41</v>
      </c>
      <c r="AB197" s="168"/>
      <c r="AC197" s="168"/>
      <c r="AD197" t="e">
        <f t="shared" si="44"/>
        <v>#N/A</v>
      </c>
    </row>
    <row r="198" spans="1:30" x14ac:dyDescent="0.2">
      <c r="A198" s="183" t="s">
        <v>554</v>
      </c>
      <c r="B198" t="s">
        <v>386</v>
      </c>
      <c r="C198" t="s">
        <v>517</v>
      </c>
      <c r="D198">
        <v>4099201</v>
      </c>
      <c r="E198" t="s">
        <v>502</v>
      </c>
      <c r="F198" s="177">
        <v>37196</v>
      </c>
      <c r="G198" s="177"/>
      <c r="H198" s="177"/>
      <c r="I198" s="177" t="s">
        <v>576</v>
      </c>
      <c r="J198">
        <f t="shared" si="62"/>
        <v>163</v>
      </c>
      <c r="K198">
        <f t="shared" si="63"/>
        <v>190</v>
      </c>
      <c r="L198" s="67">
        <f t="shared" si="51"/>
        <v>2.2800000000000001E-2</v>
      </c>
      <c r="M198" s="127">
        <f t="shared" si="52"/>
        <v>3.7164000000000001</v>
      </c>
      <c r="N198" s="127">
        <f t="shared" si="46"/>
        <v>4.3319999999999999</v>
      </c>
      <c r="O198" s="127">
        <f t="shared" si="59"/>
        <v>141</v>
      </c>
      <c r="P198" s="127">
        <f t="shared" si="48"/>
        <v>165</v>
      </c>
      <c r="Q198" s="43" t="str">
        <f t="shared" si="60"/>
        <v>Y</v>
      </c>
      <c r="R198" s="43">
        <f t="shared" si="61"/>
        <v>141</v>
      </c>
      <c r="S198">
        <f t="shared" si="50"/>
        <v>49</v>
      </c>
      <c r="T198" s="18">
        <f t="shared" si="64"/>
        <v>24</v>
      </c>
      <c r="U198" s="151">
        <f t="shared" si="54"/>
        <v>4</v>
      </c>
      <c r="V198" s="151">
        <f t="shared" si="55"/>
        <v>13</v>
      </c>
      <c r="W198" s="151">
        <f t="shared" si="56"/>
        <v>6</v>
      </c>
      <c r="X198" s="151">
        <f t="shared" si="57"/>
        <v>2</v>
      </c>
      <c r="Y198" s="18">
        <f t="shared" si="45"/>
        <v>25</v>
      </c>
      <c r="AB198" s="168"/>
      <c r="AC198" s="168"/>
      <c r="AD198" t="e">
        <f t="shared" si="44"/>
        <v>#N/A</v>
      </c>
    </row>
    <row r="199" spans="1:30" x14ac:dyDescent="0.2">
      <c r="A199" s="183" t="s">
        <v>554</v>
      </c>
      <c r="B199" t="s">
        <v>386</v>
      </c>
      <c r="C199" t="s">
        <v>226</v>
      </c>
      <c r="D199">
        <v>4106301</v>
      </c>
      <c r="E199" t="s">
        <v>164</v>
      </c>
      <c r="F199" s="177">
        <v>37196</v>
      </c>
      <c r="G199" s="177"/>
      <c r="H199" s="177"/>
      <c r="I199" s="177" t="s">
        <v>576</v>
      </c>
      <c r="J199">
        <f t="shared" si="62"/>
        <v>26</v>
      </c>
      <c r="K199">
        <f t="shared" si="63"/>
        <v>32</v>
      </c>
      <c r="L199" s="67">
        <f t="shared" si="51"/>
        <v>2.2800000000000001E-2</v>
      </c>
      <c r="M199" s="127">
        <f t="shared" si="52"/>
        <v>0.59279999999999999</v>
      </c>
      <c r="N199" s="127">
        <f t="shared" si="46"/>
        <v>0.72960000000000003</v>
      </c>
      <c r="O199" s="127">
        <f t="shared" si="59"/>
        <v>23</v>
      </c>
      <c r="P199" s="127">
        <f t="shared" si="48"/>
        <v>28</v>
      </c>
      <c r="Q199" s="43" t="str">
        <f t="shared" si="60"/>
        <v>Y</v>
      </c>
      <c r="R199" s="43">
        <f t="shared" si="61"/>
        <v>23</v>
      </c>
      <c r="S199">
        <f t="shared" si="50"/>
        <v>9</v>
      </c>
      <c r="T199" s="18">
        <f t="shared" si="64"/>
        <v>5</v>
      </c>
      <c r="U199" s="151">
        <f t="shared" si="54"/>
        <v>1</v>
      </c>
      <c r="V199" s="151">
        <f t="shared" si="55"/>
        <v>2</v>
      </c>
      <c r="W199" s="151">
        <f t="shared" si="56"/>
        <v>1</v>
      </c>
      <c r="X199" s="151">
        <f t="shared" si="57"/>
        <v>0</v>
      </c>
      <c r="Y199" s="18">
        <f t="shared" si="45"/>
        <v>4</v>
      </c>
      <c r="AB199" s="168"/>
      <c r="AC199" s="168"/>
      <c r="AD199" t="e">
        <f t="shared" si="44"/>
        <v>#N/A</v>
      </c>
    </row>
    <row r="200" spans="1:30" x14ac:dyDescent="0.2">
      <c r="A200" s="183" t="s">
        <v>554</v>
      </c>
      <c r="B200" t="s">
        <v>386</v>
      </c>
      <c r="C200" t="s">
        <v>518</v>
      </c>
      <c r="D200">
        <v>4110101</v>
      </c>
      <c r="E200" t="s">
        <v>502</v>
      </c>
      <c r="F200" s="177">
        <v>37196</v>
      </c>
      <c r="G200" s="177"/>
      <c r="H200" s="177"/>
      <c r="I200" s="177" t="s">
        <v>576</v>
      </c>
      <c r="J200">
        <f t="shared" si="62"/>
        <v>532</v>
      </c>
      <c r="K200">
        <f t="shared" si="63"/>
        <v>606</v>
      </c>
      <c r="L200" s="67">
        <f t="shared" si="51"/>
        <v>2.2800000000000001E-2</v>
      </c>
      <c r="M200" s="127">
        <f t="shared" si="52"/>
        <v>12.1296</v>
      </c>
      <c r="N200" s="127">
        <f t="shared" si="46"/>
        <v>13.816800000000001</v>
      </c>
      <c r="O200" s="127">
        <f t="shared" si="59"/>
        <v>462</v>
      </c>
      <c r="P200" s="127">
        <f t="shared" si="48"/>
        <v>526</v>
      </c>
      <c r="Q200" s="43" t="str">
        <f t="shared" si="60"/>
        <v>Y</v>
      </c>
      <c r="R200" s="43">
        <f t="shared" si="61"/>
        <v>462</v>
      </c>
      <c r="S200">
        <f t="shared" si="50"/>
        <v>144</v>
      </c>
      <c r="T200" s="18">
        <f t="shared" si="64"/>
        <v>64</v>
      </c>
      <c r="U200" s="151">
        <f t="shared" si="54"/>
        <v>14</v>
      </c>
      <c r="V200" s="151">
        <f t="shared" si="55"/>
        <v>43</v>
      </c>
      <c r="W200" s="151">
        <f t="shared" si="56"/>
        <v>18</v>
      </c>
      <c r="X200" s="151">
        <f t="shared" si="57"/>
        <v>6</v>
      </c>
      <c r="Y200" s="18">
        <f t="shared" si="45"/>
        <v>81</v>
      </c>
      <c r="AB200" s="168"/>
      <c r="AC200" s="168"/>
      <c r="AD200" t="e">
        <f t="shared" si="44"/>
        <v>#N/A</v>
      </c>
    </row>
    <row r="201" spans="1:30" x14ac:dyDescent="0.2">
      <c r="A201" s="183" t="s">
        <v>554</v>
      </c>
      <c r="B201" t="s">
        <v>386</v>
      </c>
      <c r="C201" t="s">
        <v>519</v>
      </c>
      <c r="D201">
        <v>4110201</v>
      </c>
      <c r="E201" t="s">
        <v>502</v>
      </c>
      <c r="F201" s="177">
        <v>37196</v>
      </c>
      <c r="G201" s="177"/>
      <c r="H201" s="177"/>
      <c r="I201" s="177" t="s">
        <v>576</v>
      </c>
      <c r="J201">
        <f t="shared" si="62"/>
        <v>756</v>
      </c>
      <c r="K201">
        <f t="shared" si="63"/>
        <v>873</v>
      </c>
      <c r="L201" s="67">
        <f t="shared" si="51"/>
        <v>2.2800000000000001E-2</v>
      </c>
      <c r="M201" s="127">
        <f t="shared" si="52"/>
        <v>17.236800000000002</v>
      </c>
      <c r="N201" s="127">
        <f t="shared" si="46"/>
        <v>19.904399999999999</v>
      </c>
      <c r="O201" s="127">
        <f t="shared" si="59"/>
        <v>656</v>
      </c>
      <c r="P201" s="127">
        <f t="shared" si="48"/>
        <v>757</v>
      </c>
      <c r="Q201" s="43" t="str">
        <f t="shared" si="60"/>
        <v>Y</v>
      </c>
      <c r="R201" s="43">
        <f t="shared" si="61"/>
        <v>656</v>
      </c>
      <c r="S201">
        <f t="shared" si="50"/>
        <v>217</v>
      </c>
      <c r="T201" s="18">
        <f t="shared" si="64"/>
        <v>101</v>
      </c>
      <c r="U201" s="151">
        <f t="shared" si="54"/>
        <v>20</v>
      </c>
      <c r="V201" s="151">
        <f t="shared" si="55"/>
        <v>62</v>
      </c>
      <c r="W201" s="151">
        <f t="shared" si="56"/>
        <v>26</v>
      </c>
      <c r="X201" s="151">
        <f t="shared" si="57"/>
        <v>8</v>
      </c>
      <c r="Y201" s="18">
        <f t="shared" si="45"/>
        <v>116</v>
      </c>
      <c r="AB201" s="168"/>
      <c r="AC201" s="168"/>
      <c r="AD201" t="e">
        <f t="shared" si="44"/>
        <v>#N/A</v>
      </c>
    </row>
    <row r="202" spans="1:30" x14ac:dyDescent="0.2">
      <c r="A202" s="183" t="s">
        <v>554</v>
      </c>
      <c r="B202" t="s">
        <v>386</v>
      </c>
      <c r="C202" t="s">
        <v>520</v>
      </c>
      <c r="D202">
        <v>4110301</v>
      </c>
      <c r="E202" t="s">
        <v>502</v>
      </c>
      <c r="F202" s="177">
        <v>37196</v>
      </c>
      <c r="G202" s="177"/>
      <c r="H202" s="177"/>
      <c r="I202" s="177" t="s">
        <v>576</v>
      </c>
      <c r="J202">
        <f t="shared" si="62"/>
        <v>318</v>
      </c>
      <c r="K202">
        <f t="shared" si="63"/>
        <v>362</v>
      </c>
      <c r="L202" s="67">
        <f t="shared" si="51"/>
        <v>2.2800000000000001E-2</v>
      </c>
      <c r="M202" s="127">
        <f t="shared" si="52"/>
        <v>7.2504</v>
      </c>
      <c r="N202" s="127">
        <f t="shared" si="46"/>
        <v>8.2536000000000005</v>
      </c>
      <c r="O202" s="127">
        <f t="shared" si="59"/>
        <v>276</v>
      </c>
      <c r="P202" s="127">
        <f t="shared" si="48"/>
        <v>314</v>
      </c>
      <c r="Q202" s="43" t="str">
        <f t="shared" si="60"/>
        <v>Y</v>
      </c>
      <c r="R202" s="43">
        <f t="shared" si="61"/>
        <v>276</v>
      </c>
      <c r="S202">
        <f t="shared" si="50"/>
        <v>86</v>
      </c>
      <c r="T202" s="18">
        <f t="shared" si="64"/>
        <v>38</v>
      </c>
      <c r="U202" s="151">
        <f t="shared" si="54"/>
        <v>8</v>
      </c>
      <c r="V202" s="151">
        <f t="shared" si="55"/>
        <v>26</v>
      </c>
      <c r="W202" s="151">
        <f t="shared" si="56"/>
        <v>11</v>
      </c>
      <c r="X202" s="151">
        <f t="shared" si="57"/>
        <v>3</v>
      </c>
      <c r="Y202" s="18">
        <f t="shared" si="45"/>
        <v>48</v>
      </c>
      <c r="AB202" s="168"/>
      <c r="AC202" s="168"/>
      <c r="AD202" t="e">
        <f t="shared" si="44"/>
        <v>#N/A</v>
      </c>
    </row>
    <row r="203" spans="1:30" x14ac:dyDescent="0.2">
      <c r="A203" s="183" t="s">
        <v>554</v>
      </c>
      <c r="B203" t="s">
        <v>386</v>
      </c>
      <c r="C203" t="s">
        <v>521</v>
      </c>
      <c r="D203">
        <v>4110401</v>
      </c>
      <c r="E203" t="s">
        <v>502</v>
      </c>
      <c r="F203" s="177">
        <v>37196</v>
      </c>
      <c r="G203" s="177"/>
      <c r="H203" s="177"/>
      <c r="I203" s="177" t="s">
        <v>576</v>
      </c>
      <c r="J203">
        <f t="shared" si="62"/>
        <v>566</v>
      </c>
      <c r="K203">
        <f t="shared" si="63"/>
        <v>648</v>
      </c>
      <c r="L203" s="67">
        <f t="shared" si="51"/>
        <v>2.2800000000000001E-2</v>
      </c>
      <c r="M203" s="127">
        <f t="shared" si="52"/>
        <v>12.9048</v>
      </c>
      <c r="N203" s="127">
        <f t="shared" si="46"/>
        <v>14.7744</v>
      </c>
      <c r="O203" s="127">
        <f t="shared" si="59"/>
        <v>491</v>
      </c>
      <c r="P203" s="127">
        <f t="shared" si="48"/>
        <v>562</v>
      </c>
      <c r="Q203" s="43" t="str">
        <f t="shared" si="60"/>
        <v>Y</v>
      </c>
      <c r="R203" s="43">
        <f t="shared" si="61"/>
        <v>491</v>
      </c>
      <c r="S203">
        <f t="shared" si="50"/>
        <v>157</v>
      </c>
      <c r="T203" s="18">
        <f t="shared" si="64"/>
        <v>71</v>
      </c>
      <c r="U203" s="151">
        <f t="shared" si="54"/>
        <v>15</v>
      </c>
      <c r="V203" s="151">
        <f t="shared" si="55"/>
        <v>46</v>
      </c>
      <c r="W203" s="151">
        <f t="shared" si="56"/>
        <v>19</v>
      </c>
      <c r="X203" s="151">
        <f t="shared" si="57"/>
        <v>6</v>
      </c>
      <c r="Y203" s="18">
        <f t="shared" si="45"/>
        <v>86</v>
      </c>
      <c r="AB203" s="168"/>
      <c r="AC203" s="168"/>
      <c r="AD203" t="e">
        <f t="shared" si="44"/>
        <v>#N/A</v>
      </c>
    </row>
    <row r="204" spans="1:30" x14ac:dyDescent="0.2">
      <c r="A204" s="183" t="s">
        <v>554</v>
      </c>
      <c r="B204" t="s">
        <v>386</v>
      </c>
      <c r="C204" t="s">
        <v>522</v>
      </c>
      <c r="D204">
        <v>4110701</v>
      </c>
      <c r="E204" t="s">
        <v>502</v>
      </c>
      <c r="F204" s="177">
        <v>37196</v>
      </c>
      <c r="G204" s="177"/>
      <c r="H204" s="177"/>
      <c r="I204" s="177" t="s">
        <v>576</v>
      </c>
      <c r="J204">
        <f t="shared" si="62"/>
        <v>842</v>
      </c>
      <c r="K204">
        <f t="shared" si="63"/>
        <v>976</v>
      </c>
      <c r="L204" s="67">
        <f t="shared" si="51"/>
        <v>2.2800000000000001E-2</v>
      </c>
      <c r="M204" s="127">
        <f t="shared" si="52"/>
        <v>19.197600000000001</v>
      </c>
      <c r="N204" s="127">
        <f t="shared" si="46"/>
        <v>22.252800000000001</v>
      </c>
      <c r="O204" s="127">
        <f t="shared" si="59"/>
        <v>730</v>
      </c>
      <c r="P204" s="127">
        <f t="shared" si="48"/>
        <v>847</v>
      </c>
      <c r="Q204" s="43" t="str">
        <f t="shared" si="60"/>
        <v>Y</v>
      </c>
      <c r="R204" s="43">
        <f t="shared" si="61"/>
        <v>730</v>
      </c>
      <c r="S204">
        <f t="shared" si="50"/>
        <v>246</v>
      </c>
      <c r="T204" s="18">
        <f t="shared" si="64"/>
        <v>117</v>
      </c>
      <c r="U204" s="151">
        <f t="shared" si="54"/>
        <v>22</v>
      </c>
      <c r="V204" s="151">
        <f t="shared" si="55"/>
        <v>69</v>
      </c>
      <c r="W204" s="151">
        <f t="shared" si="56"/>
        <v>29</v>
      </c>
      <c r="X204" s="151">
        <f t="shared" si="57"/>
        <v>9</v>
      </c>
      <c r="Y204" s="18">
        <f t="shared" si="45"/>
        <v>129</v>
      </c>
      <c r="AB204" s="168"/>
      <c r="AC204" s="168"/>
      <c r="AD204" t="e">
        <f t="shared" si="44"/>
        <v>#N/A</v>
      </c>
    </row>
    <row r="205" spans="1:30" x14ac:dyDescent="0.2">
      <c r="A205" s="183" t="s">
        <v>554</v>
      </c>
      <c r="B205" t="s">
        <v>388</v>
      </c>
      <c r="C205" t="s">
        <v>365</v>
      </c>
      <c r="D205">
        <v>4132101</v>
      </c>
      <c r="E205" t="s">
        <v>613</v>
      </c>
      <c r="F205" s="177">
        <v>37196</v>
      </c>
      <c r="G205" s="177"/>
      <c r="H205" s="177"/>
      <c r="I205" s="177" t="s">
        <v>575</v>
      </c>
      <c r="J205">
        <f t="shared" si="62"/>
        <v>76</v>
      </c>
      <c r="K205">
        <f t="shared" si="63"/>
        <v>82</v>
      </c>
      <c r="L205" s="67">
        <f t="shared" si="51"/>
        <v>2.2800000000000001E-2</v>
      </c>
      <c r="M205" s="127">
        <f t="shared" si="52"/>
        <v>1.7328000000000001</v>
      </c>
      <c r="N205" s="127">
        <f t="shared" si="46"/>
        <v>1.8696000000000002</v>
      </c>
      <c r="O205" s="127">
        <f t="shared" si="59"/>
        <v>69</v>
      </c>
      <c r="P205" s="127">
        <f t="shared" si="48"/>
        <v>74</v>
      </c>
      <c r="Q205" s="43" t="str">
        <f t="shared" si="60"/>
        <v>Y</v>
      </c>
      <c r="R205" s="43">
        <f t="shared" si="61"/>
        <v>69</v>
      </c>
      <c r="S205">
        <f t="shared" si="50"/>
        <v>13</v>
      </c>
      <c r="T205" s="18">
        <f t="shared" si="64"/>
        <v>5</v>
      </c>
      <c r="U205" s="151">
        <f t="shared" si="54"/>
        <v>2</v>
      </c>
      <c r="V205" s="151">
        <f t="shared" si="55"/>
        <v>6</v>
      </c>
      <c r="W205" s="151">
        <f t="shared" si="56"/>
        <v>0</v>
      </c>
      <c r="X205" s="151">
        <f t="shared" si="57"/>
        <v>0</v>
      </c>
      <c r="Y205" s="18">
        <f t="shared" si="45"/>
        <v>8</v>
      </c>
      <c r="AB205" s="168"/>
      <c r="AC205" s="168"/>
      <c r="AD205" t="e">
        <f t="shared" si="44"/>
        <v>#N/A</v>
      </c>
    </row>
    <row r="206" spans="1:30" x14ac:dyDescent="0.2">
      <c r="A206" s="183" t="s">
        <v>554</v>
      </c>
      <c r="B206" t="s">
        <v>388</v>
      </c>
      <c r="C206" t="s">
        <v>367</v>
      </c>
      <c r="D206">
        <v>4132201</v>
      </c>
      <c r="E206" t="s">
        <v>613</v>
      </c>
      <c r="F206" s="177">
        <v>37196</v>
      </c>
      <c r="G206" s="177"/>
      <c r="H206" s="177"/>
      <c r="I206" s="177" t="s">
        <v>575</v>
      </c>
      <c r="J206">
        <f t="shared" si="62"/>
        <v>27</v>
      </c>
      <c r="K206">
        <f t="shared" si="63"/>
        <v>31</v>
      </c>
      <c r="L206" s="67">
        <f t="shared" si="51"/>
        <v>2.2800000000000001E-2</v>
      </c>
      <c r="M206" s="127">
        <f t="shared" si="52"/>
        <v>0.61560000000000004</v>
      </c>
      <c r="N206" s="127">
        <f t="shared" si="46"/>
        <v>0.70679999999999998</v>
      </c>
      <c r="O206" s="127">
        <f t="shared" si="59"/>
        <v>24</v>
      </c>
      <c r="P206" s="127">
        <f t="shared" si="48"/>
        <v>28</v>
      </c>
      <c r="Q206" s="43" t="str">
        <f t="shared" si="60"/>
        <v>Y</v>
      </c>
      <c r="R206" s="43">
        <f t="shared" si="61"/>
        <v>24</v>
      </c>
      <c r="S206">
        <f t="shared" si="50"/>
        <v>7</v>
      </c>
      <c r="T206" s="18">
        <f t="shared" si="64"/>
        <v>4</v>
      </c>
      <c r="U206" s="151">
        <f t="shared" si="54"/>
        <v>1</v>
      </c>
      <c r="V206" s="151">
        <f t="shared" si="55"/>
        <v>2</v>
      </c>
      <c r="W206" s="151">
        <f t="shared" si="56"/>
        <v>0</v>
      </c>
      <c r="X206" s="151">
        <f t="shared" si="57"/>
        <v>0</v>
      </c>
      <c r="Y206" s="18">
        <f t="shared" si="45"/>
        <v>3</v>
      </c>
      <c r="AB206" s="168"/>
      <c r="AC206" s="168"/>
      <c r="AD206" t="e">
        <f t="shared" si="44"/>
        <v>#N/A</v>
      </c>
    </row>
    <row r="207" spans="1:30" x14ac:dyDescent="0.2">
      <c r="A207" s="183" t="s">
        <v>554</v>
      </c>
      <c r="B207" t="s">
        <v>388</v>
      </c>
      <c r="C207" t="s">
        <v>118</v>
      </c>
      <c r="D207">
        <v>4133001</v>
      </c>
      <c r="E207" t="s">
        <v>119</v>
      </c>
      <c r="F207" s="177">
        <v>37196</v>
      </c>
      <c r="G207" s="177"/>
      <c r="H207" s="177"/>
      <c r="I207" s="177" t="s">
        <v>575</v>
      </c>
      <c r="J207">
        <f t="shared" si="62"/>
        <v>0</v>
      </c>
      <c r="K207">
        <f t="shared" si="63"/>
        <v>0</v>
      </c>
      <c r="L207" s="67">
        <f t="shared" si="51"/>
        <v>2.2800000000000001E-2</v>
      </c>
      <c r="M207" s="127">
        <f t="shared" si="52"/>
        <v>0</v>
      </c>
      <c r="N207" s="127">
        <f t="shared" si="46"/>
        <v>0</v>
      </c>
      <c r="O207" s="127">
        <f t="shared" si="59"/>
        <v>0</v>
      </c>
      <c r="P207" s="127">
        <f t="shared" si="48"/>
        <v>0</v>
      </c>
      <c r="Q207" s="43" t="str">
        <f t="shared" si="60"/>
        <v>Y</v>
      </c>
      <c r="R207" s="43">
        <f t="shared" si="61"/>
        <v>0</v>
      </c>
      <c r="S207">
        <f t="shared" si="50"/>
        <v>0</v>
      </c>
      <c r="T207" s="18">
        <f t="shared" si="64"/>
        <v>0</v>
      </c>
      <c r="U207" s="151">
        <f t="shared" si="54"/>
        <v>0</v>
      </c>
      <c r="V207" s="151">
        <f t="shared" si="55"/>
        <v>0</v>
      </c>
      <c r="W207" s="151">
        <f t="shared" si="56"/>
        <v>0</v>
      </c>
      <c r="X207" s="151">
        <f t="shared" si="57"/>
        <v>0</v>
      </c>
      <c r="Y207" s="18">
        <f t="shared" si="45"/>
        <v>0</v>
      </c>
      <c r="AB207" s="168"/>
      <c r="AC207" s="168"/>
      <c r="AD207" t="e">
        <f t="shared" si="44"/>
        <v>#N/A</v>
      </c>
    </row>
    <row r="208" spans="1:30" x14ac:dyDescent="0.2">
      <c r="A208" s="183" t="s">
        <v>554</v>
      </c>
      <c r="B208" t="s">
        <v>388</v>
      </c>
      <c r="C208" t="s">
        <v>368</v>
      </c>
      <c r="D208">
        <v>4134301</v>
      </c>
      <c r="E208" t="s">
        <v>613</v>
      </c>
      <c r="F208" s="177">
        <v>37196</v>
      </c>
      <c r="G208" s="177"/>
      <c r="H208" s="177"/>
      <c r="I208" s="177" t="s">
        <v>575</v>
      </c>
      <c r="J208">
        <f t="shared" si="62"/>
        <v>14</v>
      </c>
      <c r="K208">
        <f t="shared" si="63"/>
        <v>13</v>
      </c>
      <c r="L208" s="67">
        <f t="shared" si="51"/>
        <v>2.2800000000000001E-2</v>
      </c>
      <c r="M208" s="127">
        <f t="shared" si="52"/>
        <v>0.31920000000000004</v>
      </c>
      <c r="N208" s="127">
        <f t="shared" si="46"/>
        <v>0.2964</v>
      </c>
      <c r="O208" s="127">
        <f t="shared" si="59"/>
        <v>13</v>
      </c>
      <c r="P208" s="127">
        <f t="shared" si="48"/>
        <v>12</v>
      </c>
      <c r="Q208" s="43" t="str">
        <f t="shared" si="60"/>
        <v>Y</v>
      </c>
      <c r="R208" s="43">
        <f t="shared" si="61"/>
        <v>13</v>
      </c>
      <c r="S208">
        <f t="shared" si="50"/>
        <v>0</v>
      </c>
      <c r="T208" s="18">
        <f t="shared" si="64"/>
        <v>-1</v>
      </c>
      <c r="U208" s="151">
        <f t="shared" si="54"/>
        <v>0</v>
      </c>
      <c r="V208" s="151">
        <f t="shared" si="55"/>
        <v>1</v>
      </c>
      <c r="W208" s="151">
        <f t="shared" si="56"/>
        <v>0</v>
      </c>
      <c r="X208" s="151">
        <f t="shared" si="57"/>
        <v>0</v>
      </c>
      <c r="Y208" s="18">
        <f t="shared" si="45"/>
        <v>1</v>
      </c>
      <c r="AB208" s="168"/>
      <c r="AC208" s="168"/>
      <c r="AD208" t="e">
        <f t="shared" si="44"/>
        <v>#N/A</v>
      </c>
    </row>
    <row r="209" spans="1:30" x14ac:dyDescent="0.2">
      <c r="A209" s="183" t="s">
        <v>554</v>
      </c>
      <c r="B209" t="s">
        <v>388</v>
      </c>
      <c r="C209" t="s">
        <v>369</v>
      </c>
      <c r="D209">
        <v>4137901</v>
      </c>
      <c r="E209" t="s">
        <v>613</v>
      </c>
      <c r="F209" s="177">
        <v>37196</v>
      </c>
      <c r="G209" s="177"/>
      <c r="H209" s="177"/>
      <c r="I209" s="177" t="s">
        <v>575</v>
      </c>
      <c r="J209">
        <f t="shared" si="62"/>
        <v>48</v>
      </c>
      <c r="K209">
        <f t="shared" si="63"/>
        <v>53</v>
      </c>
      <c r="L209" s="67">
        <f t="shared" si="51"/>
        <v>2.2800000000000001E-2</v>
      </c>
      <c r="M209" s="127">
        <f t="shared" si="52"/>
        <v>1.0944</v>
      </c>
      <c r="N209" s="127">
        <f t="shared" si="46"/>
        <v>1.2084000000000001</v>
      </c>
      <c r="O209" s="127">
        <f t="shared" si="59"/>
        <v>44</v>
      </c>
      <c r="P209" s="127">
        <f t="shared" si="48"/>
        <v>48</v>
      </c>
      <c r="Q209" s="43" t="str">
        <f t="shared" si="60"/>
        <v>Y</v>
      </c>
      <c r="R209" s="43">
        <f t="shared" si="61"/>
        <v>44</v>
      </c>
      <c r="S209">
        <f t="shared" si="50"/>
        <v>9</v>
      </c>
      <c r="T209" s="18">
        <f t="shared" si="64"/>
        <v>4</v>
      </c>
      <c r="U209" s="151">
        <f t="shared" si="54"/>
        <v>1</v>
      </c>
      <c r="V209" s="151">
        <f t="shared" si="55"/>
        <v>4</v>
      </c>
      <c r="W209" s="151">
        <f t="shared" si="56"/>
        <v>0</v>
      </c>
      <c r="X209" s="151">
        <f t="shared" si="57"/>
        <v>0</v>
      </c>
      <c r="Y209" s="18">
        <f t="shared" si="45"/>
        <v>5</v>
      </c>
      <c r="AB209" s="168"/>
      <c r="AC209" s="168"/>
      <c r="AD209" t="e">
        <f t="shared" si="44"/>
        <v>#N/A</v>
      </c>
    </row>
    <row r="210" spans="1:30" x14ac:dyDescent="0.2">
      <c r="A210" s="183" t="s">
        <v>554</v>
      </c>
      <c r="B210" t="s">
        <v>388</v>
      </c>
      <c r="C210" t="s">
        <v>120</v>
      </c>
      <c r="D210">
        <v>4156001</v>
      </c>
      <c r="E210" t="s">
        <v>121</v>
      </c>
      <c r="F210" s="177">
        <v>37196</v>
      </c>
      <c r="G210" s="177"/>
      <c r="H210" s="177"/>
      <c r="I210" s="177" t="s">
        <v>575</v>
      </c>
      <c r="J210">
        <f t="shared" si="62"/>
        <v>0</v>
      </c>
      <c r="K210">
        <f t="shared" si="63"/>
        <v>0</v>
      </c>
      <c r="L210" s="67">
        <f t="shared" si="51"/>
        <v>2.2800000000000001E-2</v>
      </c>
      <c r="M210" s="127">
        <f t="shared" si="52"/>
        <v>0</v>
      </c>
      <c r="N210" s="127">
        <f t="shared" si="46"/>
        <v>0</v>
      </c>
      <c r="O210" s="127">
        <f t="shared" si="59"/>
        <v>0</v>
      </c>
      <c r="P210" s="127">
        <f t="shared" si="48"/>
        <v>0</v>
      </c>
      <c r="Q210" s="43" t="str">
        <f t="shared" si="60"/>
        <v>Y</v>
      </c>
      <c r="R210" s="43">
        <f t="shared" si="61"/>
        <v>0</v>
      </c>
      <c r="S210">
        <f t="shared" si="50"/>
        <v>0</v>
      </c>
      <c r="T210" s="18">
        <f t="shared" si="64"/>
        <v>0</v>
      </c>
      <c r="U210" s="151">
        <f t="shared" si="54"/>
        <v>0</v>
      </c>
      <c r="V210" s="151">
        <f t="shared" si="55"/>
        <v>0</v>
      </c>
      <c r="W210" s="151">
        <f t="shared" si="56"/>
        <v>0</v>
      </c>
      <c r="X210" s="151">
        <f t="shared" si="57"/>
        <v>0</v>
      </c>
      <c r="Y210" s="18">
        <f t="shared" si="45"/>
        <v>0</v>
      </c>
      <c r="AB210" s="168"/>
      <c r="AC210" s="168"/>
      <c r="AD210" t="e">
        <f t="shared" si="44"/>
        <v>#N/A</v>
      </c>
    </row>
    <row r="211" spans="1:30" x14ac:dyDescent="0.2">
      <c r="A211" s="183" t="s">
        <v>554</v>
      </c>
      <c r="B211" t="s">
        <v>386</v>
      </c>
      <c r="C211" t="s">
        <v>211</v>
      </c>
      <c r="D211">
        <v>4180601</v>
      </c>
      <c r="E211" t="s">
        <v>212</v>
      </c>
      <c r="F211" s="177">
        <v>37196</v>
      </c>
      <c r="G211" s="177"/>
      <c r="H211" s="177"/>
      <c r="I211" s="177" t="s">
        <v>576</v>
      </c>
      <c r="J211">
        <f t="shared" si="62"/>
        <v>8</v>
      </c>
      <c r="K211">
        <f t="shared" si="63"/>
        <v>11</v>
      </c>
      <c r="L211" s="67">
        <f t="shared" si="51"/>
        <v>2.2800000000000001E-2</v>
      </c>
      <c r="M211" s="127">
        <f t="shared" si="52"/>
        <v>0.18240000000000001</v>
      </c>
      <c r="N211" s="127">
        <f t="shared" si="46"/>
        <v>0.25080000000000002</v>
      </c>
      <c r="O211" s="127">
        <f t="shared" si="59"/>
        <v>7</v>
      </c>
      <c r="P211" s="127">
        <f t="shared" si="48"/>
        <v>10</v>
      </c>
      <c r="Q211" s="43" t="str">
        <f t="shared" si="60"/>
        <v>Y</v>
      </c>
      <c r="R211" s="43">
        <f t="shared" si="61"/>
        <v>7</v>
      </c>
      <c r="S211">
        <f t="shared" si="50"/>
        <v>4</v>
      </c>
      <c r="T211" s="18">
        <f t="shared" si="64"/>
        <v>3</v>
      </c>
      <c r="U211" s="151">
        <f t="shared" si="54"/>
        <v>0</v>
      </c>
      <c r="V211" s="151">
        <f t="shared" si="55"/>
        <v>1</v>
      </c>
      <c r="W211" s="151">
        <f t="shared" si="56"/>
        <v>0</v>
      </c>
      <c r="X211" s="151">
        <f t="shared" si="57"/>
        <v>0</v>
      </c>
      <c r="Y211" s="18">
        <f t="shared" si="45"/>
        <v>1</v>
      </c>
      <c r="AB211" s="168"/>
      <c r="AC211" s="168"/>
      <c r="AD211" t="e">
        <f t="shared" si="44"/>
        <v>#N/A</v>
      </c>
    </row>
    <row r="212" spans="1:30" x14ac:dyDescent="0.2">
      <c r="A212" s="183" t="s">
        <v>554</v>
      </c>
      <c r="B212" t="s">
        <v>386</v>
      </c>
      <c r="C212" t="s">
        <v>213</v>
      </c>
      <c r="D212">
        <v>4188401</v>
      </c>
      <c r="E212" t="s">
        <v>212</v>
      </c>
      <c r="F212" s="177">
        <v>37196</v>
      </c>
      <c r="G212" s="177"/>
      <c r="H212" s="177"/>
      <c r="I212" s="177" t="s">
        <v>576</v>
      </c>
      <c r="J212">
        <f t="shared" si="62"/>
        <v>16</v>
      </c>
      <c r="K212">
        <f t="shared" si="63"/>
        <v>20</v>
      </c>
      <c r="L212" s="67">
        <f t="shared" si="51"/>
        <v>2.2800000000000001E-2</v>
      </c>
      <c r="M212" s="127">
        <f t="shared" si="52"/>
        <v>0.36480000000000001</v>
      </c>
      <c r="N212" s="127">
        <f t="shared" si="46"/>
        <v>0.45600000000000002</v>
      </c>
      <c r="O212" s="127">
        <f t="shared" si="59"/>
        <v>14</v>
      </c>
      <c r="P212" s="127">
        <f t="shared" si="48"/>
        <v>17</v>
      </c>
      <c r="Q212" s="43" t="str">
        <f t="shared" si="60"/>
        <v>Y</v>
      </c>
      <c r="R212" s="43">
        <f t="shared" si="61"/>
        <v>14</v>
      </c>
      <c r="S212">
        <f t="shared" si="50"/>
        <v>6</v>
      </c>
      <c r="T212" s="18">
        <f t="shared" si="64"/>
        <v>3</v>
      </c>
      <c r="U212" s="151">
        <f t="shared" si="54"/>
        <v>0</v>
      </c>
      <c r="V212" s="151">
        <f t="shared" si="55"/>
        <v>1</v>
      </c>
      <c r="W212" s="151">
        <f t="shared" si="56"/>
        <v>1</v>
      </c>
      <c r="X212" s="151">
        <f t="shared" si="57"/>
        <v>0</v>
      </c>
      <c r="Y212" s="18">
        <f t="shared" si="45"/>
        <v>2</v>
      </c>
      <c r="AB212" s="168"/>
      <c r="AC212" s="168"/>
      <c r="AD212" t="e">
        <f t="shared" si="44"/>
        <v>#N/A</v>
      </c>
    </row>
    <row r="213" spans="1:30" x14ac:dyDescent="0.2">
      <c r="A213" s="183" t="s">
        <v>554</v>
      </c>
      <c r="B213" t="s">
        <v>388</v>
      </c>
      <c r="C213" t="s">
        <v>370</v>
      </c>
      <c r="D213">
        <v>4235001</v>
      </c>
      <c r="E213" t="s">
        <v>613</v>
      </c>
      <c r="F213" s="177">
        <v>37196</v>
      </c>
      <c r="G213" s="177"/>
      <c r="H213" s="177"/>
      <c r="I213" s="177" t="s">
        <v>575</v>
      </c>
      <c r="J213">
        <f t="shared" si="62"/>
        <v>161</v>
      </c>
      <c r="K213">
        <f t="shared" si="63"/>
        <v>182</v>
      </c>
      <c r="L213" s="67">
        <f t="shared" si="51"/>
        <v>2.2800000000000001E-2</v>
      </c>
      <c r="M213" s="127">
        <f t="shared" si="52"/>
        <v>3.6708000000000003</v>
      </c>
      <c r="N213" s="127">
        <f t="shared" si="46"/>
        <v>4.1496000000000004</v>
      </c>
      <c r="O213" s="127">
        <f t="shared" si="59"/>
        <v>146</v>
      </c>
      <c r="P213" s="127">
        <f t="shared" si="48"/>
        <v>165</v>
      </c>
      <c r="Q213" s="43" t="str">
        <f t="shared" si="60"/>
        <v>Y</v>
      </c>
      <c r="R213" s="43">
        <f t="shared" si="61"/>
        <v>146</v>
      </c>
      <c r="S213">
        <f t="shared" si="50"/>
        <v>36</v>
      </c>
      <c r="T213" s="18">
        <f t="shared" si="64"/>
        <v>19</v>
      </c>
      <c r="U213" s="151">
        <f t="shared" si="54"/>
        <v>4</v>
      </c>
      <c r="V213" s="151">
        <f t="shared" si="55"/>
        <v>13</v>
      </c>
      <c r="W213" s="151">
        <f t="shared" si="56"/>
        <v>0</v>
      </c>
      <c r="X213" s="151">
        <f t="shared" si="57"/>
        <v>0</v>
      </c>
      <c r="Y213" s="18">
        <f t="shared" si="45"/>
        <v>17</v>
      </c>
      <c r="AB213" s="168"/>
      <c r="AC213" s="168"/>
      <c r="AD213" t="e">
        <f t="shared" si="44"/>
        <v>#N/A</v>
      </c>
    </row>
    <row r="214" spans="1:30" x14ac:dyDescent="0.2">
      <c r="A214" s="183" t="s">
        <v>554</v>
      </c>
      <c r="B214" t="s">
        <v>386</v>
      </c>
      <c r="C214" t="s">
        <v>276</v>
      </c>
      <c r="D214">
        <v>4243601</v>
      </c>
      <c r="E214" t="s">
        <v>121</v>
      </c>
      <c r="F214" s="177">
        <v>37196</v>
      </c>
      <c r="G214" s="177"/>
      <c r="H214" s="177"/>
      <c r="I214" s="177" t="s">
        <v>576</v>
      </c>
      <c r="J214">
        <f t="shared" si="62"/>
        <v>246</v>
      </c>
      <c r="K214">
        <f t="shared" si="63"/>
        <v>304</v>
      </c>
      <c r="L214" s="67">
        <f t="shared" si="51"/>
        <v>2.2800000000000001E-2</v>
      </c>
      <c r="M214" s="127">
        <f t="shared" si="52"/>
        <v>5.6088000000000005</v>
      </c>
      <c r="N214" s="127">
        <f t="shared" si="46"/>
        <v>6.9312000000000005</v>
      </c>
      <c r="O214" s="127">
        <f t="shared" si="59"/>
        <v>213</v>
      </c>
      <c r="P214" s="127">
        <f t="shared" si="48"/>
        <v>264</v>
      </c>
      <c r="Q214" s="43" t="str">
        <f t="shared" si="60"/>
        <v>Y</v>
      </c>
      <c r="R214" s="43">
        <f t="shared" si="61"/>
        <v>213</v>
      </c>
      <c r="S214">
        <f t="shared" si="50"/>
        <v>91</v>
      </c>
      <c r="T214" s="18">
        <f t="shared" si="64"/>
        <v>51</v>
      </c>
      <c r="U214" s="151">
        <f t="shared" si="54"/>
        <v>7</v>
      </c>
      <c r="V214" s="151">
        <f t="shared" si="55"/>
        <v>21</v>
      </c>
      <c r="W214" s="151">
        <f t="shared" si="56"/>
        <v>9</v>
      </c>
      <c r="X214" s="151">
        <f t="shared" si="57"/>
        <v>3</v>
      </c>
      <c r="Y214" s="18">
        <f t="shared" si="45"/>
        <v>40</v>
      </c>
      <c r="AB214" s="168"/>
      <c r="AC214" s="168"/>
      <c r="AD214" t="e">
        <f t="shared" si="44"/>
        <v>#N/A</v>
      </c>
    </row>
    <row r="215" spans="1:30" x14ac:dyDescent="0.2">
      <c r="A215" s="183" t="s">
        <v>554</v>
      </c>
      <c r="B215" t="s">
        <v>386</v>
      </c>
      <c r="C215" t="s">
        <v>403</v>
      </c>
      <c r="D215">
        <v>4244501</v>
      </c>
      <c r="E215" t="s">
        <v>404</v>
      </c>
      <c r="F215" s="177">
        <v>37196</v>
      </c>
      <c r="G215" s="177"/>
      <c r="H215" s="177"/>
      <c r="I215" s="177" t="s">
        <v>576</v>
      </c>
      <c r="J215">
        <f t="shared" si="62"/>
        <v>173</v>
      </c>
      <c r="K215">
        <f t="shared" si="63"/>
        <v>211</v>
      </c>
      <c r="L215" s="67">
        <f t="shared" si="51"/>
        <v>2.2800000000000001E-2</v>
      </c>
      <c r="M215" s="127">
        <f t="shared" si="52"/>
        <v>3.9444000000000004</v>
      </c>
      <c r="N215" s="127">
        <f t="shared" si="46"/>
        <v>4.8108000000000004</v>
      </c>
      <c r="O215" s="127">
        <f t="shared" si="59"/>
        <v>150</v>
      </c>
      <c r="P215" s="127">
        <f t="shared" si="48"/>
        <v>183</v>
      </c>
      <c r="Q215" s="43" t="str">
        <f t="shared" si="60"/>
        <v>Y</v>
      </c>
      <c r="R215" s="43">
        <f t="shared" si="61"/>
        <v>150</v>
      </c>
      <c r="S215">
        <f t="shared" si="50"/>
        <v>61</v>
      </c>
      <c r="T215" s="18">
        <f t="shared" si="64"/>
        <v>33</v>
      </c>
      <c r="U215" s="151">
        <f t="shared" si="54"/>
        <v>5</v>
      </c>
      <c r="V215" s="151">
        <f t="shared" si="55"/>
        <v>15</v>
      </c>
      <c r="W215" s="151">
        <f t="shared" si="56"/>
        <v>6</v>
      </c>
      <c r="X215" s="151">
        <f t="shared" si="57"/>
        <v>2</v>
      </c>
      <c r="Y215" s="18">
        <f t="shared" si="45"/>
        <v>28</v>
      </c>
      <c r="AB215" s="168"/>
      <c r="AC215" s="168"/>
      <c r="AD215" t="e">
        <f t="shared" si="44"/>
        <v>#N/A</v>
      </c>
    </row>
    <row r="216" spans="1:30" x14ac:dyDescent="0.2">
      <c r="A216" s="183" t="s">
        <v>554</v>
      </c>
      <c r="B216" t="s">
        <v>388</v>
      </c>
      <c r="C216" t="s">
        <v>371</v>
      </c>
      <c r="D216">
        <v>4281001</v>
      </c>
      <c r="E216" t="s">
        <v>372</v>
      </c>
      <c r="F216" s="177">
        <v>37196</v>
      </c>
      <c r="G216" s="177"/>
      <c r="H216" s="177"/>
      <c r="I216" s="177" t="s">
        <v>575</v>
      </c>
      <c r="J216">
        <f t="shared" si="62"/>
        <v>0</v>
      </c>
      <c r="K216">
        <f t="shared" si="63"/>
        <v>0</v>
      </c>
      <c r="L216" s="67">
        <f t="shared" si="51"/>
        <v>2.2800000000000001E-2</v>
      </c>
      <c r="M216" s="127">
        <f t="shared" si="52"/>
        <v>0</v>
      </c>
      <c r="N216" s="127">
        <f t="shared" si="46"/>
        <v>0</v>
      </c>
      <c r="O216" s="127">
        <f t="shared" si="59"/>
        <v>0</v>
      </c>
      <c r="P216" s="127">
        <f t="shared" si="48"/>
        <v>0</v>
      </c>
      <c r="Q216" s="43" t="str">
        <f t="shared" si="60"/>
        <v>Y</v>
      </c>
      <c r="R216" s="43">
        <f t="shared" si="61"/>
        <v>0</v>
      </c>
      <c r="S216">
        <f t="shared" si="50"/>
        <v>0</v>
      </c>
      <c r="T216" s="18">
        <f t="shared" si="64"/>
        <v>0</v>
      </c>
      <c r="U216" s="151">
        <f t="shared" si="54"/>
        <v>0</v>
      </c>
      <c r="V216" s="151">
        <f t="shared" si="55"/>
        <v>0</v>
      </c>
      <c r="W216" s="151">
        <f t="shared" si="56"/>
        <v>0</v>
      </c>
      <c r="X216" s="151">
        <f t="shared" si="57"/>
        <v>0</v>
      </c>
      <c r="Y216" s="18">
        <f t="shared" si="45"/>
        <v>0</v>
      </c>
      <c r="AB216" s="168"/>
      <c r="AC216" s="168"/>
      <c r="AD216" t="e">
        <f t="shared" si="44"/>
        <v>#N/A</v>
      </c>
    </row>
    <row r="217" spans="1:30" x14ac:dyDescent="0.2">
      <c r="A217" s="183" t="s">
        <v>554</v>
      </c>
      <c r="B217" t="s">
        <v>388</v>
      </c>
      <c r="C217" t="s">
        <v>115</v>
      </c>
      <c r="D217">
        <v>4315601</v>
      </c>
      <c r="E217" t="s">
        <v>116</v>
      </c>
      <c r="F217" s="177">
        <v>37196</v>
      </c>
      <c r="G217" s="177"/>
      <c r="H217" s="177"/>
      <c r="I217" s="177" t="s">
        <v>575</v>
      </c>
      <c r="J217" t="str">
        <f t="shared" si="62"/>
        <v>na</v>
      </c>
      <c r="K217">
        <f t="shared" si="63"/>
        <v>0</v>
      </c>
      <c r="L217" s="67">
        <f t="shared" si="51"/>
        <v>2.2800000000000001E-2</v>
      </c>
      <c r="M217" s="127" t="e">
        <f t="shared" si="52"/>
        <v>#VALUE!</v>
      </c>
      <c r="N217" s="127">
        <f t="shared" si="46"/>
        <v>0</v>
      </c>
      <c r="O217" s="127" t="e">
        <f t="shared" si="59"/>
        <v>#VALUE!</v>
      </c>
      <c r="P217" s="127">
        <f t="shared" si="48"/>
        <v>0</v>
      </c>
      <c r="Q217" s="43" t="str">
        <f t="shared" si="60"/>
        <v>Y</v>
      </c>
      <c r="R217" s="43" t="e">
        <f t="shared" si="61"/>
        <v>#VALUE!</v>
      </c>
      <c r="S217" t="e">
        <f t="shared" si="50"/>
        <v>#VALUE!</v>
      </c>
      <c r="T217" s="18" t="e">
        <f t="shared" si="64"/>
        <v>#VALUE!</v>
      </c>
      <c r="U217" s="151">
        <f t="shared" si="54"/>
        <v>0</v>
      </c>
      <c r="V217" s="151">
        <f t="shared" si="55"/>
        <v>0</v>
      </c>
      <c r="W217" s="151">
        <f t="shared" si="56"/>
        <v>0</v>
      </c>
      <c r="X217" s="151">
        <f t="shared" si="57"/>
        <v>0</v>
      </c>
      <c r="Y217" s="18">
        <f t="shared" si="45"/>
        <v>0</v>
      </c>
      <c r="AB217" s="168"/>
      <c r="AC217" s="168"/>
      <c r="AD217" t="e">
        <f t="shared" si="44"/>
        <v>#N/A</v>
      </c>
    </row>
    <row r="218" spans="1:30" x14ac:dyDescent="0.2">
      <c r="A218" s="183" t="s">
        <v>554</v>
      </c>
      <c r="B218" t="s">
        <v>386</v>
      </c>
      <c r="C218" t="s">
        <v>248</v>
      </c>
      <c r="D218">
        <v>4324601</v>
      </c>
      <c r="E218" t="s">
        <v>249</v>
      </c>
      <c r="F218" s="177">
        <v>37196</v>
      </c>
      <c r="G218" s="177"/>
      <c r="H218" s="177"/>
      <c r="I218" s="177" t="s">
        <v>576</v>
      </c>
      <c r="J218">
        <f t="shared" si="62"/>
        <v>103</v>
      </c>
      <c r="K218">
        <f t="shared" si="63"/>
        <v>128</v>
      </c>
      <c r="L218" s="67">
        <f t="shared" si="51"/>
        <v>2.2800000000000001E-2</v>
      </c>
      <c r="M218" s="127">
        <f t="shared" si="52"/>
        <v>2.3484000000000003</v>
      </c>
      <c r="N218" s="127">
        <f t="shared" si="46"/>
        <v>2.9184000000000001</v>
      </c>
      <c r="O218" s="127">
        <f t="shared" si="59"/>
        <v>89</v>
      </c>
      <c r="P218" s="127">
        <f t="shared" si="48"/>
        <v>111</v>
      </c>
      <c r="Q218" s="43" t="str">
        <f>IF(ISNA(VLOOKUP(C218,INCNG,1,FALSE)),"--", "Y")</f>
        <v>Y</v>
      </c>
      <c r="R218" s="43">
        <f>IF(ISNA(VLOOKUP(C218,INCNG,10,FALSE)),0,VLOOKUP(C218,INCNG,10,FALSE))</f>
        <v>89</v>
      </c>
      <c r="S218">
        <f>+K218-R218</f>
        <v>39</v>
      </c>
      <c r="T218" s="18">
        <f t="shared" si="64"/>
        <v>22</v>
      </c>
      <c r="U218" s="151">
        <f t="shared" si="54"/>
        <v>3</v>
      </c>
      <c r="V218" s="151">
        <f t="shared" si="55"/>
        <v>9</v>
      </c>
      <c r="W218" s="151">
        <f t="shared" si="56"/>
        <v>4</v>
      </c>
      <c r="X218" s="151">
        <f t="shared" si="57"/>
        <v>1</v>
      </c>
      <c r="Y218" s="18">
        <f t="shared" si="45"/>
        <v>17</v>
      </c>
      <c r="AB218" s="168"/>
      <c r="AC218" s="168"/>
      <c r="AD218" t="e">
        <f t="shared" si="44"/>
        <v>#N/A</v>
      </c>
    </row>
    <row r="219" spans="1:30" x14ac:dyDescent="0.2">
      <c r="A219" s="183" t="s">
        <v>554</v>
      </c>
      <c r="B219" t="s">
        <v>386</v>
      </c>
      <c r="C219" t="s">
        <v>177</v>
      </c>
      <c r="D219">
        <v>4333501</v>
      </c>
      <c r="E219" t="s">
        <v>164</v>
      </c>
      <c r="F219" s="177">
        <v>37196</v>
      </c>
      <c r="G219" s="177"/>
      <c r="H219" s="177"/>
      <c r="I219" s="177" t="s">
        <v>576</v>
      </c>
      <c r="J219">
        <f t="shared" si="62"/>
        <v>0</v>
      </c>
      <c r="K219">
        <f t="shared" si="63"/>
        <v>0</v>
      </c>
      <c r="L219" s="67">
        <f t="shared" si="51"/>
        <v>2.2800000000000001E-2</v>
      </c>
      <c r="M219" s="127">
        <f t="shared" si="52"/>
        <v>0</v>
      </c>
      <c r="N219" s="127">
        <f t="shared" si="46"/>
        <v>0</v>
      </c>
      <c r="O219" s="127">
        <f t="shared" si="59"/>
        <v>0</v>
      </c>
      <c r="P219" s="127">
        <f t="shared" si="48"/>
        <v>0</v>
      </c>
      <c r="Q219" s="43" t="str">
        <f>IF(ISNA(VLOOKUP(C219,INCNG,1,FALSE)),"--", "Y")</f>
        <v>Y</v>
      </c>
      <c r="R219" s="43">
        <f>IF(ISNA(VLOOKUP(C219,INCNG,10,FALSE)),0,VLOOKUP(C219,INCNG,10,FALSE))</f>
        <v>0</v>
      </c>
      <c r="S219">
        <f>+K219-R219</f>
        <v>0</v>
      </c>
      <c r="T219" s="18">
        <f t="shared" si="64"/>
        <v>0</v>
      </c>
      <c r="U219" s="151">
        <f t="shared" si="54"/>
        <v>0</v>
      </c>
      <c r="V219" s="151">
        <f t="shared" si="55"/>
        <v>0</v>
      </c>
      <c r="W219" s="151">
        <f t="shared" si="56"/>
        <v>0</v>
      </c>
      <c r="X219" s="151">
        <f t="shared" si="57"/>
        <v>0</v>
      </c>
      <c r="Y219" s="18">
        <f t="shared" si="45"/>
        <v>0</v>
      </c>
      <c r="AB219" s="168"/>
      <c r="AC219" s="168"/>
      <c r="AD219" t="e">
        <f t="shared" si="44"/>
        <v>#N/A</v>
      </c>
    </row>
    <row r="220" spans="1:30" x14ac:dyDescent="0.2">
      <c r="A220" s="183" t="s">
        <v>554</v>
      </c>
      <c r="B220" t="s">
        <v>386</v>
      </c>
      <c r="C220" t="s">
        <v>284</v>
      </c>
      <c r="D220">
        <v>4334701</v>
      </c>
      <c r="E220" t="s">
        <v>130</v>
      </c>
      <c r="F220" s="177">
        <v>37196</v>
      </c>
      <c r="G220" s="177"/>
      <c r="H220" s="177"/>
      <c r="I220" s="177" t="s">
        <v>576</v>
      </c>
      <c r="J220">
        <f t="shared" si="62"/>
        <v>0</v>
      </c>
      <c r="K220">
        <f t="shared" si="63"/>
        <v>0</v>
      </c>
      <c r="L220" s="67">
        <f t="shared" si="51"/>
        <v>2.2800000000000001E-2</v>
      </c>
      <c r="M220" s="127">
        <f t="shared" si="52"/>
        <v>0</v>
      </c>
      <c r="N220" s="127">
        <f t="shared" si="46"/>
        <v>0</v>
      </c>
      <c r="O220" s="127">
        <f t="shared" si="59"/>
        <v>0</v>
      </c>
      <c r="P220" s="127">
        <f t="shared" si="48"/>
        <v>0</v>
      </c>
      <c r="Q220" s="43" t="str">
        <f>IF(ISNA(VLOOKUP(C220,INCNG,1,FALSE)),"--", "Y")</f>
        <v>Y</v>
      </c>
      <c r="R220" s="43">
        <f>IF(ISNA(VLOOKUP(C220,INCNG,10,FALSE)),0,VLOOKUP(C220,INCNG,10,FALSE))</f>
        <v>0</v>
      </c>
      <c r="S220">
        <f>+K220-R220</f>
        <v>0</v>
      </c>
      <c r="T220" s="18">
        <f t="shared" si="64"/>
        <v>0</v>
      </c>
      <c r="U220" s="151">
        <f t="shared" si="54"/>
        <v>0</v>
      </c>
      <c r="V220" s="151">
        <f t="shared" si="55"/>
        <v>0</v>
      </c>
      <c r="W220" s="151">
        <f t="shared" si="56"/>
        <v>0</v>
      </c>
      <c r="X220" s="151">
        <f t="shared" si="57"/>
        <v>0</v>
      </c>
      <c r="Y220" s="18">
        <f t="shared" si="45"/>
        <v>0</v>
      </c>
      <c r="AB220" s="168"/>
      <c r="AC220" s="168"/>
      <c r="AD220" t="e">
        <f t="shared" si="44"/>
        <v>#N/A</v>
      </c>
    </row>
    <row r="221" spans="1:30" x14ac:dyDescent="0.2">
      <c r="A221" s="183" t="s">
        <v>554</v>
      </c>
      <c r="B221" t="s">
        <v>386</v>
      </c>
      <c r="C221" t="s">
        <v>255</v>
      </c>
      <c r="D221">
        <v>4336801</v>
      </c>
      <c r="E221" t="s">
        <v>164</v>
      </c>
      <c r="F221" s="177">
        <v>37196</v>
      </c>
      <c r="G221" s="177"/>
      <c r="H221" s="177"/>
      <c r="I221" s="177" t="s">
        <v>576</v>
      </c>
      <c r="J221">
        <f t="shared" si="62"/>
        <v>440</v>
      </c>
      <c r="K221">
        <f t="shared" si="63"/>
        <v>526</v>
      </c>
      <c r="L221" s="67">
        <f t="shared" si="51"/>
        <v>2.2800000000000001E-2</v>
      </c>
      <c r="M221" s="127">
        <f t="shared" si="52"/>
        <v>10.032</v>
      </c>
      <c r="N221" s="127">
        <f t="shared" si="46"/>
        <v>11.992800000000001</v>
      </c>
      <c r="O221" s="127">
        <f t="shared" si="59"/>
        <v>382</v>
      </c>
      <c r="P221" s="127">
        <f t="shared" si="48"/>
        <v>456</v>
      </c>
      <c r="Q221" s="43" t="str">
        <f>IF(ISNA(VLOOKUP(C221,INCNG,1,FALSE)),"--", "Y")</f>
        <v>Y</v>
      </c>
      <c r="R221" s="43">
        <f>IF(ISNA(VLOOKUP(C221,INCNG,10,FALSE)),0,VLOOKUP(C221,INCNG,10,FALSE))</f>
        <v>382</v>
      </c>
      <c r="S221">
        <f>+K221-R221</f>
        <v>144</v>
      </c>
      <c r="T221" s="18">
        <f t="shared" si="64"/>
        <v>74</v>
      </c>
      <c r="U221" s="151">
        <f t="shared" si="54"/>
        <v>12</v>
      </c>
      <c r="V221" s="151">
        <f t="shared" si="55"/>
        <v>37</v>
      </c>
      <c r="W221" s="151">
        <f t="shared" si="56"/>
        <v>16</v>
      </c>
      <c r="X221" s="151">
        <f t="shared" si="57"/>
        <v>5</v>
      </c>
      <c r="Y221" s="18">
        <f t="shared" si="45"/>
        <v>70</v>
      </c>
      <c r="AB221" s="168"/>
      <c r="AC221" s="168"/>
      <c r="AD221" t="e">
        <f t="shared" si="44"/>
        <v>#N/A</v>
      </c>
    </row>
    <row r="222" spans="1:30" x14ac:dyDescent="0.2">
      <c r="A222" s="183" t="s">
        <v>554</v>
      </c>
      <c r="B222" t="s">
        <v>386</v>
      </c>
      <c r="C222" t="s">
        <v>178</v>
      </c>
      <c r="D222">
        <v>4336901</v>
      </c>
      <c r="E222" t="s">
        <v>164</v>
      </c>
      <c r="F222" s="177">
        <v>37196</v>
      </c>
      <c r="G222" s="177"/>
      <c r="H222" s="177"/>
      <c r="I222" s="177" t="s">
        <v>576</v>
      </c>
      <c r="J222">
        <f t="shared" si="62"/>
        <v>106</v>
      </c>
      <c r="K222">
        <f t="shared" si="63"/>
        <v>120</v>
      </c>
      <c r="L222" s="67">
        <f t="shared" si="51"/>
        <v>2.2800000000000001E-2</v>
      </c>
      <c r="M222" s="127">
        <f t="shared" si="52"/>
        <v>2.4168000000000003</v>
      </c>
      <c r="N222" s="127">
        <f t="shared" si="46"/>
        <v>2.7360000000000002</v>
      </c>
      <c r="O222" s="127">
        <f t="shared" si="59"/>
        <v>92</v>
      </c>
      <c r="P222" s="127">
        <f t="shared" si="48"/>
        <v>104</v>
      </c>
      <c r="Q222" s="43" t="str">
        <f>IF(ISNA(VLOOKUP(C222,INCNG,1,FALSE)),"--", "Y")</f>
        <v>Y</v>
      </c>
      <c r="R222" s="43">
        <f>IF(ISNA(VLOOKUP(C222,INCNG,10,FALSE)),0,VLOOKUP(C222,INCNG,10,FALSE))</f>
        <v>92</v>
      </c>
      <c r="S222">
        <f>+K222-R222</f>
        <v>28</v>
      </c>
      <c r="T222" s="18">
        <f t="shared" si="64"/>
        <v>12</v>
      </c>
      <c r="U222" s="151">
        <f t="shared" si="54"/>
        <v>3</v>
      </c>
      <c r="V222" s="151">
        <f t="shared" si="55"/>
        <v>8</v>
      </c>
      <c r="W222" s="151">
        <f t="shared" si="56"/>
        <v>4</v>
      </c>
      <c r="X222" s="151">
        <f t="shared" si="57"/>
        <v>1</v>
      </c>
      <c r="Y222" s="18">
        <f t="shared" si="45"/>
        <v>16</v>
      </c>
      <c r="AB222" s="168"/>
      <c r="AC222" s="168"/>
      <c r="AD222" t="e">
        <f t="shared" si="44"/>
        <v>#N/A</v>
      </c>
    </row>
    <row r="223" spans="1:30" x14ac:dyDescent="0.2">
      <c r="A223" s="183" t="s">
        <v>554</v>
      </c>
      <c r="B223" t="s">
        <v>386</v>
      </c>
      <c r="C223" t="s">
        <v>179</v>
      </c>
      <c r="D223">
        <v>4341201</v>
      </c>
      <c r="E223" t="s">
        <v>164</v>
      </c>
      <c r="F223" s="177">
        <v>37196</v>
      </c>
      <c r="G223" s="177"/>
      <c r="H223" s="177"/>
      <c r="I223" s="177" t="s">
        <v>576</v>
      </c>
      <c r="J223">
        <f t="shared" si="62"/>
        <v>44</v>
      </c>
      <c r="K223">
        <f t="shared" si="63"/>
        <v>50</v>
      </c>
      <c r="L223" s="67">
        <f t="shared" si="51"/>
        <v>2.2800000000000001E-2</v>
      </c>
      <c r="M223" s="127">
        <f t="shared" si="52"/>
        <v>1.0032000000000001</v>
      </c>
      <c r="N223" s="127">
        <f t="shared" si="46"/>
        <v>1.1400000000000001</v>
      </c>
      <c r="O223" s="127">
        <f t="shared" si="59"/>
        <v>38</v>
      </c>
      <c r="P223" s="127">
        <f t="shared" si="48"/>
        <v>43</v>
      </c>
      <c r="Q223" s="43" t="str">
        <f t="shared" si="60"/>
        <v>Y</v>
      </c>
      <c r="R223" s="43">
        <f t="shared" si="61"/>
        <v>38</v>
      </c>
      <c r="S223">
        <f t="shared" si="50"/>
        <v>12</v>
      </c>
      <c r="T223" s="18">
        <f t="shared" si="64"/>
        <v>5</v>
      </c>
      <c r="U223" s="151">
        <f t="shared" si="54"/>
        <v>1</v>
      </c>
      <c r="V223" s="151">
        <f t="shared" si="55"/>
        <v>4</v>
      </c>
      <c r="W223" s="151">
        <f t="shared" si="56"/>
        <v>2</v>
      </c>
      <c r="X223" s="151">
        <f t="shared" si="57"/>
        <v>0</v>
      </c>
      <c r="Y223" s="18">
        <f t="shared" si="45"/>
        <v>7</v>
      </c>
      <c r="AB223" s="168"/>
      <c r="AC223" s="168"/>
      <c r="AD223" t="e">
        <f t="shared" si="44"/>
        <v>#N/A</v>
      </c>
    </row>
    <row r="224" spans="1:30" x14ac:dyDescent="0.2">
      <c r="A224" s="183" t="s">
        <v>554</v>
      </c>
      <c r="B224" t="s">
        <v>386</v>
      </c>
      <c r="C224" t="s">
        <v>180</v>
      </c>
      <c r="D224">
        <v>4342301</v>
      </c>
      <c r="E224" t="s">
        <v>181</v>
      </c>
      <c r="F224" s="177">
        <v>37196</v>
      </c>
      <c r="G224" s="177"/>
      <c r="H224" s="177"/>
      <c r="I224" s="177" t="s">
        <v>576</v>
      </c>
      <c r="J224">
        <f t="shared" si="62"/>
        <v>285</v>
      </c>
      <c r="K224">
        <f t="shared" si="63"/>
        <v>320</v>
      </c>
      <c r="L224" s="67">
        <f t="shared" si="51"/>
        <v>2.2800000000000001E-2</v>
      </c>
      <c r="M224" s="127">
        <f t="shared" si="52"/>
        <v>6.4980000000000002</v>
      </c>
      <c r="N224" s="127">
        <f t="shared" si="46"/>
        <v>7.2960000000000003</v>
      </c>
      <c r="O224" s="127">
        <f t="shared" si="59"/>
        <v>247</v>
      </c>
      <c r="P224" s="127">
        <f t="shared" si="48"/>
        <v>278</v>
      </c>
      <c r="Q224" s="43" t="str">
        <f t="shared" si="60"/>
        <v>Y</v>
      </c>
      <c r="R224" s="43">
        <f t="shared" si="61"/>
        <v>247</v>
      </c>
      <c r="S224">
        <f t="shared" si="50"/>
        <v>73</v>
      </c>
      <c r="T224" s="18">
        <f t="shared" si="64"/>
        <v>31</v>
      </c>
      <c r="U224" s="151">
        <f t="shared" si="54"/>
        <v>7</v>
      </c>
      <c r="V224" s="151">
        <f t="shared" si="55"/>
        <v>23</v>
      </c>
      <c r="W224" s="151">
        <f t="shared" si="56"/>
        <v>10</v>
      </c>
      <c r="X224" s="151">
        <f t="shared" si="57"/>
        <v>3</v>
      </c>
      <c r="Y224" s="18">
        <f t="shared" si="45"/>
        <v>43</v>
      </c>
      <c r="AB224" s="168"/>
      <c r="AC224" s="168"/>
      <c r="AD224" t="e">
        <f t="shared" si="44"/>
        <v>#N/A</v>
      </c>
    </row>
    <row r="225" spans="1:30" x14ac:dyDescent="0.2">
      <c r="A225" s="183" t="s">
        <v>554</v>
      </c>
      <c r="B225" t="s">
        <v>386</v>
      </c>
      <c r="C225" t="s">
        <v>182</v>
      </c>
      <c r="D225">
        <v>4343301</v>
      </c>
      <c r="E225" t="s">
        <v>164</v>
      </c>
      <c r="F225" s="177">
        <v>37196</v>
      </c>
      <c r="G225" s="177"/>
      <c r="H225" s="177"/>
      <c r="I225" s="177" t="s">
        <v>576</v>
      </c>
      <c r="J225">
        <f t="shared" si="62"/>
        <v>220</v>
      </c>
      <c r="K225">
        <f t="shared" si="63"/>
        <v>274</v>
      </c>
      <c r="L225" s="67">
        <f t="shared" si="51"/>
        <v>2.2800000000000001E-2</v>
      </c>
      <c r="M225" s="127">
        <f t="shared" si="52"/>
        <v>5.016</v>
      </c>
      <c r="N225" s="127">
        <f t="shared" si="46"/>
        <v>6.2472000000000003</v>
      </c>
      <c r="O225" s="127">
        <f t="shared" si="59"/>
        <v>191</v>
      </c>
      <c r="P225" s="127">
        <f t="shared" si="48"/>
        <v>238</v>
      </c>
      <c r="Q225" s="43" t="str">
        <f t="shared" si="60"/>
        <v>Y</v>
      </c>
      <c r="R225" s="43">
        <f t="shared" si="61"/>
        <v>191</v>
      </c>
      <c r="S225">
        <f t="shared" si="50"/>
        <v>83</v>
      </c>
      <c r="T225" s="18">
        <f t="shared" si="64"/>
        <v>47</v>
      </c>
      <c r="U225" s="151">
        <f t="shared" si="54"/>
        <v>6</v>
      </c>
      <c r="V225" s="151">
        <f t="shared" si="55"/>
        <v>19</v>
      </c>
      <c r="W225" s="151">
        <f t="shared" si="56"/>
        <v>8</v>
      </c>
      <c r="X225" s="151">
        <f t="shared" si="57"/>
        <v>2</v>
      </c>
      <c r="Y225" s="18">
        <f t="shared" si="45"/>
        <v>35</v>
      </c>
      <c r="AB225" s="168"/>
      <c r="AC225" s="168"/>
      <c r="AD225" t="e">
        <f t="shared" ref="AD225:AD247" si="65">VLOOKUP(AB225,INCNG,3,FALSE)</f>
        <v>#N/A</v>
      </c>
    </row>
    <row r="226" spans="1:30" x14ac:dyDescent="0.2">
      <c r="A226" s="183" t="s">
        <v>554</v>
      </c>
      <c r="B226" t="s">
        <v>386</v>
      </c>
      <c r="C226" t="s">
        <v>183</v>
      </c>
      <c r="D226">
        <v>4345701</v>
      </c>
      <c r="E226" t="s">
        <v>164</v>
      </c>
      <c r="F226" s="177">
        <v>37196</v>
      </c>
      <c r="G226" s="177"/>
      <c r="H226" s="177"/>
      <c r="I226" s="177" t="s">
        <v>576</v>
      </c>
      <c r="J226">
        <f t="shared" si="62"/>
        <v>157</v>
      </c>
      <c r="K226">
        <f t="shared" si="63"/>
        <v>174</v>
      </c>
      <c r="L226" s="67">
        <f t="shared" si="51"/>
        <v>2.2800000000000001E-2</v>
      </c>
      <c r="M226" s="127">
        <f t="shared" si="52"/>
        <v>3.5796000000000001</v>
      </c>
      <c r="N226" s="127">
        <f t="shared" si="46"/>
        <v>3.9672000000000001</v>
      </c>
      <c r="O226" s="127">
        <f t="shared" si="59"/>
        <v>136</v>
      </c>
      <c r="P226" s="127">
        <f t="shared" si="48"/>
        <v>151</v>
      </c>
      <c r="Q226" s="43" t="str">
        <f t="shared" si="60"/>
        <v>Y</v>
      </c>
      <c r="R226" s="43">
        <f t="shared" si="61"/>
        <v>136</v>
      </c>
      <c r="S226">
        <f t="shared" si="50"/>
        <v>38</v>
      </c>
      <c r="T226" s="18">
        <f t="shared" si="64"/>
        <v>15</v>
      </c>
      <c r="U226" s="151">
        <f t="shared" si="54"/>
        <v>4</v>
      </c>
      <c r="V226" s="151">
        <f t="shared" si="55"/>
        <v>12</v>
      </c>
      <c r="W226" s="151">
        <f t="shared" si="56"/>
        <v>5</v>
      </c>
      <c r="X226" s="151">
        <f t="shared" si="57"/>
        <v>2</v>
      </c>
      <c r="Y226" s="18">
        <f t="shared" ref="Y226:Y247" si="66">SUM(U226:X226)</f>
        <v>23</v>
      </c>
      <c r="AB226" s="168"/>
      <c r="AC226" s="168"/>
      <c r="AD226" t="e">
        <f t="shared" si="65"/>
        <v>#N/A</v>
      </c>
    </row>
    <row r="227" spans="1:30" x14ac:dyDescent="0.2">
      <c r="A227" s="183" t="s">
        <v>554</v>
      </c>
      <c r="B227" t="s">
        <v>386</v>
      </c>
      <c r="C227" t="s">
        <v>184</v>
      </c>
      <c r="D227">
        <v>4345801</v>
      </c>
      <c r="E227" t="s">
        <v>164</v>
      </c>
      <c r="F227" s="177">
        <v>37196</v>
      </c>
      <c r="G227" s="177"/>
      <c r="H227" s="177"/>
      <c r="I227" s="177" t="s">
        <v>576</v>
      </c>
      <c r="J227">
        <f t="shared" si="62"/>
        <v>23</v>
      </c>
      <c r="K227">
        <f t="shared" si="63"/>
        <v>26</v>
      </c>
      <c r="L227" s="67">
        <f t="shared" si="51"/>
        <v>2.2800000000000001E-2</v>
      </c>
      <c r="M227" s="127">
        <f t="shared" si="52"/>
        <v>0.52439999999999998</v>
      </c>
      <c r="N227" s="127">
        <f t="shared" si="46"/>
        <v>0.59279999999999999</v>
      </c>
      <c r="O227" s="127">
        <f t="shared" si="59"/>
        <v>20</v>
      </c>
      <c r="P227" s="127">
        <f t="shared" si="48"/>
        <v>23</v>
      </c>
      <c r="Q227" s="43" t="str">
        <f t="shared" si="60"/>
        <v>Y</v>
      </c>
      <c r="R227" s="43">
        <f t="shared" si="61"/>
        <v>20</v>
      </c>
      <c r="S227">
        <f t="shared" si="50"/>
        <v>6</v>
      </c>
      <c r="T227" s="18">
        <f t="shared" si="64"/>
        <v>3</v>
      </c>
      <c r="U227" s="151">
        <f t="shared" si="54"/>
        <v>1</v>
      </c>
      <c r="V227" s="151">
        <f t="shared" si="55"/>
        <v>2</v>
      </c>
      <c r="W227" s="151">
        <f t="shared" si="56"/>
        <v>1</v>
      </c>
      <c r="X227" s="151">
        <f t="shared" si="57"/>
        <v>0</v>
      </c>
      <c r="Y227" s="18">
        <f t="shared" si="66"/>
        <v>4</v>
      </c>
      <c r="AB227" s="168"/>
      <c r="AC227" s="168"/>
      <c r="AD227" t="e">
        <f t="shared" si="65"/>
        <v>#N/A</v>
      </c>
    </row>
    <row r="228" spans="1:30" x14ac:dyDescent="0.2">
      <c r="A228" s="183" t="s">
        <v>554</v>
      </c>
      <c r="B228" t="s">
        <v>388</v>
      </c>
      <c r="C228" t="s">
        <v>117</v>
      </c>
      <c r="D228">
        <v>4348401</v>
      </c>
      <c r="E228" t="s">
        <v>574</v>
      </c>
      <c r="F228" s="177">
        <v>37196</v>
      </c>
      <c r="G228" s="177"/>
      <c r="H228" s="177"/>
      <c r="I228" s="177" t="s">
        <v>575</v>
      </c>
      <c r="J228">
        <f t="shared" si="62"/>
        <v>27</v>
      </c>
      <c r="K228">
        <f t="shared" si="63"/>
        <v>29</v>
      </c>
      <c r="L228" s="67">
        <f t="shared" si="51"/>
        <v>2.2800000000000001E-2</v>
      </c>
      <c r="M228" s="127">
        <f t="shared" si="52"/>
        <v>0.61560000000000004</v>
      </c>
      <c r="N228" s="127">
        <f t="shared" ref="N228:N247" si="67">IF(OR(I228="TD",I228="TW"),0,K228*0.0228)</f>
        <v>0.66120000000000001</v>
      </c>
      <c r="O228" s="127">
        <f t="shared" si="59"/>
        <v>24</v>
      </c>
      <c r="P228" s="127">
        <f t="shared" si="48"/>
        <v>26</v>
      </c>
      <c r="Q228" s="43" t="str">
        <f t="shared" si="60"/>
        <v>Y</v>
      </c>
      <c r="R228" s="43">
        <f t="shared" si="61"/>
        <v>24</v>
      </c>
      <c r="S228">
        <f t="shared" ref="S228:S247" si="68">+K228-R228</f>
        <v>5</v>
      </c>
      <c r="T228" s="18">
        <f t="shared" si="64"/>
        <v>2</v>
      </c>
      <c r="U228" s="151">
        <f t="shared" si="54"/>
        <v>1</v>
      </c>
      <c r="V228" s="151">
        <f t="shared" si="55"/>
        <v>2</v>
      </c>
      <c r="W228" s="151">
        <f t="shared" si="56"/>
        <v>0</v>
      </c>
      <c r="X228" s="151">
        <f t="shared" si="57"/>
        <v>0</v>
      </c>
      <c r="Y228" s="18">
        <f t="shared" si="66"/>
        <v>3</v>
      </c>
      <c r="AB228" s="168"/>
      <c r="AC228" s="168"/>
      <c r="AD228" t="e">
        <f t="shared" si="65"/>
        <v>#N/A</v>
      </c>
    </row>
    <row r="229" spans="1:30" x14ac:dyDescent="0.2">
      <c r="A229" s="183" t="s">
        <v>554</v>
      </c>
      <c r="B229" t="s">
        <v>386</v>
      </c>
      <c r="C229" t="s">
        <v>185</v>
      </c>
      <c r="D229">
        <v>4349401</v>
      </c>
      <c r="E229" t="s">
        <v>164</v>
      </c>
      <c r="F229" s="177">
        <v>37196</v>
      </c>
      <c r="G229" s="177"/>
      <c r="H229" s="177"/>
      <c r="I229" s="177" t="s">
        <v>576</v>
      </c>
      <c r="J229">
        <f t="shared" si="62"/>
        <v>203</v>
      </c>
      <c r="K229">
        <f t="shared" si="63"/>
        <v>235</v>
      </c>
      <c r="L229" s="67">
        <f t="shared" ref="L229:L247" si="69">VLOOKUP(I229,Retention,2,FALSE)</f>
        <v>2.2800000000000001E-2</v>
      </c>
      <c r="M229" s="127">
        <f t="shared" ref="M229:M249" si="70">IF(OR(I229="TD",I229="TW"),0,J229*0.0228)</f>
        <v>4.6284000000000001</v>
      </c>
      <c r="N229" s="127">
        <f t="shared" si="67"/>
        <v>5.3580000000000005</v>
      </c>
      <c r="O229" s="127">
        <f t="shared" si="59"/>
        <v>176</v>
      </c>
      <c r="P229" s="127">
        <f t="shared" ref="P229:P247" si="71">K229-ROUND(+$K229*(VLOOKUP($I229,cngded,6,FALSE)),0)</f>
        <v>204</v>
      </c>
      <c r="Q229" s="43" t="str">
        <f t="shared" si="60"/>
        <v>Y</v>
      </c>
      <c r="R229" s="43">
        <f t="shared" si="61"/>
        <v>176</v>
      </c>
      <c r="S229">
        <f t="shared" si="68"/>
        <v>59</v>
      </c>
      <c r="T229" s="18">
        <f t="shared" si="64"/>
        <v>28</v>
      </c>
      <c r="U229" s="151">
        <f t="shared" ref="U229:U247" si="72">ROUND(+$K229*(VLOOKUP($I229,Retention,2,FALSE)),0)</f>
        <v>5</v>
      </c>
      <c r="V229" s="151">
        <f t="shared" ref="V229:V247" si="73">ROUND(+$K229*(VLOOKUP($I229,Retention,3,FALSE)),0)</f>
        <v>17</v>
      </c>
      <c r="W229" s="151">
        <f t="shared" ref="W229:W247" si="74">ROUND(+$K229*(VLOOKUP($I229,Retention,4,FALSE)),0)</f>
        <v>7</v>
      </c>
      <c r="X229" s="151">
        <f t="shared" ref="X229:X247" si="75">ROUND(+$K229*(VLOOKUP($I229,Retention,5,FALSE)),0)</f>
        <v>2</v>
      </c>
      <c r="Y229" s="18">
        <f t="shared" si="66"/>
        <v>31</v>
      </c>
      <c r="AB229" s="168"/>
      <c r="AC229" s="168"/>
      <c r="AD229" t="e">
        <f t="shared" si="65"/>
        <v>#N/A</v>
      </c>
    </row>
    <row r="230" spans="1:30" x14ac:dyDescent="0.2">
      <c r="A230" s="183" t="s">
        <v>554</v>
      </c>
      <c r="B230" t="s">
        <v>386</v>
      </c>
      <c r="C230" t="s">
        <v>293</v>
      </c>
      <c r="D230">
        <v>4354501</v>
      </c>
      <c r="E230" t="s">
        <v>168</v>
      </c>
      <c r="F230" s="177">
        <v>37196</v>
      </c>
      <c r="G230" s="177"/>
      <c r="H230" s="177"/>
      <c r="I230" s="177" t="s">
        <v>576</v>
      </c>
      <c r="J230">
        <f t="shared" si="62"/>
        <v>314</v>
      </c>
      <c r="K230">
        <f t="shared" si="63"/>
        <v>351</v>
      </c>
      <c r="L230" s="67">
        <f t="shared" si="69"/>
        <v>2.2800000000000001E-2</v>
      </c>
      <c r="M230" s="127">
        <f t="shared" si="70"/>
        <v>7.1592000000000002</v>
      </c>
      <c r="N230" s="127">
        <f t="shared" si="67"/>
        <v>8.0028000000000006</v>
      </c>
      <c r="O230" s="127">
        <f t="shared" si="59"/>
        <v>272</v>
      </c>
      <c r="P230" s="127">
        <f t="shared" si="71"/>
        <v>304</v>
      </c>
      <c r="Q230" s="43" t="str">
        <f t="shared" si="60"/>
        <v>Y</v>
      </c>
      <c r="R230" s="43">
        <f t="shared" si="61"/>
        <v>272</v>
      </c>
      <c r="S230">
        <f t="shared" si="68"/>
        <v>79</v>
      </c>
      <c r="T230" s="18">
        <f t="shared" si="64"/>
        <v>32</v>
      </c>
      <c r="U230" s="151">
        <f t="shared" si="72"/>
        <v>8</v>
      </c>
      <c r="V230" s="151">
        <f t="shared" si="73"/>
        <v>25</v>
      </c>
      <c r="W230" s="151">
        <f t="shared" si="74"/>
        <v>11</v>
      </c>
      <c r="X230" s="151">
        <f t="shared" si="75"/>
        <v>3</v>
      </c>
      <c r="Y230" s="18">
        <f t="shared" si="66"/>
        <v>47</v>
      </c>
      <c r="AB230" s="168"/>
      <c r="AC230" s="168"/>
      <c r="AD230" t="e">
        <f t="shared" si="65"/>
        <v>#N/A</v>
      </c>
    </row>
    <row r="231" spans="1:30" x14ac:dyDescent="0.2">
      <c r="A231" s="183" t="s">
        <v>554</v>
      </c>
      <c r="B231" t="s">
        <v>386</v>
      </c>
      <c r="C231" t="s">
        <v>187</v>
      </c>
      <c r="D231">
        <v>4362001</v>
      </c>
      <c r="E231" t="s">
        <v>164</v>
      </c>
      <c r="F231" s="177">
        <v>37196</v>
      </c>
      <c r="G231" s="177"/>
      <c r="H231" s="177"/>
      <c r="I231" s="177" t="s">
        <v>576</v>
      </c>
      <c r="J231">
        <f t="shared" si="62"/>
        <v>51</v>
      </c>
      <c r="K231">
        <f t="shared" si="63"/>
        <v>71</v>
      </c>
      <c r="L231" s="67">
        <f t="shared" si="69"/>
        <v>2.2800000000000001E-2</v>
      </c>
      <c r="M231" s="127">
        <f t="shared" si="70"/>
        <v>1.1628000000000001</v>
      </c>
      <c r="N231" s="127">
        <f t="shared" si="67"/>
        <v>1.6188</v>
      </c>
      <c r="O231" s="127">
        <f t="shared" si="59"/>
        <v>44</v>
      </c>
      <c r="P231" s="127">
        <f t="shared" si="71"/>
        <v>62</v>
      </c>
      <c r="Q231" s="43" t="str">
        <f t="shared" si="60"/>
        <v>Y</v>
      </c>
      <c r="R231" s="43">
        <f t="shared" si="61"/>
        <v>44</v>
      </c>
      <c r="S231">
        <f t="shared" si="68"/>
        <v>27</v>
      </c>
      <c r="T231" s="18">
        <f t="shared" si="64"/>
        <v>18</v>
      </c>
      <c r="U231" s="151">
        <f t="shared" si="72"/>
        <v>2</v>
      </c>
      <c r="V231" s="151">
        <f t="shared" si="73"/>
        <v>5</v>
      </c>
      <c r="W231" s="151">
        <f t="shared" si="74"/>
        <v>2</v>
      </c>
      <c r="X231" s="151">
        <f t="shared" si="75"/>
        <v>1</v>
      </c>
      <c r="Y231" s="18">
        <f t="shared" si="66"/>
        <v>10</v>
      </c>
      <c r="AB231" s="168"/>
      <c r="AC231" s="168"/>
      <c r="AD231" t="e">
        <f t="shared" si="65"/>
        <v>#N/A</v>
      </c>
    </row>
    <row r="232" spans="1:30" x14ac:dyDescent="0.2">
      <c r="A232" s="183" t="s">
        <v>554</v>
      </c>
      <c r="B232" t="s">
        <v>386</v>
      </c>
      <c r="C232" t="s">
        <v>189</v>
      </c>
      <c r="D232">
        <v>4362801</v>
      </c>
      <c r="E232" t="s">
        <v>164</v>
      </c>
      <c r="F232" s="177">
        <v>37196</v>
      </c>
      <c r="G232" s="177"/>
      <c r="H232" s="177"/>
      <c r="I232" s="177" t="s">
        <v>576</v>
      </c>
      <c r="J232">
        <f t="shared" si="62"/>
        <v>201</v>
      </c>
      <c r="K232">
        <f t="shared" si="63"/>
        <v>232</v>
      </c>
      <c r="L232" s="67">
        <f t="shared" si="69"/>
        <v>2.2800000000000001E-2</v>
      </c>
      <c r="M232" s="127">
        <f t="shared" si="70"/>
        <v>4.5827999999999998</v>
      </c>
      <c r="N232" s="127">
        <f t="shared" si="67"/>
        <v>5.2896000000000001</v>
      </c>
      <c r="O232" s="127">
        <f t="shared" si="59"/>
        <v>174</v>
      </c>
      <c r="P232" s="127">
        <f t="shared" si="71"/>
        <v>201</v>
      </c>
      <c r="Q232" s="43" t="str">
        <f t="shared" si="60"/>
        <v>Y</v>
      </c>
      <c r="R232" s="43">
        <f t="shared" si="61"/>
        <v>174</v>
      </c>
      <c r="S232">
        <f t="shared" si="68"/>
        <v>58</v>
      </c>
      <c r="T232" s="18">
        <f t="shared" si="64"/>
        <v>27</v>
      </c>
      <c r="U232" s="151">
        <f t="shared" si="72"/>
        <v>5</v>
      </c>
      <c r="V232" s="151">
        <f t="shared" si="73"/>
        <v>16</v>
      </c>
      <c r="W232" s="151">
        <f t="shared" si="74"/>
        <v>7</v>
      </c>
      <c r="X232" s="151">
        <f t="shared" si="75"/>
        <v>2</v>
      </c>
      <c r="Y232" s="18">
        <f t="shared" si="66"/>
        <v>30</v>
      </c>
      <c r="AB232" s="168"/>
      <c r="AC232" s="168"/>
      <c r="AD232" t="e">
        <f t="shared" si="65"/>
        <v>#N/A</v>
      </c>
    </row>
    <row r="233" spans="1:30" x14ac:dyDescent="0.2">
      <c r="A233" s="183" t="s">
        <v>554</v>
      </c>
      <c r="B233" t="s">
        <v>386</v>
      </c>
      <c r="C233" t="s">
        <v>190</v>
      </c>
      <c r="D233">
        <v>4362901</v>
      </c>
      <c r="E233" t="s">
        <v>168</v>
      </c>
      <c r="F233" s="177">
        <v>37196</v>
      </c>
      <c r="G233" s="177"/>
      <c r="H233" s="177"/>
      <c r="I233" s="177" t="s">
        <v>576</v>
      </c>
      <c r="J233">
        <f t="shared" si="62"/>
        <v>189</v>
      </c>
      <c r="K233">
        <f t="shared" si="63"/>
        <v>219</v>
      </c>
      <c r="L233" s="67">
        <f t="shared" si="69"/>
        <v>2.2800000000000001E-2</v>
      </c>
      <c r="M233" s="127">
        <f t="shared" si="70"/>
        <v>4.3092000000000006</v>
      </c>
      <c r="N233" s="127">
        <f t="shared" si="67"/>
        <v>4.9931999999999999</v>
      </c>
      <c r="O233" s="127">
        <f t="shared" si="59"/>
        <v>164</v>
      </c>
      <c r="P233" s="127">
        <f t="shared" si="71"/>
        <v>190</v>
      </c>
      <c r="Q233" s="43" t="str">
        <f t="shared" si="60"/>
        <v>Y</v>
      </c>
      <c r="R233" s="43">
        <f t="shared" si="61"/>
        <v>164</v>
      </c>
      <c r="S233">
        <f t="shared" si="68"/>
        <v>55</v>
      </c>
      <c r="T233" s="18">
        <f t="shared" si="64"/>
        <v>26</v>
      </c>
      <c r="U233" s="151">
        <f t="shared" si="72"/>
        <v>5</v>
      </c>
      <c r="V233" s="151">
        <f t="shared" si="73"/>
        <v>15</v>
      </c>
      <c r="W233" s="151">
        <f t="shared" si="74"/>
        <v>7</v>
      </c>
      <c r="X233" s="151">
        <f t="shared" si="75"/>
        <v>2</v>
      </c>
      <c r="Y233" s="18">
        <f t="shared" si="66"/>
        <v>29</v>
      </c>
      <c r="AB233" s="168"/>
      <c r="AC233" s="168"/>
      <c r="AD233" t="e">
        <f t="shared" si="65"/>
        <v>#N/A</v>
      </c>
    </row>
    <row r="234" spans="1:30" x14ac:dyDescent="0.2">
      <c r="A234" s="183" t="s">
        <v>554</v>
      </c>
      <c r="B234" t="s">
        <v>386</v>
      </c>
      <c r="C234" t="s">
        <v>191</v>
      </c>
      <c r="D234">
        <v>4364001</v>
      </c>
      <c r="E234" t="s">
        <v>164</v>
      </c>
      <c r="F234" s="177">
        <v>37196</v>
      </c>
      <c r="G234" s="177"/>
      <c r="H234" s="177"/>
      <c r="I234" s="177" t="s">
        <v>576</v>
      </c>
      <c r="J234">
        <f t="shared" si="62"/>
        <v>401</v>
      </c>
      <c r="K234">
        <f t="shared" si="63"/>
        <v>445</v>
      </c>
      <c r="L234" s="67">
        <f t="shared" si="69"/>
        <v>2.2800000000000001E-2</v>
      </c>
      <c r="M234" s="127">
        <f t="shared" si="70"/>
        <v>9.1428000000000011</v>
      </c>
      <c r="N234" s="127">
        <f t="shared" si="67"/>
        <v>10.146000000000001</v>
      </c>
      <c r="O234" s="127">
        <f t="shared" si="59"/>
        <v>348</v>
      </c>
      <c r="P234" s="127">
        <f t="shared" si="71"/>
        <v>386</v>
      </c>
      <c r="Q234" s="43" t="str">
        <f t="shared" si="60"/>
        <v>Y</v>
      </c>
      <c r="R234" s="43">
        <f t="shared" si="61"/>
        <v>348</v>
      </c>
      <c r="S234">
        <f t="shared" si="68"/>
        <v>97</v>
      </c>
      <c r="T234" s="18">
        <f t="shared" si="64"/>
        <v>38</v>
      </c>
      <c r="U234" s="151">
        <f t="shared" si="72"/>
        <v>10</v>
      </c>
      <c r="V234" s="151">
        <f t="shared" si="73"/>
        <v>31</v>
      </c>
      <c r="W234" s="151">
        <f t="shared" si="74"/>
        <v>13</v>
      </c>
      <c r="X234" s="151">
        <f t="shared" si="75"/>
        <v>4</v>
      </c>
      <c r="Y234" s="18">
        <f t="shared" si="66"/>
        <v>58</v>
      </c>
      <c r="AB234" s="168"/>
      <c r="AC234" s="168"/>
      <c r="AD234" t="e">
        <f t="shared" si="65"/>
        <v>#N/A</v>
      </c>
    </row>
    <row r="235" spans="1:30" x14ac:dyDescent="0.2">
      <c r="A235" s="183" t="s">
        <v>554</v>
      </c>
      <c r="B235" t="s">
        <v>386</v>
      </c>
      <c r="C235" t="s">
        <v>193</v>
      </c>
      <c r="D235">
        <v>4366901</v>
      </c>
      <c r="E235" t="s">
        <v>194</v>
      </c>
      <c r="F235" s="177">
        <v>37196</v>
      </c>
      <c r="G235" s="177"/>
      <c r="H235" s="177"/>
      <c r="I235" s="177" t="s">
        <v>576</v>
      </c>
      <c r="J235">
        <f t="shared" si="62"/>
        <v>609</v>
      </c>
      <c r="K235">
        <f t="shared" si="63"/>
        <v>672</v>
      </c>
      <c r="L235" s="67">
        <f t="shared" si="69"/>
        <v>2.2800000000000001E-2</v>
      </c>
      <c r="M235" s="127">
        <f t="shared" si="70"/>
        <v>13.885200000000001</v>
      </c>
      <c r="N235" s="127">
        <f t="shared" si="67"/>
        <v>15.3216</v>
      </c>
      <c r="O235" s="127">
        <f t="shared" si="59"/>
        <v>528</v>
      </c>
      <c r="P235" s="127">
        <f t="shared" si="71"/>
        <v>583</v>
      </c>
      <c r="Q235" s="43" t="str">
        <f t="shared" si="60"/>
        <v>Y</v>
      </c>
      <c r="R235" s="43">
        <f t="shared" si="61"/>
        <v>528</v>
      </c>
      <c r="S235">
        <f t="shared" si="68"/>
        <v>144</v>
      </c>
      <c r="T235" s="18">
        <f t="shared" si="64"/>
        <v>55</v>
      </c>
      <c r="U235" s="151">
        <f t="shared" si="72"/>
        <v>15</v>
      </c>
      <c r="V235" s="151">
        <f t="shared" si="73"/>
        <v>47</v>
      </c>
      <c r="W235" s="151">
        <f t="shared" si="74"/>
        <v>20</v>
      </c>
      <c r="X235" s="151">
        <f t="shared" si="75"/>
        <v>6</v>
      </c>
      <c r="Y235" s="18">
        <f t="shared" si="66"/>
        <v>88</v>
      </c>
      <c r="AB235" s="168"/>
      <c r="AC235" s="168"/>
      <c r="AD235" t="e">
        <f t="shared" si="65"/>
        <v>#N/A</v>
      </c>
    </row>
    <row r="236" spans="1:30" x14ac:dyDescent="0.2">
      <c r="A236" s="183" t="s">
        <v>554</v>
      </c>
      <c r="B236" t="s">
        <v>388</v>
      </c>
      <c r="C236" t="s">
        <v>19</v>
      </c>
      <c r="D236">
        <v>4370801</v>
      </c>
      <c r="E236" t="s">
        <v>613</v>
      </c>
      <c r="F236" s="177">
        <v>37196</v>
      </c>
      <c r="G236" s="177"/>
      <c r="H236" s="177"/>
      <c r="I236" s="177" t="s">
        <v>575</v>
      </c>
      <c r="J236">
        <f t="shared" si="62"/>
        <v>67</v>
      </c>
      <c r="K236">
        <f t="shared" si="63"/>
        <v>71</v>
      </c>
      <c r="L236" s="67">
        <f t="shared" si="69"/>
        <v>2.2800000000000001E-2</v>
      </c>
      <c r="M236" s="127">
        <f t="shared" si="70"/>
        <v>1.5276000000000001</v>
      </c>
      <c r="N236" s="127">
        <f t="shared" si="67"/>
        <v>1.6188</v>
      </c>
      <c r="O236" s="127">
        <f t="shared" si="59"/>
        <v>61</v>
      </c>
      <c r="P236" s="127">
        <f t="shared" si="71"/>
        <v>64</v>
      </c>
      <c r="Q236" s="43" t="str">
        <f t="shared" si="60"/>
        <v>Y</v>
      </c>
      <c r="R236" s="43">
        <f t="shared" si="61"/>
        <v>61</v>
      </c>
      <c r="S236">
        <f t="shared" si="68"/>
        <v>10</v>
      </c>
      <c r="T236" s="18">
        <f t="shared" si="64"/>
        <v>3</v>
      </c>
      <c r="U236" s="151">
        <f t="shared" si="72"/>
        <v>2</v>
      </c>
      <c r="V236" s="151">
        <f t="shared" si="73"/>
        <v>5</v>
      </c>
      <c r="W236" s="151">
        <f t="shared" si="74"/>
        <v>0</v>
      </c>
      <c r="X236" s="151">
        <f t="shared" si="75"/>
        <v>0</v>
      </c>
      <c r="Y236" s="18">
        <f t="shared" si="66"/>
        <v>7</v>
      </c>
      <c r="AB236" s="168"/>
      <c r="AC236" s="168"/>
      <c r="AD236" t="e">
        <f t="shared" si="65"/>
        <v>#N/A</v>
      </c>
    </row>
    <row r="237" spans="1:30" x14ac:dyDescent="0.2">
      <c r="A237" s="183" t="s">
        <v>554</v>
      </c>
      <c r="B237" t="s">
        <v>386</v>
      </c>
      <c r="C237" t="s">
        <v>20</v>
      </c>
      <c r="D237">
        <v>4370901</v>
      </c>
      <c r="E237" t="s">
        <v>613</v>
      </c>
      <c r="F237" s="177">
        <v>37196</v>
      </c>
      <c r="G237" s="177"/>
      <c r="H237" s="177"/>
      <c r="I237" s="177" t="s">
        <v>576</v>
      </c>
      <c r="J237">
        <f t="shared" si="62"/>
        <v>44</v>
      </c>
      <c r="K237">
        <f t="shared" si="63"/>
        <v>54</v>
      </c>
      <c r="L237" s="67">
        <f t="shared" si="69"/>
        <v>2.2800000000000001E-2</v>
      </c>
      <c r="M237" s="127">
        <f t="shared" si="70"/>
        <v>1.0032000000000001</v>
      </c>
      <c r="N237" s="127">
        <f t="shared" si="67"/>
        <v>1.2312000000000001</v>
      </c>
      <c r="O237" s="127">
        <f t="shared" si="59"/>
        <v>38</v>
      </c>
      <c r="P237" s="127">
        <f t="shared" si="71"/>
        <v>47</v>
      </c>
      <c r="Q237" s="43" t="str">
        <f t="shared" si="60"/>
        <v>Y</v>
      </c>
      <c r="R237" s="43">
        <f t="shared" si="61"/>
        <v>38</v>
      </c>
      <c r="S237">
        <f t="shared" si="68"/>
        <v>16</v>
      </c>
      <c r="T237" s="18">
        <f t="shared" si="64"/>
        <v>9</v>
      </c>
      <c r="U237" s="151">
        <f t="shared" si="72"/>
        <v>1</v>
      </c>
      <c r="V237" s="151">
        <f t="shared" si="73"/>
        <v>4</v>
      </c>
      <c r="W237" s="151">
        <f t="shared" si="74"/>
        <v>2</v>
      </c>
      <c r="X237" s="151">
        <f t="shared" si="75"/>
        <v>0</v>
      </c>
      <c r="Y237" s="18">
        <f t="shared" si="66"/>
        <v>7</v>
      </c>
      <c r="AB237" s="168"/>
      <c r="AC237" s="168"/>
      <c r="AD237" t="e">
        <f t="shared" si="65"/>
        <v>#N/A</v>
      </c>
    </row>
    <row r="238" spans="1:30" x14ac:dyDescent="0.2">
      <c r="A238" s="183" t="s">
        <v>554</v>
      </c>
      <c r="B238" t="s">
        <v>388</v>
      </c>
      <c r="C238" t="s">
        <v>614</v>
      </c>
      <c r="D238">
        <v>4371101</v>
      </c>
      <c r="E238" t="s">
        <v>372</v>
      </c>
      <c r="F238" s="177">
        <v>37196</v>
      </c>
      <c r="G238" s="177"/>
      <c r="H238" s="177"/>
      <c r="I238" s="177" t="s">
        <v>575</v>
      </c>
      <c r="J238">
        <f t="shared" si="62"/>
        <v>146</v>
      </c>
      <c r="K238">
        <f t="shared" si="63"/>
        <v>155</v>
      </c>
      <c r="L238" s="67">
        <f t="shared" si="69"/>
        <v>2.2800000000000001E-2</v>
      </c>
      <c r="M238" s="127">
        <f t="shared" si="70"/>
        <v>3.3288000000000002</v>
      </c>
      <c r="N238" s="127">
        <f t="shared" si="67"/>
        <v>3.5340000000000003</v>
      </c>
      <c r="O238" s="127">
        <f t="shared" si="59"/>
        <v>132</v>
      </c>
      <c r="P238" s="127">
        <f t="shared" si="71"/>
        <v>141</v>
      </c>
      <c r="Q238" s="43" t="str">
        <f t="shared" si="60"/>
        <v>Y</v>
      </c>
      <c r="R238" s="43">
        <f t="shared" si="61"/>
        <v>132</v>
      </c>
      <c r="S238">
        <f t="shared" si="68"/>
        <v>23</v>
      </c>
      <c r="T238" s="18">
        <f t="shared" si="64"/>
        <v>9</v>
      </c>
      <c r="U238" s="151">
        <f t="shared" si="72"/>
        <v>4</v>
      </c>
      <c r="V238" s="151">
        <f t="shared" si="73"/>
        <v>11</v>
      </c>
      <c r="W238" s="151">
        <f t="shared" si="74"/>
        <v>0</v>
      </c>
      <c r="X238" s="151">
        <f t="shared" si="75"/>
        <v>0</v>
      </c>
      <c r="Y238" s="18">
        <f t="shared" si="66"/>
        <v>15</v>
      </c>
      <c r="AB238" s="168"/>
      <c r="AC238" s="168"/>
      <c r="AD238" t="e">
        <f t="shared" si="65"/>
        <v>#N/A</v>
      </c>
    </row>
    <row r="239" spans="1:30" x14ac:dyDescent="0.2">
      <c r="A239" s="183" t="s">
        <v>554</v>
      </c>
      <c r="B239" t="s">
        <v>388</v>
      </c>
      <c r="C239" t="s">
        <v>407</v>
      </c>
      <c r="D239">
        <v>4371201</v>
      </c>
      <c r="E239" t="s">
        <v>613</v>
      </c>
      <c r="F239" s="177">
        <v>37196</v>
      </c>
      <c r="G239" s="177"/>
      <c r="H239" s="177"/>
      <c r="I239" s="177" t="s">
        <v>575</v>
      </c>
      <c r="J239">
        <f t="shared" si="62"/>
        <v>37</v>
      </c>
      <c r="K239">
        <f t="shared" si="63"/>
        <v>40</v>
      </c>
      <c r="L239" s="67">
        <f t="shared" si="69"/>
        <v>2.2800000000000001E-2</v>
      </c>
      <c r="M239" s="127">
        <f t="shared" si="70"/>
        <v>0.84360000000000002</v>
      </c>
      <c r="N239" s="127">
        <f t="shared" si="67"/>
        <v>0.91200000000000003</v>
      </c>
      <c r="O239" s="127">
        <f t="shared" si="59"/>
        <v>34</v>
      </c>
      <c r="P239" s="127">
        <f t="shared" si="71"/>
        <v>36</v>
      </c>
      <c r="Q239" s="43" t="str">
        <f t="shared" si="60"/>
        <v>Y</v>
      </c>
      <c r="R239" s="43">
        <f t="shared" si="61"/>
        <v>34</v>
      </c>
      <c r="S239">
        <f t="shared" si="68"/>
        <v>6</v>
      </c>
      <c r="T239" s="18">
        <f t="shared" si="64"/>
        <v>2</v>
      </c>
      <c r="U239" s="151">
        <f t="shared" si="72"/>
        <v>1</v>
      </c>
      <c r="V239" s="151">
        <f t="shared" si="73"/>
        <v>3</v>
      </c>
      <c r="W239" s="151">
        <f t="shared" si="74"/>
        <v>0</v>
      </c>
      <c r="X239" s="151">
        <f t="shared" si="75"/>
        <v>0</v>
      </c>
      <c r="Y239" s="18">
        <f t="shared" si="66"/>
        <v>4</v>
      </c>
      <c r="AB239" s="168"/>
      <c r="AC239" s="168"/>
      <c r="AD239" t="e">
        <f t="shared" si="65"/>
        <v>#N/A</v>
      </c>
    </row>
    <row r="240" spans="1:30" x14ac:dyDescent="0.2">
      <c r="A240" s="183" t="s">
        <v>554</v>
      </c>
      <c r="B240" t="s">
        <v>388</v>
      </c>
      <c r="C240" t="s">
        <v>49</v>
      </c>
      <c r="D240">
        <v>4371701</v>
      </c>
      <c r="E240" t="s">
        <v>613</v>
      </c>
      <c r="F240" s="177">
        <v>37196</v>
      </c>
      <c r="G240" s="177"/>
      <c r="H240" s="177"/>
      <c r="I240" s="177" t="s">
        <v>575</v>
      </c>
      <c r="J240">
        <f t="shared" si="62"/>
        <v>74</v>
      </c>
      <c r="K240">
        <f t="shared" si="63"/>
        <v>76</v>
      </c>
      <c r="L240" s="67">
        <f t="shared" si="69"/>
        <v>2.2800000000000001E-2</v>
      </c>
      <c r="M240" s="127">
        <f t="shared" si="70"/>
        <v>1.6872</v>
      </c>
      <c r="N240" s="127">
        <f t="shared" si="67"/>
        <v>1.7328000000000001</v>
      </c>
      <c r="O240" s="127">
        <f t="shared" ref="O240:O247" si="76">J240-ROUND(+$J240*(VLOOKUP($I240,cngded,6,FALSE)),0)</f>
        <v>67</v>
      </c>
      <c r="P240" s="127">
        <f t="shared" si="71"/>
        <v>69</v>
      </c>
      <c r="Q240" s="43" t="str">
        <f t="shared" si="60"/>
        <v>Y</v>
      </c>
      <c r="R240" s="43">
        <f t="shared" si="61"/>
        <v>67</v>
      </c>
      <c r="S240">
        <f t="shared" si="68"/>
        <v>9</v>
      </c>
      <c r="T240" s="18">
        <f t="shared" si="64"/>
        <v>2</v>
      </c>
      <c r="U240" s="151">
        <f t="shared" si="72"/>
        <v>2</v>
      </c>
      <c r="V240" s="151">
        <f t="shared" si="73"/>
        <v>5</v>
      </c>
      <c r="W240" s="151">
        <f t="shared" si="74"/>
        <v>0</v>
      </c>
      <c r="X240" s="151">
        <f t="shared" si="75"/>
        <v>0</v>
      </c>
      <c r="Y240" s="18">
        <f t="shared" si="66"/>
        <v>7</v>
      </c>
      <c r="AB240" s="168"/>
      <c r="AC240" s="168"/>
      <c r="AD240" t="e">
        <f t="shared" si="65"/>
        <v>#N/A</v>
      </c>
    </row>
    <row r="241" spans="1:30" x14ac:dyDescent="0.2">
      <c r="A241" s="183" t="s">
        <v>554</v>
      </c>
      <c r="B241" t="s">
        <v>388</v>
      </c>
      <c r="C241" t="s">
        <v>615</v>
      </c>
      <c r="D241">
        <v>4373001</v>
      </c>
      <c r="E241" t="s">
        <v>613</v>
      </c>
      <c r="F241" s="177">
        <v>37196</v>
      </c>
      <c r="G241" s="177"/>
      <c r="H241" s="177"/>
      <c r="I241" s="177" t="s">
        <v>575</v>
      </c>
      <c r="J241">
        <f t="shared" si="62"/>
        <v>13</v>
      </c>
      <c r="K241">
        <f t="shared" si="63"/>
        <v>14</v>
      </c>
      <c r="L241" s="67">
        <f t="shared" si="69"/>
        <v>2.2800000000000001E-2</v>
      </c>
      <c r="M241" s="127">
        <f t="shared" si="70"/>
        <v>0.2964</v>
      </c>
      <c r="N241" s="127">
        <f t="shared" si="67"/>
        <v>0.31920000000000004</v>
      </c>
      <c r="O241" s="127">
        <f t="shared" si="76"/>
        <v>12</v>
      </c>
      <c r="P241" s="127">
        <f t="shared" si="71"/>
        <v>13</v>
      </c>
      <c r="Q241" s="43" t="str">
        <f t="shared" si="60"/>
        <v>Y</v>
      </c>
      <c r="R241" s="43">
        <f t="shared" si="61"/>
        <v>12</v>
      </c>
      <c r="S241">
        <f t="shared" si="68"/>
        <v>2</v>
      </c>
      <c r="T241" s="18">
        <f t="shared" si="64"/>
        <v>1</v>
      </c>
      <c r="U241" s="151">
        <f t="shared" si="72"/>
        <v>0</v>
      </c>
      <c r="V241" s="151">
        <f t="shared" si="73"/>
        <v>1</v>
      </c>
      <c r="W241" s="151">
        <f t="shared" si="74"/>
        <v>0</v>
      </c>
      <c r="X241" s="151">
        <f t="shared" si="75"/>
        <v>0</v>
      </c>
      <c r="Y241" s="18">
        <f t="shared" si="66"/>
        <v>1</v>
      </c>
      <c r="AB241" s="168"/>
      <c r="AC241" s="168"/>
      <c r="AD241" t="e">
        <f t="shared" si="65"/>
        <v>#N/A</v>
      </c>
    </row>
    <row r="242" spans="1:30" x14ac:dyDescent="0.2">
      <c r="A242" s="183" t="s">
        <v>554</v>
      </c>
      <c r="B242" t="s">
        <v>390</v>
      </c>
      <c r="C242" t="s">
        <v>535</v>
      </c>
      <c r="D242">
        <v>5156201</v>
      </c>
      <c r="E242" t="s">
        <v>502</v>
      </c>
      <c r="F242" s="177">
        <v>37196</v>
      </c>
      <c r="G242" s="177"/>
      <c r="H242" s="177"/>
      <c r="I242" s="177" t="s">
        <v>575</v>
      </c>
      <c r="J242">
        <f t="shared" si="62"/>
        <v>777</v>
      </c>
      <c r="K242">
        <f t="shared" si="63"/>
        <v>804</v>
      </c>
      <c r="L242" s="67">
        <f t="shared" si="69"/>
        <v>2.2800000000000001E-2</v>
      </c>
      <c r="M242" s="127">
        <f t="shared" si="70"/>
        <v>17.715600000000002</v>
      </c>
      <c r="N242" s="127">
        <f t="shared" si="67"/>
        <v>18.331199999999999</v>
      </c>
      <c r="O242" s="127">
        <f t="shared" si="76"/>
        <v>704</v>
      </c>
      <c r="P242" s="127">
        <f t="shared" si="71"/>
        <v>729</v>
      </c>
      <c r="Q242" s="43" t="str">
        <f t="shared" si="60"/>
        <v>Y</v>
      </c>
      <c r="R242" s="43">
        <f t="shared" si="61"/>
        <v>704</v>
      </c>
      <c r="S242">
        <f t="shared" si="68"/>
        <v>100</v>
      </c>
      <c r="T242" s="18">
        <f t="shared" si="64"/>
        <v>25</v>
      </c>
      <c r="U242" s="151">
        <f t="shared" si="72"/>
        <v>18</v>
      </c>
      <c r="V242" s="151">
        <f t="shared" si="73"/>
        <v>57</v>
      </c>
      <c r="W242" s="151">
        <f t="shared" si="74"/>
        <v>0</v>
      </c>
      <c r="X242" s="151">
        <f t="shared" si="75"/>
        <v>0</v>
      </c>
      <c r="Y242" s="18">
        <f t="shared" si="66"/>
        <v>75</v>
      </c>
      <c r="AB242" s="168"/>
      <c r="AC242" s="168"/>
      <c r="AD242" t="e">
        <f t="shared" si="65"/>
        <v>#N/A</v>
      </c>
    </row>
    <row r="243" spans="1:30" x14ac:dyDescent="0.2">
      <c r="A243" s="183" t="s">
        <v>554</v>
      </c>
      <c r="B243" t="s">
        <v>390</v>
      </c>
      <c r="C243" t="s">
        <v>536</v>
      </c>
      <c r="D243">
        <v>5171101</v>
      </c>
      <c r="E243" t="s">
        <v>502</v>
      </c>
      <c r="F243" s="177">
        <v>37196</v>
      </c>
      <c r="G243" s="177"/>
      <c r="H243" s="177"/>
      <c r="I243" s="177" t="s">
        <v>575</v>
      </c>
      <c r="J243">
        <f t="shared" si="62"/>
        <v>147</v>
      </c>
      <c r="K243">
        <f t="shared" si="63"/>
        <v>155</v>
      </c>
      <c r="L243" s="67">
        <f t="shared" si="69"/>
        <v>2.2800000000000001E-2</v>
      </c>
      <c r="M243" s="127">
        <f t="shared" si="70"/>
        <v>3.3515999999999999</v>
      </c>
      <c r="N243" s="127">
        <f t="shared" si="67"/>
        <v>3.5340000000000003</v>
      </c>
      <c r="O243" s="127">
        <f t="shared" si="76"/>
        <v>133</v>
      </c>
      <c r="P243" s="127">
        <f t="shared" si="71"/>
        <v>141</v>
      </c>
      <c r="Q243" s="43" t="str">
        <f t="shared" si="60"/>
        <v>Y</v>
      </c>
      <c r="R243" s="43">
        <f t="shared" si="61"/>
        <v>133</v>
      </c>
      <c r="S243">
        <f t="shared" si="68"/>
        <v>22</v>
      </c>
      <c r="T243" s="18">
        <f t="shared" si="64"/>
        <v>8</v>
      </c>
      <c r="U243" s="151">
        <f t="shared" si="72"/>
        <v>4</v>
      </c>
      <c r="V243" s="151">
        <f t="shared" si="73"/>
        <v>11</v>
      </c>
      <c r="W243" s="151">
        <f t="shared" si="74"/>
        <v>0</v>
      </c>
      <c r="X243" s="151">
        <f t="shared" si="75"/>
        <v>0</v>
      </c>
      <c r="Y243" s="18">
        <f t="shared" si="66"/>
        <v>15</v>
      </c>
      <c r="AB243" s="168"/>
      <c r="AC243" s="168"/>
      <c r="AD243" t="e">
        <f t="shared" si="65"/>
        <v>#N/A</v>
      </c>
    </row>
    <row r="244" spans="1:30" x14ac:dyDescent="0.2">
      <c r="A244" s="183" t="s">
        <v>554</v>
      </c>
      <c r="B244" t="s">
        <v>386</v>
      </c>
      <c r="C244" t="s">
        <v>195</v>
      </c>
      <c r="D244" t="s">
        <v>196</v>
      </c>
      <c r="E244" t="s">
        <v>130</v>
      </c>
      <c r="F244" s="177">
        <v>37196</v>
      </c>
      <c r="G244" s="177"/>
      <c r="H244" s="177"/>
      <c r="I244" s="177" t="s">
        <v>576</v>
      </c>
      <c r="J244">
        <f t="shared" si="62"/>
        <v>72</v>
      </c>
      <c r="K244">
        <f t="shared" si="63"/>
        <v>81</v>
      </c>
      <c r="L244" s="67">
        <f t="shared" si="69"/>
        <v>2.2800000000000001E-2</v>
      </c>
      <c r="M244" s="127">
        <f t="shared" si="70"/>
        <v>1.6415999999999999</v>
      </c>
      <c r="N244" s="127">
        <f t="shared" si="67"/>
        <v>1.8468</v>
      </c>
      <c r="O244" s="127">
        <f t="shared" si="76"/>
        <v>62</v>
      </c>
      <c r="P244" s="127">
        <f t="shared" si="71"/>
        <v>70</v>
      </c>
      <c r="Q244" s="43" t="str">
        <f t="shared" si="60"/>
        <v>Y</v>
      </c>
      <c r="R244" s="43">
        <f t="shared" si="61"/>
        <v>62</v>
      </c>
      <c r="S244">
        <f t="shared" si="68"/>
        <v>19</v>
      </c>
      <c r="T244" s="18">
        <f t="shared" si="64"/>
        <v>8</v>
      </c>
      <c r="U244" s="151">
        <f t="shared" si="72"/>
        <v>2</v>
      </c>
      <c r="V244" s="151">
        <f t="shared" si="73"/>
        <v>6</v>
      </c>
      <c r="W244" s="151">
        <f t="shared" si="74"/>
        <v>2</v>
      </c>
      <c r="X244" s="151">
        <f t="shared" si="75"/>
        <v>1</v>
      </c>
      <c r="Y244" s="18">
        <f t="shared" si="66"/>
        <v>11</v>
      </c>
      <c r="AB244" s="168"/>
      <c r="AC244" s="168"/>
      <c r="AD244" t="e">
        <f t="shared" si="65"/>
        <v>#N/A</v>
      </c>
    </row>
    <row r="245" spans="1:30" x14ac:dyDescent="0.2">
      <c r="A245" s="183" t="s">
        <v>554</v>
      </c>
      <c r="B245" t="s">
        <v>387</v>
      </c>
      <c r="C245" t="s">
        <v>297</v>
      </c>
      <c r="D245" t="s">
        <v>298</v>
      </c>
      <c r="E245" t="s">
        <v>138</v>
      </c>
      <c r="F245" s="177">
        <v>37196</v>
      </c>
      <c r="G245" s="177"/>
      <c r="H245" s="177"/>
      <c r="I245" s="177" t="s">
        <v>583</v>
      </c>
      <c r="J245">
        <f t="shared" si="62"/>
        <v>1289</v>
      </c>
      <c r="K245">
        <f t="shared" si="63"/>
        <v>1568</v>
      </c>
      <c r="L245" s="67">
        <f t="shared" si="69"/>
        <v>0</v>
      </c>
      <c r="M245" s="127">
        <f t="shared" si="70"/>
        <v>0</v>
      </c>
      <c r="N245" s="127">
        <f t="shared" si="67"/>
        <v>0</v>
      </c>
      <c r="O245" s="127">
        <f t="shared" si="76"/>
        <v>1239</v>
      </c>
      <c r="P245" s="127">
        <f t="shared" si="71"/>
        <v>1507</v>
      </c>
      <c r="Q245" s="43" t="str">
        <f t="shared" si="60"/>
        <v>Y</v>
      </c>
      <c r="R245" s="43">
        <f t="shared" si="61"/>
        <v>1239</v>
      </c>
      <c r="S245">
        <f t="shared" si="68"/>
        <v>329</v>
      </c>
      <c r="T245" s="18">
        <f t="shared" si="64"/>
        <v>268</v>
      </c>
      <c r="U245" s="151">
        <f t="shared" si="72"/>
        <v>0</v>
      </c>
      <c r="V245" s="151">
        <f t="shared" si="73"/>
        <v>0</v>
      </c>
      <c r="W245" s="151">
        <f t="shared" si="74"/>
        <v>47</v>
      </c>
      <c r="X245" s="151">
        <f t="shared" si="75"/>
        <v>14</v>
      </c>
      <c r="Y245" s="18">
        <f t="shared" si="66"/>
        <v>61</v>
      </c>
      <c r="AB245" s="168"/>
      <c r="AC245" s="168"/>
      <c r="AD245" t="e">
        <f t="shared" si="65"/>
        <v>#N/A</v>
      </c>
    </row>
    <row r="246" spans="1:30" x14ac:dyDescent="0.2">
      <c r="A246" s="183" t="s">
        <v>554</v>
      </c>
      <c r="B246" t="s">
        <v>387</v>
      </c>
      <c r="C246" t="s">
        <v>408</v>
      </c>
      <c r="D246" t="s">
        <v>409</v>
      </c>
      <c r="E246" t="s">
        <v>410</v>
      </c>
      <c r="F246" s="177">
        <v>37196</v>
      </c>
      <c r="G246" s="177"/>
      <c r="H246" s="177"/>
      <c r="I246" s="177" t="s">
        <v>583</v>
      </c>
      <c r="J246">
        <f t="shared" si="62"/>
        <v>141</v>
      </c>
      <c r="K246">
        <f t="shared" si="63"/>
        <v>162</v>
      </c>
      <c r="L246" s="67">
        <f t="shared" si="69"/>
        <v>0</v>
      </c>
      <c r="M246" s="127">
        <f t="shared" si="70"/>
        <v>0</v>
      </c>
      <c r="N246" s="127">
        <f t="shared" si="67"/>
        <v>0</v>
      </c>
      <c r="O246" s="127">
        <f t="shared" si="76"/>
        <v>135</v>
      </c>
      <c r="P246" s="127">
        <f t="shared" si="71"/>
        <v>156</v>
      </c>
      <c r="Q246" s="43" t="str">
        <f t="shared" si="60"/>
        <v>Y</v>
      </c>
      <c r="R246" s="43">
        <f t="shared" si="61"/>
        <v>135</v>
      </c>
      <c r="S246">
        <f t="shared" si="68"/>
        <v>27</v>
      </c>
      <c r="T246" s="18">
        <f t="shared" si="64"/>
        <v>21</v>
      </c>
      <c r="U246" s="151">
        <f t="shared" si="72"/>
        <v>0</v>
      </c>
      <c r="V246" s="151">
        <f t="shared" si="73"/>
        <v>0</v>
      </c>
      <c r="W246" s="151">
        <f t="shared" si="74"/>
        <v>5</v>
      </c>
      <c r="X246" s="151">
        <f t="shared" si="75"/>
        <v>1</v>
      </c>
      <c r="Y246" s="18">
        <f t="shared" si="66"/>
        <v>6</v>
      </c>
      <c r="AB246" s="168"/>
      <c r="AC246" s="168"/>
      <c r="AD246" t="e">
        <f t="shared" si="65"/>
        <v>#N/A</v>
      </c>
    </row>
    <row r="247" spans="1:30" x14ac:dyDescent="0.2">
      <c r="A247" s="183" t="s">
        <v>554</v>
      </c>
      <c r="B247" t="s">
        <v>389</v>
      </c>
      <c r="C247" t="s">
        <v>134</v>
      </c>
      <c r="D247" t="s">
        <v>135</v>
      </c>
      <c r="E247" t="s">
        <v>138</v>
      </c>
      <c r="F247" s="177">
        <v>37196</v>
      </c>
      <c r="G247" s="177"/>
      <c r="H247" s="177"/>
      <c r="I247" s="177" t="s">
        <v>577</v>
      </c>
      <c r="J247">
        <f t="shared" si="62"/>
        <v>85</v>
      </c>
      <c r="K247">
        <f t="shared" si="63"/>
        <v>94</v>
      </c>
      <c r="L247" s="67">
        <f t="shared" si="69"/>
        <v>0</v>
      </c>
      <c r="M247" s="127">
        <f t="shared" si="70"/>
        <v>0</v>
      </c>
      <c r="N247" s="127">
        <f t="shared" si="67"/>
        <v>0</v>
      </c>
      <c r="O247" s="127">
        <f t="shared" si="76"/>
        <v>85</v>
      </c>
      <c r="P247" s="127">
        <f t="shared" si="71"/>
        <v>94</v>
      </c>
      <c r="Q247" s="43" t="str">
        <f t="shared" si="60"/>
        <v>Y</v>
      </c>
      <c r="R247" s="43">
        <f t="shared" si="61"/>
        <v>85</v>
      </c>
      <c r="S247">
        <f t="shared" si="68"/>
        <v>9</v>
      </c>
      <c r="T247" s="18">
        <f t="shared" si="64"/>
        <v>9</v>
      </c>
      <c r="U247" s="151">
        <f t="shared" si="72"/>
        <v>0</v>
      </c>
      <c r="V247" s="151">
        <f t="shared" si="73"/>
        <v>0</v>
      </c>
      <c r="W247" s="151">
        <f t="shared" si="74"/>
        <v>0</v>
      </c>
      <c r="X247" s="151">
        <f t="shared" si="75"/>
        <v>0</v>
      </c>
      <c r="Y247" s="18">
        <f t="shared" si="66"/>
        <v>0</v>
      </c>
      <c r="AB247" s="168"/>
      <c r="AC247" s="168"/>
      <c r="AD247" t="e">
        <f t="shared" si="65"/>
        <v>#N/A</v>
      </c>
    </row>
    <row r="248" spans="1:30" x14ac:dyDescent="0.2">
      <c r="M248" s="128"/>
    </row>
    <row r="249" spans="1:30" x14ac:dyDescent="0.2">
      <c r="J249">
        <f>SUM(J2:J248)</f>
        <v>67884</v>
      </c>
      <c r="K249">
        <f>SUM(K2:K248)</f>
        <v>85254</v>
      </c>
      <c r="M249" s="128">
        <f t="shared" si="70"/>
        <v>1547.7552000000001</v>
      </c>
      <c r="N249" s="128">
        <f>SUM(N2:N248)</f>
        <v>1625.9363999999991</v>
      </c>
      <c r="O249" s="128" t="e">
        <f>SUM(O2:O248)</f>
        <v>#VALUE!</v>
      </c>
      <c r="P249" s="128">
        <f>SUM(P2:P248)</f>
        <v>74510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152">
        <f t="shared" si="77"/>
        <v>1863</v>
      </c>
      <c r="V249" s="152">
        <f t="shared" si="77"/>
        <v>5771</v>
      </c>
      <c r="W249" s="152">
        <f t="shared" si="77"/>
        <v>2392</v>
      </c>
      <c r="X249" s="152">
        <f t="shared" si="77"/>
        <v>726</v>
      </c>
      <c r="Y249" s="152">
        <f>SUM(U249:X249)</f>
        <v>10752</v>
      </c>
    </row>
    <row r="253" spans="1:30" x14ac:dyDescent="0.2">
      <c r="A253">
        <v>200110</v>
      </c>
      <c r="B253" t="s">
        <v>386</v>
      </c>
      <c r="C253" t="s">
        <v>422</v>
      </c>
      <c r="D253">
        <v>1059901</v>
      </c>
      <c r="E253" t="s">
        <v>420</v>
      </c>
      <c r="F253" s="177">
        <v>37224</v>
      </c>
      <c r="G253" s="177">
        <v>37225</v>
      </c>
      <c r="H253" t="s">
        <v>618</v>
      </c>
      <c r="I253" t="s">
        <v>345</v>
      </c>
      <c r="J253">
        <v>26</v>
      </c>
      <c r="K253">
        <v>28</v>
      </c>
      <c r="L253" s="43"/>
      <c r="M253" s="127"/>
      <c r="N253"/>
      <c r="O253"/>
      <c r="P253"/>
      <c r="Q253"/>
      <c r="W253" s="168"/>
      <c r="X253" s="168"/>
      <c r="AB253"/>
      <c r="AC253"/>
    </row>
    <row r="254" spans="1:30" x14ac:dyDescent="0.2">
      <c r="A254">
        <v>200110</v>
      </c>
      <c r="B254" t="s">
        <v>386</v>
      </c>
      <c r="C254" t="s">
        <v>162</v>
      </c>
      <c r="D254">
        <v>3508401</v>
      </c>
      <c r="E254" t="s">
        <v>160</v>
      </c>
      <c r="F254" s="177">
        <v>37225</v>
      </c>
      <c r="G254" s="177">
        <v>37225</v>
      </c>
      <c r="H254" t="s">
        <v>618</v>
      </c>
      <c r="I254" t="s">
        <v>345</v>
      </c>
      <c r="J254">
        <v>2</v>
      </c>
      <c r="K254">
        <v>2</v>
      </c>
      <c r="L254" s="43"/>
      <c r="M254" s="127"/>
      <c r="N254"/>
      <c r="O254"/>
      <c r="P254"/>
      <c r="Q254"/>
      <c r="W254" s="168"/>
      <c r="X254" s="168"/>
      <c r="AB254"/>
      <c r="AC254"/>
    </row>
    <row r="255" spans="1:30" x14ac:dyDescent="0.2">
      <c r="A255">
        <v>200110</v>
      </c>
      <c r="B255" t="s">
        <v>386</v>
      </c>
      <c r="C255" t="s">
        <v>494</v>
      </c>
      <c r="D255">
        <v>3549701</v>
      </c>
      <c r="E255" t="s">
        <v>420</v>
      </c>
      <c r="F255" s="177">
        <v>37224</v>
      </c>
      <c r="G255" s="177">
        <v>37225</v>
      </c>
      <c r="H255" t="s">
        <v>618</v>
      </c>
      <c r="I255" t="s">
        <v>345</v>
      </c>
      <c r="J255">
        <v>14</v>
      </c>
      <c r="K255">
        <v>15</v>
      </c>
      <c r="L255" s="43"/>
      <c r="M255" s="127"/>
      <c r="N255"/>
      <c r="O255"/>
      <c r="P255"/>
      <c r="Q255"/>
      <c r="W255" s="168"/>
      <c r="X255" s="168"/>
      <c r="AB255"/>
      <c r="AC255"/>
    </row>
    <row r="256" spans="1:30" x14ac:dyDescent="0.2">
      <c r="A256">
        <v>200110</v>
      </c>
      <c r="B256" t="s">
        <v>386</v>
      </c>
      <c r="C256" t="s">
        <v>495</v>
      </c>
      <c r="D256">
        <v>3552201</v>
      </c>
      <c r="E256" t="s">
        <v>420</v>
      </c>
      <c r="F256" s="177">
        <v>37224</v>
      </c>
      <c r="G256" s="177">
        <v>37225</v>
      </c>
      <c r="H256" t="s">
        <v>618</v>
      </c>
      <c r="I256" t="s">
        <v>345</v>
      </c>
      <c r="J256">
        <v>2</v>
      </c>
      <c r="K256">
        <v>2</v>
      </c>
      <c r="L256" s="43"/>
      <c r="M256" s="127"/>
      <c r="N256"/>
      <c r="O256"/>
      <c r="P256"/>
      <c r="Q256"/>
      <c r="W256" s="168"/>
      <c r="X256" s="168"/>
      <c r="AB256"/>
      <c r="AC256"/>
    </row>
    <row r="257" spans="1:29" x14ac:dyDescent="0.2">
      <c r="A257">
        <v>200110</v>
      </c>
      <c r="B257" t="s">
        <v>386</v>
      </c>
      <c r="C257" t="s">
        <v>174</v>
      </c>
      <c r="D257">
        <v>3565501</v>
      </c>
      <c r="E257" t="s">
        <v>175</v>
      </c>
      <c r="F257" s="177">
        <v>37225</v>
      </c>
      <c r="G257" s="177">
        <v>37225</v>
      </c>
      <c r="H257" t="s">
        <v>618</v>
      </c>
      <c r="I257" t="s">
        <v>345</v>
      </c>
      <c r="J257">
        <v>4</v>
      </c>
      <c r="K257">
        <v>4</v>
      </c>
      <c r="L257" s="43"/>
      <c r="M257" s="127"/>
      <c r="N257"/>
      <c r="O257"/>
      <c r="P257"/>
      <c r="Q257"/>
      <c r="W257" s="168"/>
      <c r="X257" s="168"/>
      <c r="AB257"/>
      <c r="AC257"/>
    </row>
    <row r="258" spans="1:29" x14ac:dyDescent="0.2">
      <c r="A258">
        <v>200110</v>
      </c>
      <c r="B258" t="s">
        <v>386</v>
      </c>
      <c r="C258" t="s">
        <v>356</v>
      </c>
      <c r="D258">
        <v>3584401</v>
      </c>
      <c r="E258" t="s">
        <v>10</v>
      </c>
      <c r="F258" s="177">
        <v>37225</v>
      </c>
      <c r="G258" s="177">
        <v>37225</v>
      </c>
      <c r="H258" t="s">
        <v>618</v>
      </c>
      <c r="I258" t="s">
        <v>345</v>
      </c>
      <c r="J258">
        <v>1</v>
      </c>
      <c r="K258">
        <v>2</v>
      </c>
      <c r="L258" s="43"/>
      <c r="M258" s="127"/>
      <c r="N258"/>
      <c r="O258"/>
      <c r="P258"/>
      <c r="Q258"/>
      <c r="W258" s="168"/>
      <c r="X258" s="168"/>
      <c r="AB258"/>
      <c r="AC258"/>
    </row>
    <row r="259" spans="1:29" x14ac:dyDescent="0.2">
      <c r="A259">
        <v>200110</v>
      </c>
      <c r="B259" t="s">
        <v>386</v>
      </c>
      <c r="C259" t="s">
        <v>50</v>
      </c>
      <c r="D259">
        <v>3585801</v>
      </c>
      <c r="E259" t="s">
        <v>175</v>
      </c>
      <c r="F259" s="177">
        <v>37106</v>
      </c>
      <c r="G259" s="177">
        <v>37134</v>
      </c>
      <c r="H259" t="s">
        <v>619</v>
      </c>
      <c r="I259" t="s">
        <v>346</v>
      </c>
      <c r="J259">
        <v>-44</v>
      </c>
      <c r="K259">
        <v>-55</v>
      </c>
      <c r="L259" s="43"/>
      <c r="M259" s="127"/>
      <c r="N259"/>
      <c r="O259"/>
      <c r="P259"/>
      <c r="Q259"/>
      <c r="W259" s="168"/>
      <c r="X259" s="168"/>
      <c r="AB259"/>
      <c r="AC259"/>
    </row>
    <row r="260" spans="1:29" x14ac:dyDescent="0.2">
      <c r="A260">
        <v>200110</v>
      </c>
      <c r="B260" t="s">
        <v>386</v>
      </c>
      <c r="C260" t="s">
        <v>50</v>
      </c>
      <c r="D260">
        <v>3585801</v>
      </c>
      <c r="E260" t="s">
        <v>175</v>
      </c>
      <c r="F260" s="177">
        <v>37135</v>
      </c>
      <c r="G260" s="177">
        <v>37164</v>
      </c>
      <c r="H260" t="s">
        <v>619</v>
      </c>
      <c r="I260" t="s">
        <v>346</v>
      </c>
      <c r="J260">
        <v>-58</v>
      </c>
      <c r="K260">
        <v>-74</v>
      </c>
      <c r="L260" s="43"/>
      <c r="M260" s="127"/>
      <c r="N260"/>
      <c r="O260"/>
      <c r="P260"/>
      <c r="Q260"/>
      <c r="W260" s="168"/>
      <c r="X260" s="168"/>
      <c r="AB260"/>
      <c r="AC260"/>
    </row>
    <row r="261" spans="1:29" x14ac:dyDescent="0.2">
      <c r="A261">
        <v>200110</v>
      </c>
      <c r="B261" t="s">
        <v>386</v>
      </c>
      <c r="C261" t="s">
        <v>50</v>
      </c>
      <c r="D261">
        <v>3585801</v>
      </c>
      <c r="E261" t="s">
        <v>175</v>
      </c>
      <c r="F261" s="177">
        <v>37165</v>
      </c>
      <c r="G261" s="177">
        <v>37195</v>
      </c>
      <c r="H261" t="s">
        <v>619</v>
      </c>
      <c r="I261" t="s">
        <v>346</v>
      </c>
      <c r="J261">
        <v>-46</v>
      </c>
      <c r="K261">
        <v>-59</v>
      </c>
      <c r="L261" s="43"/>
      <c r="M261" s="127"/>
      <c r="N261"/>
      <c r="O261"/>
      <c r="P261"/>
      <c r="Q261"/>
      <c r="W261" s="168"/>
      <c r="X261" s="168"/>
      <c r="AB261"/>
      <c r="AC261"/>
    </row>
    <row r="262" spans="1:29" x14ac:dyDescent="0.2">
      <c r="A262">
        <v>200110</v>
      </c>
      <c r="B262" t="s">
        <v>386</v>
      </c>
      <c r="C262" t="s">
        <v>50</v>
      </c>
      <c r="D262">
        <v>3585801</v>
      </c>
      <c r="E262" t="s">
        <v>175</v>
      </c>
      <c r="F262" s="177">
        <v>37196</v>
      </c>
      <c r="G262" s="177">
        <v>37202</v>
      </c>
      <c r="H262" t="s">
        <v>619</v>
      </c>
      <c r="I262" t="s">
        <v>346</v>
      </c>
      <c r="J262">
        <v>-10</v>
      </c>
      <c r="K262">
        <v>-14</v>
      </c>
      <c r="L262" s="43"/>
      <c r="M262" s="127"/>
      <c r="N262"/>
      <c r="O262"/>
      <c r="P262"/>
      <c r="Q262"/>
      <c r="W262" s="168"/>
      <c r="X262" s="168"/>
      <c r="AB262"/>
      <c r="AC262"/>
    </row>
    <row r="263" spans="1:29" x14ac:dyDescent="0.2">
      <c r="A263">
        <v>200110</v>
      </c>
      <c r="B263" t="s">
        <v>386</v>
      </c>
      <c r="C263" t="s">
        <v>195</v>
      </c>
      <c r="D263" t="s">
        <v>196</v>
      </c>
      <c r="E263" t="s">
        <v>130</v>
      </c>
      <c r="F263" s="177">
        <v>37196</v>
      </c>
      <c r="G263" s="177">
        <v>37225</v>
      </c>
      <c r="H263" t="s">
        <v>620</v>
      </c>
      <c r="I263" t="s">
        <v>621</v>
      </c>
      <c r="J263">
        <v>-49</v>
      </c>
      <c r="K263">
        <v>-52</v>
      </c>
      <c r="L263" s="43"/>
      <c r="M263" s="127"/>
      <c r="N263"/>
      <c r="O263"/>
      <c r="P263"/>
      <c r="Q263"/>
      <c r="W263" s="168"/>
      <c r="X263" s="168"/>
      <c r="AB263"/>
      <c r="AC263"/>
    </row>
    <row r="264" spans="1:29" x14ac:dyDescent="0.2">
      <c r="A264">
        <v>200110</v>
      </c>
      <c r="B264" t="s">
        <v>386</v>
      </c>
      <c r="C264" t="s">
        <v>515</v>
      </c>
      <c r="D264">
        <v>4085901</v>
      </c>
      <c r="E264" t="s">
        <v>556</v>
      </c>
      <c r="F264" s="177">
        <v>37224</v>
      </c>
      <c r="G264" s="177">
        <v>37225</v>
      </c>
      <c r="H264" t="s">
        <v>618</v>
      </c>
      <c r="I264" t="s">
        <v>345</v>
      </c>
      <c r="J264">
        <v>8</v>
      </c>
      <c r="K264">
        <v>8</v>
      </c>
      <c r="L264" s="43"/>
      <c r="M264" s="127"/>
      <c r="N264"/>
      <c r="O264"/>
      <c r="P264"/>
      <c r="Q264"/>
      <c r="W264" s="168"/>
      <c r="X264" s="168"/>
      <c r="AB264"/>
      <c r="AC264"/>
    </row>
    <row r="265" spans="1:29" x14ac:dyDescent="0.2">
      <c r="A265">
        <v>200110</v>
      </c>
      <c r="B265" t="s">
        <v>386</v>
      </c>
      <c r="C265" t="s">
        <v>209</v>
      </c>
      <c r="D265">
        <v>3294701</v>
      </c>
      <c r="E265" t="s">
        <v>210</v>
      </c>
      <c r="F265" s="177">
        <v>37225</v>
      </c>
      <c r="G265" s="177">
        <v>37225</v>
      </c>
      <c r="H265" t="s">
        <v>618</v>
      </c>
      <c r="I265" t="s">
        <v>345</v>
      </c>
      <c r="J265">
        <v>4</v>
      </c>
      <c r="K265">
        <v>5</v>
      </c>
      <c r="L265" s="43"/>
      <c r="M265" s="127"/>
      <c r="N265"/>
      <c r="O265"/>
      <c r="P265"/>
      <c r="Q265"/>
      <c r="W265" s="168"/>
      <c r="X265" s="168"/>
      <c r="AB265"/>
      <c r="AC265"/>
    </row>
    <row r="266" spans="1:29" x14ac:dyDescent="0.2">
      <c r="A266">
        <v>200110</v>
      </c>
      <c r="B266" t="s">
        <v>386</v>
      </c>
      <c r="C266" t="s">
        <v>214</v>
      </c>
      <c r="D266">
        <v>4058801</v>
      </c>
      <c r="E266" t="s">
        <v>215</v>
      </c>
      <c r="F266" s="177">
        <v>37225</v>
      </c>
      <c r="G266" s="177">
        <v>37225</v>
      </c>
      <c r="H266" t="s">
        <v>618</v>
      </c>
      <c r="I266" t="s">
        <v>345</v>
      </c>
      <c r="J266">
        <v>9</v>
      </c>
      <c r="K266">
        <v>10</v>
      </c>
      <c r="L266" s="43"/>
      <c r="M266" s="127"/>
      <c r="N266"/>
      <c r="O266"/>
      <c r="P266"/>
      <c r="Q266"/>
      <c r="W266" s="168"/>
      <c r="X266" s="168"/>
      <c r="AB266"/>
      <c r="AC266"/>
    </row>
    <row r="267" spans="1:29" x14ac:dyDescent="0.2">
      <c r="A267">
        <v>200110</v>
      </c>
      <c r="B267" t="s">
        <v>386</v>
      </c>
      <c r="C267" t="s">
        <v>216</v>
      </c>
      <c r="D267">
        <v>3234701</v>
      </c>
      <c r="E267" t="s">
        <v>217</v>
      </c>
      <c r="F267" s="177">
        <v>37186</v>
      </c>
      <c r="G267" s="177">
        <v>37195</v>
      </c>
      <c r="H267" t="s">
        <v>618</v>
      </c>
      <c r="I267" t="s">
        <v>345</v>
      </c>
      <c r="J267">
        <v>39</v>
      </c>
      <c r="K267">
        <v>50</v>
      </c>
      <c r="L267" s="43"/>
      <c r="M267" s="127"/>
      <c r="N267"/>
      <c r="O267"/>
      <c r="P267"/>
      <c r="Q267"/>
      <c r="W267" s="168"/>
      <c r="X267" s="168"/>
      <c r="AB267"/>
      <c r="AC267"/>
    </row>
    <row r="268" spans="1:29" x14ac:dyDescent="0.2">
      <c r="A268">
        <v>200110</v>
      </c>
      <c r="B268" t="s">
        <v>386</v>
      </c>
      <c r="C268" t="s">
        <v>216</v>
      </c>
      <c r="D268">
        <v>3234701</v>
      </c>
      <c r="E268" t="s">
        <v>217</v>
      </c>
      <c r="F268" s="177">
        <v>37196</v>
      </c>
      <c r="G268" s="177">
        <v>37219</v>
      </c>
      <c r="H268" t="s">
        <v>618</v>
      </c>
      <c r="I268" t="s">
        <v>345</v>
      </c>
      <c r="J268">
        <v>66</v>
      </c>
      <c r="K268">
        <v>88</v>
      </c>
      <c r="L268" s="43"/>
      <c r="M268" s="127"/>
      <c r="N268"/>
      <c r="O268"/>
      <c r="P268"/>
      <c r="Q268"/>
      <c r="W268" s="168"/>
      <c r="X268" s="168"/>
      <c r="AB268"/>
      <c r="AC268"/>
    </row>
    <row r="269" spans="1:29" x14ac:dyDescent="0.2">
      <c r="A269">
        <v>200110</v>
      </c>
      <c r="B269" t="s">
        <v>386</v>
      </c>
      <c r="C269" t="s">
        <v>218</v>
      </c>
      <c r="D269">
        <v>4043501</v>
      </c>
      <c r="E269" t="s">
        <v>215</v>
      </c>
      <c r="F269" s="177">
        <v>37225</v>
      </c>
      <c r="G269" s="177">
        <v>37225</v>
      </c>
      <c r="H269" t="s">
        <v>618</v>
      </c>
      <c r="I269" t="s">
        <v>345</v>
      </c>
      <c r="J269">
        <v>5</v>
      </c>
      <c r="K269">
        <v>6</v>
      </c>
      <c r="L269" s="43"/>
      <c r="M269" s="127"/>
      <c r="N269"/>
      <c r="O269"/>
      <c r="P269"/>
      <c r="Q269"/>
      <c r="W269" s="168"/>
      <c r="X269" s="168"/>
      <c r="AB269"/>
      <c r="AC269"/>
    </row>
    <row r="270" spans="1:29" x14ac:dyDescent="0.2">
      <c r="A270">
        <v>200110</v>
      </c>
      <c r="B270" t="s">
        <v>386</v>
      </c>
      <c r="C270" t="s">
        <v>442</v>
      </c>
      <c r="D270">
        <v>3024701</v>
      </c>
      <c r="E270" t="s">
        <v>420</v>
      </c>
      <c r="F270" s="177">
        <v>37224</v>
      </c>
      <c r="G270" s="177">
        <v>37225</v>
      </c>
      <c r="H270" t="s">
        <v>618</v>
      </c>
      <c r="I270" t="s">
        <v>345</v>
      </c>
      <c r="J270">
        <v>2</v>
      </c>
      <c r="K270">
        <v>3</v>
      </c>
      <c r="L270" s="43"/>
      <c r="M270" s="127"/>
      <c r="N270"/>
      <c r="O270"/>
      <c r="P270"/>
      <c r="Q270"/>
      <c r="W270" s="168"/>
      <c r="X270" s="168"/>
      <c r="AB270"/>
      <c r="AC270"/>
    </row>
    <row r="271" spans="1:29" x14ac:dyDescent="0.2">
      <c r="A271">
        <v>200110</v>
      </c>
      <c r="B271" t="s">
        <v>386</v>
      </c>
      <c r="C271" t="s">
        <v>444</v>
      </c>
      <c r="D271">
        <v>3025701</v>
      </c>
      <c r="E271" t="s">
        <v>420</v>
      </c>
      <c r="F271" s="177">
        <v>37225</v>
      </c>
      <c r="G271" s="177">
        <v>37225</v>
      </c>
      <c r="H271" t="s">
        <v>618</v>
      </c>
      <c r="I271" t="s">
        <v>345</v>
      </c>
      <c r="J271">
        <v>4</v>
      </c>
      <c r="K271">
        <v>5</v>
      </c>
      <c r="L271" s="43"/>
      <c r="M271" s="127"/>
      <c r="N271"/>
      <c r="O271"/>
      <c r="P271"/>
      <c r="Q271"/>
      <c r="W271" s="168"/>
      <c r="X271" s="168"/>
      <c r="AB271"/>
      <c r="AC271"/>
    </row>
    <row r="272" spans="1:29" x14ac:dyDescent="0.2">
      <c r="A272">
        <v>200110</v>
      </c>
      <c r="B272" t="s">
        <v>386</v>
      </c>
      <c r="C272" t="s">
        <v>504</v>
      </c>
      <c r="D272">
        <v>4017601</v>
      </c>
      <c r="E272" t="s">
        <v>502</v>
      </c>
      <c r="F272" s="177">
        <v>37225</v>
      </c>
      <c r="G272" s="177">
        <v>37225</v>
      </c>
      <c r="H272" t="s">
        <v>618</v>
      </c>
      <c r="I272" t="s">
        <v>345</v>
      </c>
      <c r="J272">
        <v>12</v>
      </c>
      <c r="K272">
        <v>15</v>
      </c>
      <c r="L272" s="43"/>
      <c r="M272" s="127"/>
      <c r="N272"/>
      <c r="O272"/>
      <c r="P272"/>
      <c r="Q272"/>
      <c r="W272" s="168"/>
      <c r="X272" s="168"/>
      <c r="AB272"/>
      <c r="AC272"/>
    </row>
    <row r="273" spans="1:29" x14ac:dyDescent="0.2">
      <c r="A273">
        <v>200110</v>
      </c>
      <c r="B273" t="s">
        <v>386</v>
      </c>
      <c r="C273" t="s">
        <v>501</v>
      </c>
      <c r="D273">
        <v>4004301</v>
      </c>
      <c r="E273" t="s">
        <v>502</v>
      </c>
      <c r="F273" s="177">
        <v>37225</v>
      </c>
      <c r="G273" s="177">
        <v>37225</v>
      </c>
      <c r="H273" t="s">
        <v>618</v>
      </c>
      <c r="I273" t="s">
        <v>345</v>
      </c>
      <c r="J273">
        <v>9</v>
      </c>
      <c r="K273">
        <v>11</v>
      </c>
      <c r="L273" s="43"/>
      <c r="M273" s="127"/>
      <c r="N273"/>
      <c r="O273"/>
      <c r="P273"/>
      <c r="Q273"/>
      <c r="W273" s="168"/>
      <c r="X273" s="168"/>
      <c r="AB273"/>
      <c r="AC273"/>
    </row>
    <row r="274" spans="1:29" x14ac:dyDescent="0.2">
      <c r="A274">
        <v>200110</v>
      </c>
      <c r="B274" t="s">
        <v>386</v>
      </c>
      <c r="C274" t="s">
        <v>513</v>
      </c>
      <c r="D274">
        <v>4075401</v>
      </c>
      <c r="E274" t="s">
        <v>502</v>
      </c>
      <c r="F274" s="177">
        <v>37225</v>
      </c>
      <c r="G274" s="177">
        <v>37225</v>
      </c>
      <c r="H274" t="s">
        <v>618</v>
      </c>
      <c r="I274" t="s">
        <v>345</v>
      </c>
      <c r="J274">
        <v>13</v>
      </c>
      <c r="K274">
        <v>15</v>
      </c>
      <c r="L274" s="43"/>
      <c r="M274" s="127"/>
      <c r="N274"/>
      <c r="O274"/>
      <c r="P274"/>
      <c r="Q274"/>
      <c r="W274" s="168"/>
      <c r="X274" s="168"/>
      <c r="AB274"/>
      <c r="AC274"/>
    </row>
    <row r="275" spans="1:29" x14ac:dyDescent="0.2">
      <c r="A275">
        <v>200110</v>
      </c>
      <c r="B275" t="s">
        <v>386</v>
      </c>
      <c r="C275" t="s">
        <v>512</v>
      </c>
      <c r="D275">
        <v>4065201</v>
      </c>
      <c r="E275" t="s">
        <v>502</v>
      </c>
      <c r="F275" s="177">
        <v>37225</v>
      </c>
      <c r="G275" s="177">
        <v>37225</v>
      </c>
      <c r="H275" t="s">
        <v>618</v>
      </c>
      <c r="I275" t="s">
        <v>345</v>
      </c>
      <c r="J275">
        <v>16</v>
      </c>
      <c r="K275">
        <v>19</v>
      </c>
      <c r="L275" s="43"/>
      <c r="M275" s="127"/>
      <c r="N275"/>
      <c r="O275"/>
      <c r="P275"/>
      <c r="Q275"/>
      <c r="W275" s="168"/>
      <c r="X275" s="168"/>
      <c r="AB275"/>
      <c r="AC275"/>
    </row>
    <row r="276" spans="1:29" x14ac:dyDescent="0.2">
      <c r="A276">
        <v>200110</v>
      </c>
      <c r="B276" t="s">
        <v>386</v>
      </c>
      <c r="C276" t="s">
        <v>449</v>
      </c>
      <c r="D276">
        <v>3031301</v>
      </c>
      <c r="E276" t="s">
        <v>420</v>
      </c>
      <c r="F276" s="177">
        <v>37224</v>
      </c>
      <c r="G276" s="177">
        <v>37225</v>
      </c>
      <c r="H276" t="s">
        <v>618</v>
      </c>
      <c r="I276" t="s">
        <v>345</v>
      </c>
      <c r="J276">
        <v>20</v>
      </c>
      <c r="K276">
        <v>22</v>
      </c>
      <c r="L276" s="43"/>
      <c r="M276" s="127"/>
      <c r="N276"/>
      <c r="O276"/>
      <c r="P276"/>
      <c r="Q276"/>
      <c r="W276" s="168"/>
      <c r="X276" s="168"/>
      <c r="AB276"/>
      <c r="AC276"/>
    </row>
    <row r="277" spans="1:29" x14ac:dyDescent="0.2">
      <c r="A277">
        <v>200110</v>
      </c>
      <c r="B277" t="s">
        <v>386</v>
      </c>
      <c r="C277" t="s">
        <v>232</v>
      </c>
      <c r="D277">
        <v>3223401</v>
      </c>
      <c r="E277" t="s">
        <v>146</v>
      </c>
      <c r="F277" s="177">
        <v>37225</v>
      </c>
      <c r="G277" s="177">
        <v>37225</v>
      </c>
      <c r="H277" t="s">
        <v>618</v>
      </c>
      <c r="I277" t="s">
        <v>345</v>
      </c>
      <c r="J277">
        <v>1</v>
      </c>
      <c r="K277">
        <v>2</v>
      </c>
      <c r="L277" s="43"/>
      <c r="M277" s="127"/>
      <c r="N277"/>
      <c r="O277"/>
      <c r="P277"/>
      <c r="Q277"/>
      <c r="W277" s="168"/>
      <c r="X277" s="168"/>
      <c r="AB277"/>
      <c r="AC277"/>
    </row>
    <row r="278" spans="1:29" x14ac:dyDescent="0.2">
      <c r="A278">
        <v>200110</v>
      </c>
      <c r="B278" t="s">
        <v>386</v>
      </c>
      <c r="C278" t="s">
        <v>245</v>
      </c>
      <c r="D278">
        <v>4023601</v>
      </c>
      <c r="E278" t="s">
        <v>164</v>
      </c>
      <c r="F278" s="177">
        <v>37200</v>
      </c>
      <c r="G278" s="177">
        <v>37225</v>
      </c>
      <c r="H278" t="s">
        <v>618</v>
      </c>
      <c r="I278" t="s">
        <v>345</v>
      </c>
      <c r="J278">
        <v>185</v>
      </c>
      <c r="K278">
        <v>210</v>
      </c>
      <c r="L278" s="43"/>
      <c r="M278" s="127"/>
      <c r="N278"/>
      <c r="O278"/>
      <c r="P278"/>
      <c r="Q278"/>
      <c r="W278" s="168"/>
      <c r="X278" s="168"/>
      <c r="AB278"/>
      <c r="AC278"/>
    </row>
    <row r="279" spans="1:29" x14ac:dyDescent="0.2">
      <c r="A279">
        <v>200110</v>
      </c>
      <c r="B279" t="s">
        <v>386</v>
      </c>
      <c r="C279" t="s">
        <v>432</v>
      </c>
      <c r="D279">
        <v>3013701</v>
      </c>
      <c r="E279" t="s">
        <v>457</v>
      </c>
      <c r="F279" s="177">
        <v>37196</v>
      </c>
      <c r="G279" s="177">
        <v>37225</v>
      </c>
      <c r="H279" t="s">
        <v>618</v>
      </c>
      <c r="I279" t="s">
        <v>345</v>
      </c>
      <c r="J279">
        <v>34</v>
      </c>
      <c r="K279">
        <v>60</v>
      </c>
      <c r="L279" s="43"/>
      <c r="M279" s="127"/>
      <c r="N279"/>
      <c r="O279"/>
      <c r="P279"/>
      <c r="Q279"/>
      <c r="W279" s="168"/>
      <c r="X279" s="168"/>
      <c r="AB279"/>
      <c r="AC279"/>
    </row>
    <row r="280" spans="1:29" x14ac:dyDescent="0.2">
      <c r="A280">
        <v>200110</v>
      </c>
      <c r="B280" t="s">
        <v>386</v>
      </c>
      <c r="C280" t="s">
        <v>403</v>
      </c>
      <c r="D280">
        <v>4244501</v>
      </c>
      <c r="E280" t="s">
        <v>404</v>
      </c>
      <c r="F280" s="177">
        <v>37225</v>
      </c>
      <c r="G280" s="177">
        <v>37225</v>
      </c>
      <c r="H280" t="s">
        <v>618</v>
      </c>
      <c r="I280" t="s">
        <v>345</v>
      </c>
      <c r="J280">
        <v>6</v>
      </c>
      <c r="K280">
        <v>7</v>
      </c>
      <c r="L280" s="43"/>
      <c r="M280" s="127"/>
      <c r="N280"/>
      <c r="O280"/>
      <c r="P280"/>
      <c r="Q280"/>
      <c r="W280" s="168"/>
      <c r="X280" s="168"/>
      <c r="AB280"/>
      <c r="AC280"/>
    </row>
    <row r="281" spans="1:29" x14ac:dyDescent="0.2">
      <c r="A281">
        <v>200110</v>
      </c>
      <c r="B281" t="s">
        <v>386</v>
      </c>
      <c r="C281" t="s">
        <v>246</v>
      </c>
      <c r="D281">
        <v>3427001</v>
      </c>
      <c r="E281" t="s">
        <v>160</v>
      </c>
      <c r="F281" s="177">
        <v>37225</v>
      </c>
      <c r="G281" s="177">
        <v>37225</v>
      </c>
      <c r="H281" t="s">
        <v>618</v>
      </c>
      <c r="I281" t="s">
        <v>345</v>
      </c>
      <c r="J281">
        <v>9</v>
      </c>
      <c r="K281">
        <v>11</v>
      </c>
      <c r="L281" s="43"/>
      <c r="M281" s="127"/>
      <c r="N281"/>
      <c r="O281"/>
      <c r="P281"/>
      <c r="Q281"/>
      <c r="W281" s="168"/>
      <c r="X281" s="168"/>
      <c r="AB281"/>
      <c r="AC281"/>
    </row>
    <row r="282" spans="1:29" x14ac:dyDescent="0.2">
      <c r="A282">
        <v>200110</v>
      </c>
      <c r="B282" t="s">
        <v>386</v>
      </c>
      <c r="C282" t="s">
        <v>248</v>
      </c>
      <c r="D282">
        <v>4324601</v>
      </c>
      <c r="E282" t="s">
        <v>249</v>
      </c>
      <c r="F282" s="177">
        <v>37225</v>
      </c>
      <c r="G282" s="177">
        <v>37225</v>
      </c>
      <c r="H282" t="s">
        <v>618</v>
      </c>
      <c r="I282" t="s">
        <v>345</v>
      </c>
      <c r="J282">
        <v>4</v>
      </c>
      <c r="K282">
        <v>5</v>
      </c>
      <c r="L282" s="43"/>
      <c r="M282" s="127"/>
      <c r="N282"/>
      <c r="O282"/>
      <c r="P282"/>
      <c r="Q282"/>
      <c r="W282" s="168"/>
      <c r="X282" s="168"/>
      <c r="AB282"/>
      <c r="AC282"/>
    </row>
    <row r="283" spans="1:29" x14ac:dyDescent="0.2">
      <c r="A283">
        <v>200110</v>
      </c>
      <c r="B283" t="s">
        <v>386</v>
      </c>
      <c r="C283" t="s">
        <v>402</v>
      </c>
      <c r="D283">
        <v>3410301</v>
      </c>
      <c r="E283" t="s">
        <v>121</v>
      </c>
      <c r="F283" s="177">
        <v>37137</v>
      </c>
      <c r="G283" s="177">
        <v>37164</v>
      </c>
      <c r="H283" t="s">
        <v>618</v>
      </c>
      <c r="I283" t="s">
        <v>345</v>
      </c>
      <c r="J283">
        <v>84</v>
      </c>
      <c r="K283">
        <v>125</v>
      </c>
      <c r="L283" s="43"/>
      <c r="M283" s="127"/>
      <c r="N283"/>
      <c r="O283"/>
      <c r="P283"/>
      <c r="Q283"/>
      <c r="W283" s="168"/>
      <c r="X283" s="168"/>
      <c r="AB283"/>
      <c r="AC283"/>
    </row>
    <row r="284" spans="1:29" x14ac:dyDescent="0.2">
      <c r="A284">
        <v>200110</v>
      </c>
      <c r="B284" t="s">
        <v>386</v>
      </c>
      <c r="C284" t="s">
        <v>402</v>
      </c>
      <c r="D284">
        <v>3410301</v>
      </c>
      <c r="E284" t="s">
        <v>121</v>
      </c>
      <c r="F284" s="177">
        <v>37165</v>
      </c>
      <c r="G284" s="177">
        <v>37195</v>
      </c>
      <c r="H284" t="s">
        <v>618</v>
      </c>
      <c r="I284" t="s">
        <v>345</v>
      </c>
      <c r="J284">
        <v>93</v>
      </c>
      <c r="K284">
        <v>124</v>
      </c>
      <c r="L284" s="122"/>
      <c r="M284" s="127"/>
      <c r="N284" s="43"/>
      <c r="O284"/>
      <c r="P284"/>
      <c r="Q284"/>
      <c r="AB284"/>
      <c r="AC284"/>
    </row>
    <row r="285" spans="1:29" x14ac:dyDescent="0.2">
      <c r="A285">
        <v>200110</v>
      </c>
      <c r="B285" t="s">
        <v>386</v>
      </c>
      <c r="C285" t="s">
        <v>402</v>
      </c>
      <c r="D285">
        <v>3410301</v>
      </c>
      <c r="E285" t="s">
        <v>121</v>
      </c>
      <c r="F285" s="177">
        <v>37196</v>
      </c>
      <c r="G285" s="177">
        <v>37225</v>
      </c>
      <c r="H285" t="s">
        <v>618</v>
      </c>
      <c r="I285" t="s">
        <v>345</v>
      </c>
      <c r="J285">
        <v>90</v>
      </c>
      <c r="K285">
        <v>120</v>
      </c>
      <c r="L285" s="122"/>
      <c r="M285" s="127"/>
      <c r="N285" s="43"/>
      <c r="O285"/>
      <c r="P285"/>
      <c r="Q285"/>
      <c r="AB285"/>
      <c r="AC285"/>
    </row>
    <row r="286" spans="1:29" x14ac:dyDescent="0.2">
      <c r="A286">
        <v>200110</v>
      </c>
      <c r="B286" t="s">
        <v>387</v>
      </c>
      <c r="C286" t="s">
        <v>304</v>
      </c>
      <c r="D286">
        <v>3124201</v>
      </c>
      <c r="E286" t="s">
        <v>146</v>
      </c>
      <c r="F286" s="177">
        <v>37225</v>
      </c>
      <c r="G286" s="177">
        <v>37225</v>
      </c>
      <c r="H286" t="s">
        <v>618</v>
      </c>
      <c r="I286" t="s">
        <v>345</v>
      </c>
      <c r="J286">
        <v>41</v>
      </c>
      <c r="K286">
        <v>49</v>
      </c>
      <c r="L286" s="122"/>
      <c r="M286" s="127"/>
      <c r="N286" s="43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31"/>
      <c r="G287" s="31"/>
      <c r="H287"/>
      <c r="AB287"/>
      <c r="AC287"/>
    </row>
    <row r="288" spans="1:29" x14ac:dyDescent="0.2">
      <c r="A288"/>
      <c r="B288"/>
      <c r="C288"/>
      <c r="D288"/>
      <c r="E288"/>
      <c r="F288" s="31"/>
      <c r="G288" s="31"/>
      <c r="H288"/>
      <c r="AB288"/>
      <c r="AC288"/>
    </row>
    <row r="289" spans="1:29" x14ac:dyDescent="0.2">
      <c r="A289"/>
      <c r="B289"/>
      <c r="C289"/>
      <c r="D289"/>
      <c r="E289"/>
      <c r="F289" s="31"/>
      <c r="G289" s="31"/>
      <c r="H289"/>
      <c r="AB289"/>
      <c r="AC289"/>
    </row>
    <row r="290" spans="1:29" x14ac:dyDescent="0.2">
      <c r="A290"/>
      <c r="B290"/>
      <c r="C290"/>
      <c r="D290"/>
      <c r="E290"/>
      <c r="F290" s="31"/>
      <c r="G290" s="31"/>
      <c r="H290"/>
      <c r="AB290"/>
      <c r="AC290"/>
    </row>
    <row r="291" spans="1:29" x14ac:dyDescent="0.2">
      <c r="A291"/>
      <c r="B291"/>
      <c r="C291"/>
      <c r="D291"/>
      <c r="E291"/>
      <c r="F291" s="31"/>
      <c r="G291" s="31"/>
      <c r="H291"/>
      <c r="AB291"/>
      <c r="AC291"/>
    </row>
    <row r="292" spans="1:29" x14ac:dyDescent="0.2">
      <c r="A292"/>
      <c r="B292"/>
      <c r="C292"/>
      <c r="D292"/>
      <c r="E292"/>
      <c r="F292" s="31"/>
      <c r="G292" s="31"/>
      <c r="H292"/>
      <c r="AB292"/>
      <c r="AC292"/>
    </row>
    <row r="293" spans="1:29" x14ac:dyDescent="0.2">
      <c r="A293"/>
      <c r="B293"/>
      <c r="C293"/>
      <c r="D293"/>
      <c r="E293"/>
      <c r="F293" s="31"/>
      <c r="G293" s="31"/>
      <c r="H293"/>
      <c r="AB293"/>
      <c r="AC293"/>
    </row>
    <row r="294" spans="1:29" x14ac:dyDescent="0.2">
      <c r="A294"/>
      <c r="B294"/>
      <c r="C294"/>
      <c r="D294"/>
      <c r="E294"/>
      <c r="F294" s="31"/>
      <c r="G294" s="31"/>
      <c r="H294"/>
      <c r="AB294"/>
      <c r="AC294"/>
    </row>
    <row r="295" spans="1:29" x14ac:dyDescent="0.2">
      <c r="A295"/>
      <c r="B295"/>
      <c r="C295"/>
      <c r="D295"/>
      <c r="E295"/>
      <c r="F295" s="31"/>
      <c r="G295" s="31"/>
      <c r="H295"/>
      <c r="AB295"/>
      <c r="AC295"/>
    </row>
    <row r="296" spans="1:29" x14ac:dyDescent="0.2">
      <c r="A296"/>
      <c r="B296"/>
      <c r="C296"/>
      <c r="D296"/>
      <c r="E296"/>
      <c r="F296" s="31"/>
      <c r="G296" s="31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335"/>
  <sheetViews>
    <sheetView zoomScale="90" workbookViewId="0">
      <pane ySplit="4" topLeftCell="A8" activePane="bottomLeft" state="frozen"/>
      <selection pane="bottomLeft" activeCell="R4" sqref="R4:R335"/>
    </sheetView>
  </sheetViews>
  <sheetFormatPr defaultRowHeight="15" customHeight="1" x14ac:dyDescent="0.2"/>
  <cols>
    <col min="1" max="1" width="12.42578125" customWidth="1"/>
    <col min="2" max="2" width="16.85546875" style="10" bestFit="1" customWidth="1"/>
    <col min="3" max="3" width="9.5703125" customWidth="1"/>
    <col min="4" max="4" width="16.28515625" style="24" customWidth="1"/>
    <col min="5" max="5" width="8.7109375" style="190" bestFit="1" customWidth="1"/>
    <col min="6" max="6" width="7.28515625" style="24" hidden="1" customWidth="1"/>
    <col min="7" max="7" width="7.42578125" style="11" hidden="1" customWidth="1"/>
    <col min="8" max="8" width="3.28515625" style="43" hidden="1" customWidth="1"/>
    <col min="9" max="9" width="12.5703125" style="43" customWidth="1"/>
    <col min="10" max="10" width="4.42578125" style="43" customWidth="1"/>
    <col min="11" max="11" width="8.5703125" style="24" hidden="1" customWidth="1"/>
    <col min="12" max="12" width="9.5703125" style="26" bestFit="1" customWidth="1"/>
    <col min="13" max="13" width="9" customWidth="1"/>
    <col min="14" max="14" width="9.140625" hidden="1" customWidth="1"/>
    <col min="15" max="15" width="6.7109375" style="24" hidden="1" customWidth="1"/>
    <col min="16" max="16" width="8.28515625" style="13" hidden="1" customWidth="1"/>
    <col min="17" max="17" width="11.28515625" style="30" customWidth="1"/>
    <col min="18" max="18" width="1.5703125" style="30" customWidth="1"/>
    <col min="19" max="19" width="11.28515625" style="30" customWidth="1"/>
    <col min="20" max="20" width="11.28515625" style="214" customWidth="1"/>
    <col min="21" max="21" width="11.28515625" style="30" customWidth="1"/>
    <col min="22" max="22" width="11.28515625" style="214" customWidth="1"/>
    <col min="23" max="23" width="11.28515625" style="210" customWidth="1"/>
    <col min="24" max="24" width="11.28515625" style="30" customWidth="1"/>
    <col min="25" max="25" width="8.85546875" style="99" customWidth="1"/>
    <col min="27" max="27" width="4.28515625" bestFit="1" customWidth="1"/>
    <col min="28" max="28" width="8.28515625" bestFit="1" customWidth="1"/>
  </cols>
  <sheetData>
    <row r="1" spans="1:61" s="48" customFormat="1" ht="15" customHeight="1" x14ac:dyDescent="0.2">
      <c r="A1" s="47" t="s">
        <v>543</v>
      </c>
      <c r="B1" s="49"/>
      <c r="E1" s="187"/>
      <c r="G1" s="50"/>
      <c r="H1" s="51"/>
      <c r="I1" s="51"/>
      <c r="J1" s="51"/>
      <c r="K1" s="52"/>
      <c r="L1" s="54"/>
      <c r="M1" s="119">
        <v>37226</v>
      </c>
      <c r="O1" s="52"/>
      <c r="P1" s="54"/>
      <c r="Q1" s="56"/>
      <c r="R1" s="198"/>
      <c r="S1" s="198"/>
      <c r="T1" s="212"/>
      <c r="U1" s="198"/>
      <c r="V1" s="212"/>
      <c r="W1" s="208"/>
      <c r="X1" s="198"/>
      <c r="Y1" s="99"/>
      <c r="Z1"/>
      <c r="AA1" s="60" t="s">
        <v>576</v>
      </c>
      <c r="AB1" s="60">
        <v>2.2800000000000001E-2</v>
      </c>
      <c r="AC1" s="60">
        <v>7.0599999999999996E-2</v>
      </c>
      <c r="AD1" s="60">
        <v>0.03</v>
      </c>
      <c r="AE1" s="60">
        <v>9.1000000000000004E-3</v>
      </c>
      <c r="AF1" s="149">
        <v>0.13250000000000001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s="48" customFormat="1" ht="15" customHeight="1" x14ac:dyDescent="0.2">
      <c r="A2" s="157" t="s">
        <v>609</v>
      </c>
      <c r="B2" s="158"/>
      <c r="C2" s="158"/>
      <c r="D2" s="158"/>
      <c r="E2" s="188"/>
      <c r="F2" s="159"/>
      <c r="G2" s="50"/>
      <c r="H2" s="51"/>
      <c r="I2" s="51"/>
      <c r="J2" s="51"/>
      <c r="K2" s="52"/>
      <c r="L2" s="57">
        <v>2.42</v>
      </c>
      <c r="M2" s="52" t="s">
        <v>326</v>
      </c>
      <c r="O2" s="52"/>
      <c r="P2" s="57">
        <v>2.42</v>
      </c>
      <c r="Q2" s="56"/>
      <c r="R2" s="198"/>
      <c r="S2" s="198"/>
      <c r="T2" s="212"/>
      <c r="U2" s="198"/>
      <c r="V2" s="212"/>
      <c r="W2" s="208"/>
      <c r="X2" s="198"/>
      <c r="Y2" s="99"/>
      <c r="Z2"/>
      <c r="AA2" s="60" t="s">
        <v>575</v>
      </c>
      <c r="AB2" s="60">
        <v>2.2800000000000001E-2</v>
      </c>
      <c r="AC2" s="60">
        <v>7.0599999999999996E-2</v>
      </c>
      <c r="AD2" s="60">
        <v>0</v>
      </c>
      <c r="AE2" s="60">
        <v>0</v>
      </c>
      <c r="AF2" s="149">
        <v>9.3399999999999997E-2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s="48" customFormat="1" ht="15" customHeight="1" thickBot="1" x14ac:dyDescent="0.25">
      <c r="B3" s="49"/>
      <c r="E3" s="187"/>
      <c r="G3" s="50"/>
      <c r="H3" s="51"/>
      <c r="I3" s="51"/>
      <c r="J3" s="51"/>
      <c r="K3" s="52"/>
      <c r="L3" s="57">
        <v>2.4</v>
      </c>
      <c r="M3" s="52" t="s">
        <v>318</v>
      </c>
      <c r="O3" s="156" t="s">
        <v>334</v>
      </c>
      <c r="P3" s="57">
        <v>2.4</v>
      </c>
      <c r="Q3" s="56"/>
      <c r="R3" s="198"/>
      <c r="S3" s="198"/>
      <c r="T3" s="212"/>
      <c r="U3" s="198"/>
      <c r="V3" s="212"/>
      <c r="W3" s="208"/>
      <c r="X3" s="198"/>
      <c r="Y3" s="99"/>
      <c r="Z3"/>
      <c r="AA3" s="60" t="s">
        <v>583</v>
      </c>
      <c r="AB3" s="60">
        <v>0</v>
      </c>
      <c r="AC3" s="60">
        <v>0</v>
      </c>
      <c r="AD3" s="60">
        <v>0.03</v>
      </c>
      <c r="AE3" s="60">
        <v>9.1000000000000004E-3</v>
      </c>
      <c r="AF3" s="149">
        <v>3.9100000000000003E-2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s="48" customFormat="1" ht="15" customHeight="1" thickBot="1" x14ac:dyDescent="0.25">
      <c r="A4" s="58" t="s">
        <v>413</v>
      </c>
      <c r="B4" s="59" t="s">
        <v>414</v>
      </c>
      <c r="C4" s="58" t="s">
        <v>415</v>
      </c>
      <c r="D4" s="184" t="s">
        <v>416</v>
      </c>
      <c r="E4" s="189" t="s">
        <v>589</v>
      </c>
      <c r="F4" s="58" t="s">
        <v>561</v>
      </c>
      <c r="G4" s="58" t="s">
        <v>544</v>
      </c>
      <c r="H4" s="58" t="s">
        <v>327</v>
      </c>
      <c r="I4" s="58" t="s">
        <v>545</v>
      </c>
      <c r="J4" s="58"/>
      <c r="K4" s="52" t="s">
        <v>320</v>
      </c>
      <c r="L4" s="54" t="s">
        <v>547</v>
      </c>
      <c r="M4" s="52" t="s">
        <v>546</v>
      </c>
      <c r="O4" s="156" t="s">
        <v>548</v>
      </c>
      <c r="P4" s="55" t="s">
        <v>319</v>
      </c>
      <c r="Q4" s="56" t="s">
        <v>549</v>
      </c>
      <c r="R4" s="216"/>
      <c r="S4" s="56" t="s">
        <v>351</v>
      </c>
      <c r="T4" s="213" t="s">
        <v>352</v>
      </c>
      <c r="U4" s="56" t="s">
        <v>353</v>
      </c>
      <c r="V4" s="213" t="s">
        <v>354</v>
      </c>
      <c r="W4" s="211" t="s">
        <v>687</v>
      </c>
      <c r="X4" s="198"/>
      <c r="Y4" s="99"/>
      <c r="Z4"/>
      <c r="AA4" s="60" t="s">
        <v>577</v>
      </c>
      <c r="AB4" s="60">
        <v>0</v>
      </c>
      <c r="AC4" s="60">
        <v>0</v>
      </c>
      <c r="AD4" s="60">
        <v>0</v>
      </c>
      <c r="AE4" s="60">
        <v>0</v>
      </c>
      <c r="AF4" s="149">
        <v>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s="1" customFormat="1" ht="15" customHeight="1" thickBot="1" x14ac:dyDescent="0.25">
      <c r="A5" s="3" t="s">
        <v>141</v>
      </c>
      <c r="B5" s="83" t="s">
        <v>258</v>
      </c>
      <c r="C5" s="3">
        <v>3326301</v>
      </c>
      <c r="D5" s="3" t="s">
        <v>259</v>
      </c>
      <c r="E5" s="189" t="s">
        <v>317</v>
      </c>
      <c r="F5" s="3"/>
      <c r="G5" s="1">
        <v>129</v>
      </c>
      <c r="H5" s="1" t="s">
        <v>627</v>
      </c>
      <c r="I5" s="1" t="s">
        <v>610</v>
      </c>
      <c r="J5" s="61" t="str">
        <f t="shared" ref="J5:J62" si="0">IF(ISNA(VLOOKUP(B5,cngdata,7,FALSE)),"na",VLOOKUP(B5,cngdata,7,FALSE))</f>
        <v>GW</v>
      </c>
      <c r="K5" s="61">
        <f t="shared" ref="K5:K62" si="1">IF(ISNA(VLOOKUP(B5,cngdata,13,FALSE)),"na",VLOOKUP(B5,cngdata,13,FALSE))</f>
        <v>0</v>
      </c>
      <c r="L5" s="65">
        <f>$L$3*98%</f>
        <v>2.3519999999999999</v>
      </c>
      <c r="M5" s="61">
        <f t="shared" ref="M5:M62" si="2">IF(ISNA(VLOOKUP(B5,cngdata,14,FALSE)),0,VLOOKUP(B5,cngdata,14,FALSE))</f>
        <v>0</v>
      </c>
      <c r="O5" s="155">
        <v>0</v>
      </c>
      <c r="P5" s="63">
        <f t="shared" ref="P5:P68" si="3">L5-O5</f>
        <v>2.3519999999999999</v>
      </c>
      <c r="Q5" s="64">
        <f t="shared" ref="Q5:Q68" si="4">M5*P5</f>
        <v>0</v>
      </c>
      <c r="R5" s="216"/>
      <c r="S5" s="61">
        <f>IF(ISNA(VLOOKUP(B5,SplitVol,5,FALSE)),0,VLOOKUP(B5,SplitVol,5,FALSE))</f>
        <v>0</v>
      </c>
      <c r="T5" s="96">
        <f>+S5*L5</f>
        <v>0</v>
      </c>
      <c r="U5" s="61">
        <f>IF(ISNA(VLOOKUP(B5,SplitVol,6,FALSE)),0,VLOOKUP(B5,SplitVol,6,FALSE))</f>
        <v>0</v>
      </c>
      <c r="V5" s="96">
        <f>+U5*L5</f>
        <v>0</v>
      </c>
      <c r="W5" s="209" t="str">
        <f t="shared" ref="W5:W36" si="5">IF(ISBLANK(VLOOKUP(B5,EffDate,4,FALSE)),"na",VLOOKUP(B5,EffDate,4,FALSE))</f>
        <v>na</v>
      </c>
      <c r="X5" s="115">
        <f>+M5-S5-U5</f>
        <v>0</v>
      </c>
      <c r="Y5" s="99"/>
      <c r="Z5"/>
      <c r="AA5" s="60" t="s">
        <v>681</v>
      </c>
      <c r="AB5" s="60">
        <v>0</v>
      </c>
      <c r="AC5" s="60">
        <v>0</v>
      </c>
      <c r="AD5" s="60">
        <v>0</v>
      </c>
      <c r="AE5" s="60">
        <v>0</v>
      </c>
      <c r="AF5" s="149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ht="15" customHeight="1" thickBot="1" x14ac:dyDescent="0.25">
      <c r="A6" s="1" t="s">
        <v>418</v>
      </c>
      <c r="B6" s="1" t="s">
        <v>578</v>
      </c>
      <c r="C6" s="1">
        <v>3564701</v>
      </c>
      <c r="D6" s="3" t="s">
        <v>84</v>
      </c>
      <c r="E6" s="189" t="s">
        <v>317</v>
      </c>
      <c r="F6" s="34" t="s">
        <v>579</v>
      </c>
      <c r="G6" s="42">
        <v>306954</v>
      </c>
      <c r="H6" s="42">
        <v>96029563</v>
      </c>
      <c r="I6" s="68" t="s">
        <v>314</v>
      </c>
      <c r="J6" s="61" t="str">
        <f t="shared" si="0"/>
        <v>GW</v>
      </c>
      <c r="K6" s="61" t="e">
        <f t="shared" si="1"/>
        <v>#VALUE!</v>
      </c>
      <c r="L6" s="65">
        <f>$L$2*0.98</f>
        <v>2.3715999999999999</v>
      </c>
      <c r="M6" s="61">
        <f t="shared" si="2"/>
        <v>0</v>
      </c>
      <c r="O6" s="155">
        <v>0</v>
      </c>
      <c r="P6" s="63">
        <f t="shared" si="3"/>
        <v>2.3715999999999999</v>
      </c>
      <c r="Q6" s="64">
        <f t="shared" si="4"/>
        <v>0</v>
      </c>
      <c r="R6" s="216"/>
      <c r="S6" s="61">
        <f t="shared" ref="S6:S69" si="6">IF(ISNA(VLOOKUP(B6,SplitVol,5,FALSE)),0,VLOOKUP(B6,SplitVol,5,FALSE))</f>
        <v>0</v>
      </c>
      <c r="T6" s="96">
        <f t="shared" ref="T6:T69" si="7">+S6*L6</f>
        <v>0</v>
      </c>
      <c r="U6" s="61">
        <f t="shared" ref="U6:U69" si="8">IF(ISNA(VLOOKUP(B6,SplitVol,6,FALSE)),0,VLOOKUP(B6,SplitVol,6,FALSE))</f>
        <v>0</v>
      </c>
      <c r="V6" s="96">
        <f t="shared" ref="V6:V69" si="9">+U6*L6</f>
        <v>0</v>
      </c>
      <c r="W6" s="209" t="str">
        <f t="shared" si="5"/>
        <v>na</v>
      </c>
      <c r="X6" s="115">
        <f t="shared" ref="X6:X69" si="10">+M6-S6-U6</f>
        <v>0</v>
      </c>
    </row>
    <row r="7" spans="1:61" ht="15" customHeight="1" thickBot="1" x14ac:dyDescent="0.25">
      <c r="A7" s="1" t="s">
        <v>418</v>
      </c>
      <c r="B7" s="1" t="s">
        <v>580</v>
      </c>
      <c r="C7" s="1">
        <v>3564801</v>
      </c>
      <c r="D7" s="3" t="s">
        <v>84</v>
      </c>
      <c r="E7" s="189" t="s">
        <v>317</v>
      </c>
      <c r="F7" s="34" t="s">
        <v>579</v>
      </c>
      <c r="G7" s="42">
        <v>306954</v>
      </c>
      <c r="H7" s="42">
        <v>96029563</v>
      </c>
      <c r="I7" s="68" t="s">
        <v>314</v>
      </c>
      <c r="J7" s="61" t="str">
        <f t="shared" si="0"/>
        <v>GW</v>
      </c>
      <c r="K7" s="61" t="e">
        <f t="shared" si="1"/>
        <v>#VALUE!</v>
      </c>
      <c r="L7" s="65">
        <f>$L$2*0.98</f>
        <v>2.3715999999999999</v>
      </c>
      <c r="M7" s="61">
        <f t="shared" si="2"/>
        <v>0</v>
      </c>
      <c r="O7" s="155">
        <v>0</v>
      </c>
      <c r="P7" s="63">
        <f t="shared" si="3"/>
        <v>2.3715999999999999</v>
      </c>
      <c r="Q7" s="64">
        <f t="shared" si="4"/>
        <v>0</v>
      </c>
      <c r="R7" s="216"/>
      <c r="S7" s="61">
        <f t="shared" si="6"/>
        <v>0</v>
      </c>
      <c r="T7" s="96">
        <f t="shared" si="7"/>
        <v>0</v>
      </c>
      <c r="U7" s="61">
        <f t="shared" si="8"/>
        <v>0</v>
      </c>
      <c r="V7" s="96">
        <f t="shared" si="9"/>
        <v>0</v>
      </c>
      <c r="W7" s="209" t="str">
        <f t="shared" si="5"/>
        <v>na</v>
      </c>
      <c r="X7" s="115">
        <f t="shared" si="10"/>
        <v>0</v>
      </c>
    </row>
    <row r="8" spans="1:61" ht="15" customHeight="1" thickBot="1" x14ac:dyDescent="0.25">
      <c r="A8" s="1" t="s">
        <v>418</v>
      </c>
      <c r="B8" s="1" t="s">
        <v>477</v>
      </c>
      <c r="C8" s="42">
        <v>3505301</v>
      </c>
      <c r="D8" s="192" t="s">
        <v>478</v>
      </c>
      <c r="E8" s="193">
        <v>37257</v>
      </c>
      <c r="F8" s="1" t="s">
        <v>478</v>
      </c>
      <c r="G8" s="42">
        <v>243624</v>
      </c>
      <c r="H8" s="42"/>
      <c r="I8" s="68" t="s">
        <v>550</v>
      </c>
      <c r="J8" s="61" t="str">
        <f t="shared" si="0"/>
        <v>GW</v>
      </c>
      <c r="K8" s="61">
        <f t="shared" si="1"/>
        <v>852</v>
      </c>
      <c r="L8" s="65">
        <f t="shared" ref="L8:L19" si="11">$L$2</f>
        <v>2.42</v>
      </c>
      <c r="M8" s="61">
        <f t="shared" si="2"/>
        <v>1019</v>
      </c>
      <c r="O8" s="155">
        <v>0</v>
      </c>
      <c r="P8" s="63">
        <f t="shared" si="3"/>
        <v>2.42</v>
      </c>
      <c r="Q8" s="64">
        <f t="shared" si="4"/>
        <v>2465.98</v>
      </c>
      <c r="R8" s="216"/>
      <c r="S8" s="61">
        <f t="shared" si="6"/>
        <v>64</v>
      </c>
      <c r="T8" s="96">
        <f t="shared" si="7"/>
        <v>154.88</v>
      </c>
      <c r="U8" s="61">
        <f t="shared" si="8"/>
        <v>955</v>
      </c>
      <c r="V8" s="96">
        <f t="shared" si="9"/>
        <v>2311.1</v>
      </c>
      <c r="W8" s="209">
        <f t="shared" si="5"/>
        <v>37257</v>
      </c>
      <c r="X8" s="115">
        <f t="shared" si="10"/>
        <v>0</v>
      </c>
    </row>
    <row r="9" spans="1:61" ht="15" customHeight="1" thickBot="1" x14ac:dyDescent="0.25">
      <c r="A9" s="1" t="s">
        <v>418</v>
      </c>
      <c r="B9" s="1" t="s">
        <v>490</v>
      </c>
      <c r="C9" s="42">
        <v>3540501</v>
      </c>
      <c r="D9" s="192" t="s">
        <v>478</v>
      </c>
      <c r="E9" s="193">
        <v>37257</v>
      </c>
      <c r="F9" s="1" t="s">
        <v>478</v>
      </c>
      <c r="G9" s="42">
        <v>243624</v>
      </c>
      <c r="H9" s="42"/>
      <c r="I9" s="68" t="s">
        <v>550</v>
      </c>
      <c r="J9" s="61" t="str">
        <f t="shared" si="0"/>
        <v>GW</v>
      </c>
      <c r="K9" s="61">
        <f t="shared" si="1"/>
        <v>1818</v>
      </c>
      <c r="L9" s="65">
        <f t="shared" si="11"/>
        <v>2.42</v>
      </c>
      <c r="M9" s="61">
        <f t="shared" si="2"/>
        <v>2233</v>
      </c>
      <c r="O9" s="155">
        <v>0</v>
      </c>
      <c r="P9" s="63">
        <f t="shared" si="3"/>
        <v>2.42</v>
      </c>
      <c r="Q9" s="64">
        <f t="shared" si="4"/>
        <v>5403.86</v>
      </c>
      <c r="R9" s="216"/>
      <c r="S9" s="61">
        <f t="shared" si="6"/>
        <v>170</v>
      </c>
      <c r="T9" s="96">
        <f t="shared" si="7"/>
        <v>411.4</v>
      </c>
      <c r="U9" s="61">
        <f t="shared" si="8"/>
        <v>2063</v>
      </c>
      <c r="V9" s="96">
        <f t="shared" si="9"/>
        <v>4992.46</v>
      </c>
      <c r="W9" s="209">
        <f t="shared" si="5"/>
        <v>37257</v>
      </c>
      <c r="X9" s="115">
        <f t="shared" si="10"/>
        <v>0</v>
      </c>
    </row>
    <row r="10" spans="1:61" ht="15" customHeight="1" thickBot="1" x14ac:dyDescent="0.25">
      <c r="A10" s="1" t="s">
        <v>418</v>
      </c>
      <c r="B10" s="1" t="s">
        <v>487</v>
      </c>
      <c r="C10" s="42">
        <v>3529101</v>
      </c>
      <c r="D10" s="192" t="s">
        <v>478</v>
      </c>
      <c r="E10" s="193">
        <v>37257</v>
      </c>
      <c r="F10" s="1" t="s">
        <v>478</v>
      </c>
      <c r="G10" s="42">
        <v>243624</v>
      </c>
      <c r="H10" s="42"/>
      <c r="I10" s="68" t="s">
        <v>550</v>
      </c>
      <c r="J10" s="61" t="str">
        <f t="shared" si="0"/>
        <v>GW</v>
      </c>
      <c r="K10" s="61">
        <f t="shared" si="1"/>
        <v>309</v>
      </c>
      <c r="L10" s="65">
        <f t="shared" si="11"/>
        <v>2.42</v>
      </c>
      <c r="M10" s="61">
        <f t="shared" si="2"/>
        <v>383</v>
      </c>
      <c r="O10" s="155">
        <v>0</v>
      </c>
      <c r="P10" s="63">
        <f t="shared" si="3"/>
        <v>2.42</v>
      </c>
      <c r="Q10" s="64">
        <f t="shared" si="4"/>
        <v>926.86</v>
      </c>
      <c r="R10" s="216"/>
      <c r="S10" s="61">
        <f t="shared" si="6"/>
        <v>29</v>
      </c>
      <c r="T10" s="96">
        <f t="shared" si="7"/>
        <v>70.179999999999993</v>
      </c>
      <c r="U10" s="61">
        <f>IF(ISNA(VLOOKUP(B10,SplitVol,6,FALSE)),0,VLOOKUP(B10,SplitVol,6,FALSE))+1</f>
        <v>354</v>
      </c>
      <c r="V10" s="96">
        <f t="shared" si="9"/>
        <v>856.68</v>
      </c>
      <c r="W10" s="209">
        <f t="shared" si="5"/>
        <v>37257</v>
      </c>
      <c r="X10" s="115">
        <f t="shared" si="10"/>
        <v>0</v>
      </c>
    </row>
    <row r="11" spans="1:61" ht="15" customHeight="1" thickBot="1" x14ac:dyDescent="0.25">
      <c r="A11" s="1" t="s">
        <v>418</v>
      </c>
      <c r="B11" s="1" t="s">
        <v>480</v>
      </c>
      <c r="C11" s="42">
        <v>3511801</v>
      </c>
      <c r="D11" s="192" t="s">
        <v>478</v>
      </c>
      <c r="E11" s="193">
        <v>37257</v>
      </c>
      <c r="F11" s="1" t="s">
        <v>478</v>
      </c>
      <c r="G11" s="42">
        <v>243624</v>
      </c>
      <c r="H11" s="42"/>
      <c r="I11" s="68" t="s">
        <v>550</v>
      </c>
      <c r="J11" s="61" t="str">
        <f t="shared" si="0"/>
        <v>GW</v>
      </c>
      <c r="K11" s="61">
        <f t="shared" si="1"/>
        <v>896</v>
      </c>
      <c r="L11" s="65">
        <f t="shared" si="11"/>
        <v>2.42</v>
      </c>
      <c r="M11" s="61">
        <f t="shared" si="2"/>
        <v>1188</v>
      </c>
      <c r="O11" s="155">
        <v>0</v>
      </c>
      <c r="P11" s="63">
        <f t="shared" si="3"/>
        <v>2.42</v>
      </c>
      <c r="Q11" s="64">
        <f t="shared" si="4"/>
        <v>2874.96</v>
      </c>
      <c r="R11" s="216"/>
      <c r="S11" s="61">
        <f t="shared" si="6"/>
        <v>71</v>
      </c>
      <c r="T11" s="96">
        <f t="shared" si="7"/>
        <v>171.82</v>
      </c>
      <c r="U11" s="61">
        <f t="shared" si="8"/>
        <v>1117</v>
      </c>
      <c r="V11" s="96">
        <f t="shared" si="9"/>
        <v>2703.14</v>
      </c>
      <c r="W11" s="209">
        <f t="shared" si="5"/>
        <v>37257</v>
      </c>
      <c r="X11" s="115">
        <f t="shared" si="10"/>
        <v>0</v>
      </c>
    </row>
    <row r="12" spans="1:61" ht="15" customHeight="1" thickBot="1" x14ac:dyDescent="0.25">
      <c r="A12" s="1" t="s">
        <v>418</v>
      </c>
      <c r="B12" s="1" t="s">
        <v>485</v>
      </c>
      <c r="C12" s="42">
        <v>3528901</v>
      </c>
      <c r="D12" s="192" t="s">
        <v>478</v>
      </c>
      <c r="E12" s="193">
        <v>37257</v>
      </c>
      <c r="F12" s="1" t="s">
        <v>478</v>
      </c>
      <c r="G12" s="42">
        <v>243624</v>
      </c>
      <c r="H12" s="42"/>
      <c r="I12" s="68" t="s">
        <v>550</v>
      </c>
      <c r="J12" s="61" t="str">
        <f t="shared" si="0"/>
        <v>GW</v>
      </c>
      <c r="K12" s="61">
        <f t="shared" si="1"/>
        <v>1354</v>
      </c>
      <c r="L12" s="65">
        <f t="shared" si="11"/>
        <v>2.42</v>
      </c>
      <c r="M12" s="61">
        <f t="shared" si="2"/>
        <v>1731</v>
      </c>
      <c r="O12" s="155">
        <v>0</v>
      </c>
      <c r="P12" s="63">
        <f t="shared" si="3"/>
        <v>2.42</v>
      </c>
      <c r="Q12" s="64">
        <f t="shared" si="4"/>
        <v>4189.0199999999995</v>
      </c>
      <c r="R12" s="216"/>
      <c r="S12" s="61">
        <f t="shared" si="6"/>
        <v>113</v>
      </c>
      <c r="T12" s="96">
        <f t="shared" si="7"/>
        <v>273.45999999999998</v>
      </c>
      <c r="U12" s="61">
        <f t="shared" si="8"/>
        <v>1618</v>
      </c>
      <c r="V12" s="96">
        <f t="shared" si="9"/>
        <v>3915.56</v>
      </c>
      <c r="W12" s="209">
        <f t="shared" si="5"/>
        <v>37257</v>
      </c>
      <c r="X12" s="115">
        <f t="shared" si="10"/>
        <v>0</v>
      </c>
    </row>
    <row r="13" spans="1:61" ht="15" customHeight="1" thickBot="1" x14ac:dyDescent="0.25">
      <c r="A13" s="1" t="s">
        <v>418</v>
      </c>
      <c r="B13" s="1" t="s">
        <v>482</v>
      </c>
      <c r="C13" s="42">
        <v>3517001</v>
      </c>
      <c r="D13" s="192" t="s">
        <v>478</v>
      </c>
      <c r="E13" s="193">
        <v>37257</v>
      </c>
      <c r="F13" s="1" t="s">
        <v>478</v>
      </c>
      <c r="G13" s="42">
        <v>243624</v>
      </c>
      <c r="H13" s="42"/>
      <c r="I13" s="68" t="s">
        <v>550</v>
      </c>
      <c r="J13" s="61" t="str">
        <f t="shared" si="0"/>
        <v>GW</v>
      </c>
      <c r="K13" s="61">
        <f t="shared" si="1"/>
        <v>736</v>
      </c>
      <c r="L13" s="65">
        <f t="shared" si="11"/>
        <v>2.42</v>
      </c>
      <c r="M13" s="61">
        <f t="shared" si="2"/>
        <v>917</v>
      </c>
      <c r="O13" s="155">
        <v>0</v>
      </c>
      <c r="P13" s="63">
        <f t="shared" si="3"/>
        <v>2.42</v>
      </c>
      <c r="Q13" s="64">
        <f t="shared" si="4"/>
        <v>2219.14</v>
      </c>
      <c r="R13" s="216"/>
      <c r="S13" s="61">
        <f t="shared" si="6"/>
        <v>64</v>
      </c>
      <c r="T13" s="96">
        <f t="shared" si="7"/>
        <v>154.88</v>
      </c>
      <c r="U13" s="61">
        <f t="shared" si="8"/>
        <v>853</v>
      </c>
      <c r="V13" s="96">
        <f t="shared" si="9"/>
        <v>2064.2599999999998</v>
      </c>
      <c r="W13" s="209">
        <f t="shared" si="5"/>
        <v>37257</v>
      </c>
      <c r="X13" s="115">
        <f t="shared" si="10"/>
        <v>0</v>
      </c>
    </row>
    <row r="14" spans="1:61" ht="15" customHeight="1" thickBot="1" x14ac:dyDescent="0.25">
      <c r="A14" s="1" t="s">
        <v>418</v>
      </c>
      <c r="B14" s="1" t="s">
        <v>483</v>
      </c>
      <c r="C14" s="42">
        <v>3522201</v>
      </c>
      <c r="D14" s="192" t="s">
        <v>478</v>
      </c>
      <c r="E14" s="193">
        <v>37257</v>
      </c>
      <c r="F14" s="1" t="s">
        <v>478</v>
      </c>
      <c r="G14" s="42">
        <v>243624</v>
      </c>
      <c r="H14" s="42"/>
      <c r="I14" s="68" t="s">
        <v>550</v>
      </c>
      <c r="J14" s="61" t="str">
        <f t="shared" si="0"/>
        <v>GW</v>
      </c>
      <c r="K14" s="61">
        <f t="shared" si="1"/>
        <v>247</v>
      </c>
      <c r="L14" s="65">
        <f t="shared" si="11"/>
        <v>2.42</v>
      </c>
      <c r="M14" s="61">
        <f t="shared" si="2"/>
        <v>303</v>
      </c>
      <c r="O14" s="155">
        <v>0</v>
      </c>
      <c r="P14" s="63">
        <f t="shared" si="3"/>
        <v>2.42</v>
      </c>
      <c r="Q14" s="64">
        <f t="shared" si="4"/>
        <v>733.26</v>
      </c>
      <c r="R14" s="216"/>
      <c r="S14" s="61">
        <f t="shared" si="6"/>
        <v>28</v>
      </c>
      <c r="T14" s="96">
        <f t="shared" si="7"/>
        <v>67.759999999999991</v>
      </c>
      <c r="U14" s="61">
        <f t="shared" si="8"/>
        <v>275</v>
      </c>
      <c r="V14" s="96">
        <f t="shared" si="9"/>
        <v>665.5</v>
      </c>
      <c r="W14" s="209">
        <f t="shared" si="5"/>
        <v>37257</v>
      </c>
      <c r="X14" s="115">
        <f t="shared" si="10"/>
        <v>0</v>
      </c>
    </row>
    <row r="15" spans="1:61" ht="15" customHeight="1" thickBot="1" x14ac:dyDescent="0.25">
      <c r="A15" s="1" t="s">
        <v>418</v>
      </c>
      <c r="B15" s="1" t="s">
        <v>484</v>
      </c>
      <c r="C15" s="42">
        <v>3522901</v>
      </c>
      <c r="D15" s="192" t="s">
        <v>478</v>
      </c>
      <c r="E15" s="193">
        <v>37257</v>
      </c>
      <c r="F15" s="1" t="s">
        <v>478</v>
      </c>
      <c r="G15" s="42">
        <v>243624</v>
      </c>
      <c r="H15" s="42"/>
      <c r="I15" s="68" t="s">
        <v>550</v>
      </c>
      <c r="J15" s="61" t="str">
        <f t="shared" si="0"/>
        <v>GW</v>
      </c>
      <c r="K15" s="61">
        <f t="shared" si="1"/>
        <v>394</v>
      </c>
      <c r="L15" s="65">
        <f t="shared" si="11"/>
        <v>2.42</v>
      </c>
      <c r="M15" s="61">
        <f t="shared" si="2"/>
        <v>498</v>
      </c>
      <c r="O15" s="155">
        <v>0</v>
      </c>
      <c r="P15" s="63">
        <f t="shared" si="3"/>
        <v>2.42</v>
      </c>
      <c r="Q15" s="64">
        <f t="shared" si="4"/>
        <v>1205.1599999999999</v>
      </c>
      <c r="R15" s="216"/>
      <c r="S15" s="61">
        <f t="shared" si="6"/>
        <v>53</v>
      </c>
      <c r="T15" s="96">
        <f t="shared" si="7"/>
        <v>128.26</v>
      </c>
      <c r="U15" s="61">
        <f t="shared" si="8"/>
        <v>445</v>
      </c>
      <c r="V15" s="96">
        <f t="shared" si="9"/>
        <v>1076.8999999999999</v>
      </c>
      <c r="W15" s="209">
        <f t="shared" si="5"/>
        <v>37257</v>
      </c>
      <c r="X15" s="115">
        <f t="shared" si="10"/>
        <v>0</v>
      </c>
    </row>
    <row r="16" spans="1:61" ht="15" customHeight="1" thickBot="1" x14ac:dyDescent="0.25">
      <c r="A16" s="1" t="s">
        <v>418</v>
      </c>
      <c r="B16" s="1" t="s">
        <v>486</v>
      </c>
      <c r="C16" s="42">
        <v>3529001</v>
      </c>
      <c r="D16" s="192" t="s">
        <v>478</v>
      </c>
      <c r="E16" s="193">
        <v>37257</v>
      </c>
      <c r="F16" s="186" t="s">
        <v>478</v>
      </c>
      <c r="G16" s="42">
        <v>243624</v>
      </c>
      <c r="H16" s="42"/>
      <c r="I16" s="68" t="s">
        <v>550</v>
      </c>
      <c r="J16" s="61" t="str">
        <f t="shared" si="0"/>
        <v>GW</v>
      </c>
      <c r="K16" s="61">
        <f t="shared" si="1"/>
        <v>252</v>
      </c>
      <c r="L16" s="65">
        <f t="shared" si="11"/>
        <v>2.42</v>
      </c>
      <c r="M16" s="61">
        <f t="shared" si="2"/>
        <v>311</v>
      </c>
      <c r="O16" s="155">
        <v>0</v>
      </c>
      <c r="P16" s="63">
        <f t="shared" si="3"/>
        <v>2.42</v>
      </c>
      <c r="Q16" s="64">
        <f t="shared" si="4"/>
        <v>752.62</v>
      </c>
      <c r="R16" s="216"/>
      <c r="S16" s="61">
        <f t="shared" si="6"/>
        <v>23</v>
      </c>
      <c r="T16" s="96">
        <f t="shared" si="7"/>
        <v>55.66</v>
      </c>
      <c r="U16" s="61">
        <f t="shared" si="8"/>
        <v>288</v>
      </c>
      <c r="V16" s="96">
        <f t="shared" si="9"/>
        <v>696.96</v>
      </c>
      <c r="W16" s="209">
        <f t="shared" si="5"/>
        <v>37257</v>
      </c>
      <c r="X16" s="115">
        <f t="shared" si="10"/>
        <v>0</v>
      </c>
    </row>
    <row r="17" spans="1:24" ht="15" customHeight="1" thickBot="1" x14ac:dyDescent="0.25">
      <c r="A17" s="1" t="s">
        <v>418</v>
      </c>
      <c r="B17" s="1" t="s">
        <v>491</v>
      </c>
      <c r="C17" s="42">
        <v>3542401</v>
      </c>
      <c r="D17" s="192" t="s">
        <v>478</v>
      </c>
      <c r="E17" s="193">
        <v>37257</v>
      </c>
      <c r="F17" s="1" t="s">
        <v>478</v>
      </c>
      <c r="G17" s="42">
        <v>243624</v>
      </c>
      <c r="H17" s="42"/>
      <c r="I17" s="68" t="s">
        <v>550</v>
      </c>
      <c r="J17" s="61" t="str">
        <f t="shared" si="0"/>
        <v>GW</v>
      </c>
      <c r="K17" s="61">
        <f t="shared" si="1"/>
        <v>285</v>
      </c>
      <c r="L17" s="65">
        <f t="shared" si="11"/>
        <v>2.42</v>
      </c>
      <c r="M17" s="61">
        <f t="shared" si="2"/>
        <v>343</v>
      </c>
      <c r="O17" s="155">
        <v>0</v>
      </c>
      <c r="P17" s="63">
        <f t="shared" si="3"/>
        <v>2.42</v>
      </c>
      <c r="Q17" s="64">
        <f t="shared" si="4"/>
        <v>830.06</v>
      </c>
      <c r="R17" s="216"/>
      <c r="S17" s="61">
        <f t="shared" si="6"/>
        <v>24</v>
      </c>
      <c r="T17" s="96">
        <f t="shared" si="7"/>
        <v>58.08</v>
      </c>
      <c r="U17" s="61">
        <f>IF(ISNA(VLOOKUP(B17,SplitVol,6,FALSE)),0,VLOOKUP(B17,SplitVol,6,FALSE))+1</f>
        <v>319</v>
      </c>
      <c r="V17" s="96">
        <f t="shared" si="9"/>
        <v>771.98</v>
      </c>
      <c r="W17" s="209">
        <f t="shared" si="5"/>
        <v>37257</v>
      </c>
      <c r="X17" s="115">
        <f t="shared" si="10"/>
        <v>0</v>
      </c>
    </row>
    <row r="18" spans="1:24" ht="15" customHeight="1" thickBot="1" x14ac:dyDescent="0.25">
      <c r="A18" s="1" t="s">
        <v>418</v>
      </c>
      <c r="B18" s="1" t="s">
        <v>488</v>
      </c>
      <c r="C18" s="42">
        <v>3532301</v>
      </c>
      <c r="D18" s="192" t="s">
        <v>478</v>
      </c>
      <c r="E18" s="193">
        <v>37257</v>
      </c>
      <c r="F18" s="1" t="s">
        <v>478</v>
      </c>
      <c r="G18" s="42">
        <v>243624</v>
      </c>
      <c r="H18" s="42"/>
      <c r="I18" s="68" t="s">
        <v>550</v>
      </c>
      <c r="J18" s="61" t="str">
        <f t="shared" si="0"/>
        <v>GW</v>
      </c>
      <c r="K18" s="61">
        <f t="shared" si="1"/>
        <v>786</v>
      </c>
      <c r="L18" s="65">
        <f t="shared" si="11"/>
        <v>2.42</v>
      </c>
      <c r="M18" s="61">
        <f t="shared" si="2"/>
        <v>974</v>
      </c>
      <c r="O18" s="155">
        <v>0</v>
      </c>
      <c r="P18" s="63">
        <f t="shared" si="3"/>
        <v>2.42</v>
      </c>
      <c r="Q18" s="64">
        <f t="shared" si="4"/>
        <v>2357.08</v>
      </c>
      <c r="R18" s="216"/>
      <c r="S18" s="61">
        <f t="shared" si="6"/>
        <v>62</v>
      </c>
      <c r="T18" s="96">
        <f t="shared" si="7"/>
        <v>150.04</v>
      </c>
      <c r="U18" s="61">
        <f t="shared" si="8"/>
        <v>912</v>
      </c>
      <c r="V18" s="96">
        <f t="shared" si="9"/>
        <v>2207.04</v>
      </c>
      <c r="W18" s="209">
        <f t="shared" si="5"/>
        <v>37257</v>
      </c>
      <c r="X18" s="115">
        <f t="shared" si="10"/>
        <v>0</v>
      </c>
    </row>
    <row r="19" spans="1:24" ht="15" customHeight="1" thickBot="1" x14ac:dyDescent="0.25">
      <c r="A19" s="1" t="s">
        <v>418</v>
      </c>
      <c r="B19" s="1" t="s">
        <v>481</v>
      </c>
      <c r="C19" s="42">
        <v>3516301</v>
      </c>
      <c r="D19" s="192" t="s">
        <v>478</v>
      </c>
      <c r="E19" s="193">
        <v>37257</v>
      </c>
      <c r="F19" s="1" t="s">
        <v>478</v>
      </c>
      <c r="G19" s="42">
        <v>243624</v>
      </c>
      <c r="H19" s="42"/>
      <c r="I19" s="68" t="s">
        <v>550</v>
      </c>
      <c r="J19" s="61" t="str">
        <f t="shared" si="0"/>
        <v>GW</v>
      </c>
      <c r="K19" s="61">
        <f t="shared" si="1"/>
        <v>197</v>
      </c>
      <c r="L19" s="65">
        <f t="shared" si="11"/>
        <v>2.42</v>
      </c>
      <c r="M19" s="61">
        <f t="shared" si="2"/>
        <v>228</v>
      </c>
      <c r="O19" s="155">
        <v>0</v>
      </c>
      <c r="P19" s="63">
        <f t="shared" si="3"/>
        <v>2.42</v>
      </c>
      <c r="Q19" s="64">
        <f t="shared" si="4"/>
        <v>551.76</v>
      </c>
      <c r="R19" s="216"/>
      <c r="S19" s="61">
        <f t="shared" si="6"/>
        <v>17</v>
      </c>
      <c r="T19" s="96">
        <f t="shared" si="7"/>
        <v>41.14</v>
      </c>
      <c r="U19" s="61">
        <f t="shared" si="8"/>
        <v>211</v>
      </c>
      <c r="V19" s="96">
        <f t="shared" si="9"/>
        <v>510.62</v>
      </c>
      <c r="W19" s="209">
        <f t="shared" si="5"/>
        <v>37257</v>
      </c>
      <c r="X19" s="115">
        <f t="shared" si="10"/>
        <v>0</v>
      </c>
    </row>
    <row r="20" spans="1:24" ht="15" customHeight="1" thickBot="1" x14ac:dyDescent="0.25">
      <c r="A20" s="3" t="s">
        <v>141</v>
      </c>
      <c r="B20" s="83" t="s">
        <v>219</v>
      </c>
      <c r="C20" s="3">
        <v>4044401</v>
      </c>
      <c r="D20" s="6" t="s">
        <v>26</v>
      </c>
      <c r="E20" s="189" t="s">
        <v>317</v>
      </c>
      <c r="F20" s="167" t="s">
        <v>672</v>
      </c>
      <c r="G20" s="83">
        <v>744</v>
      </c>
      <c r="H20" s="83" t="s">
        <v>635</v>
      </c>
      <c r="I20" s="140" t="s">
        <v>374</v>
      </c>
      <c r="J20" s="61" t="str">
        <f t="shared" si="0"/>
        <v>GW</v>
      </c>
      <c r="K20" s="61">
        <f t="shared" si="1"/>
        <v>116</v>
      </c>
      <c r="L20" s="139">
        <f>L$2-0.01</f>
        <v>2.41</v>
      </c>
      <c r="M20" s="61">
        <f t="shared" si="2"/>
        <v>135</v>
      </c>
      <c r="O20" s="155">
        <v>0</v>
      </c>
      <c r="P20" s="89">
        <f t="shared" si="3"/>
        <v>2.41</v>
      </c>
      <c r="Q20" s="90">
        <f t="shared" si="4"/>
        <v>325.35000000000002</v>
      </c>
      <c r="R20" s="217"/>
      <c r="S20" s="61">
        <f t="shared" si="6"/>
        <v>135</v>
      </c>
      <c r="T20" s="96">
        <f t="shared" si="7"/>
        <v>325.35000000000002</v>
      </c>
      <c r="U20" s="61">
        <f t="shared" si="8"/>
        <v>0</v>
      </c>
      <c r="V20" s="96">
        <f t="shared" si="9"/>
        <v>0</v>
      </c>
      <c r="W20" s="209" t="str">
        <f t="shared" si="5"/>
        <v>na</v>
      </c>
      <c r="X20" s="115">
        <f t="shared" si="10"/>
        <v>0</v>
      </c>
    </row>
    <row r="21" spans="1:24" ht="15" customHeight="1" thickBot="1" x14ac:dyDescent="0.25">
      <c r="A21" s="1" t="s">
        <v>418</v>
      </c>
      <c r="B21" s="1" t="s">
        <v>497</v>
      </c>
      <c r="C21" s="42">
        <v>3559801</v>
      </c>
      <c r="D21" s="3" t="s">
        <v>111</v>
      </c>
      <c r="E21" s="189" t="s">
        <v>317</v>
      </c>
      <c r="F21" s="34" t="s">
        <v>498</v>
      </c>
      <c r="G21" s="42">
        <v>266852</v>
      </c>
      <c r="H21" s="42"/>
      <c r="I21" s="42" t="s">
        <v>314</v>
      </c>
      <c r="J21" s="61" t="str">
        <f t="shared" si="0"/>
        <v>na</v>
      </c>
      <c r="K21" s="61" t="str">
        <f t="shared" si="1"/>
        <v>na</v>
      </c>
      <c r="L21" s="65">
        <f>$L$2*0.98</f>
        <v>2.3715999999999999</v>
      </c>
      <c r="M21" s="61">
        <f t="shared" si="2"/>
        <v>0</v>
      </c>
      <c r="O21" s="155">
        <v>0</v>
      </c>
      <c r="P21" s="63">
        <f t="shared" si="3"/>
        <v>2.3715999999999999</v>
      </c>
      <c r="Q21" s="64">
        <f t="shared" si="4"/>
        <v>0</v>
      </c>
      <c r="R21" s="216"/>
      <c r="S21" s="61">
        <f t="shared" si="6"/>
        <v>0</v>
      </c>
      <c r="T21" s="96">
        <f t="shared" si="7"/>
        <v>0</v>
      </c>
      <c r="U21" s="61">
        <f t="shared" si="8"/>
        <v>0</v>
      </c>
      <c r="V21" s="96">
        <f t="shared" si="9"/>
        <v>0</v>
      </c>
      <c r="W21" s="209" t="str">
        <f t="shared" si="5"/>
        <v>na</v>
      </c>
      <c r="X21" s="115">
        <f t="shared" si="10"/>
        <v>0</v>
      </c>
    </row>
    <row r="22" spans="1:24" ht="15" customHeight="1" thickBot="1" x14ac:dyDescent="0.25">
      <c r="A22" s="3" t="s">
        <v>629</v>
      </c>
      <c r="B22" s="83" t="s">
        <v>630</v>
      </c>
      <c r="C22" s="3" t="s">
        <v>629</v>
      </c>
      <c r="D22" s="3" t="s">
        <v>631</v>
      </c>
      <c r="E22" s="189" t="s">
        <v>317</v>
      </c>
      <c r="F22" s="3"/>
      <c r="G22" s="1">
        <v>8249</v>
      </c>
      <c r="H22" s="1" t="s">
        <v>632</v>
      </c>
      <c r="I22" s="1" t="s">
        <v>634</v>
      </c>
      <c r="J22" s="61" t="str">
        <f t="shared" si="0"/>
        <v>na</v>
      </c>
      <c r="K22" s="61" t="str">
        <f t="shared" si="1"/>
        <v>na</v>
      </c>
      <c r="L22" s="65">
        <f>L$2-0.08</f>
        <v>2.34</v>
      </c>
      <c r="M22" s="61">
        <f t="shared" si="2"/>
        <v>0</v>
      </c>
      <c r="O22" s="155">
        <v>0</v>
      </c>
      <c r="P22" s="63">
        <f t="shared" si="3"/>
        <v>2.34</v>
      </c>
      <c r="Q22" s="64">
        <f t="shared" si="4"/>
        <v>0</v>
      </c>
      <c r="R22" s="216"/>
      <c r="S22" s="61">
        <f t="shared" si="6"/>
        <v>0</v>
      </c>
      <c r="T22" s="96">
        <f t="shared" si="7"/>
        <v>0</v>
      </c>
      <c r="U22" s="61">
        <f t="shared" si="8"/>
        <v>0</v>
      </c>
      <c r="V22" s="96">
        <f t="shared" si="9"/>
        <v>0</v>
      </c>
      <c r="W22" s="209" t="str">
        <f t="shared" si="5"/>
        <v>na</v>
      </c>
      <c r="X22" s="115">
        <f t="shared" si="10"/>
        <v>0</v>
      </c>
    </row>
    <row r="23" spans="1:24" ht="15" customHeight="1" thickBot="1" x14ac:dyDescent="0.25">
      <c r="A23" s="1" t="s">
        <v>418</v>
      </c>
      <c r="B23" s="1" t="s">
        <v>430</v>
      </c>
      <c r="C23" s="42">
        <v>3008001</v>
      </c>
      <c r="D23" s="192" t="s">
        <v>607</v>
      </c>
      <c r="E23" s="193">
        <v>37257</v>
      </c>
      <c r="F23" s="34" t="s">
        <v>431</v>
      </c>
      <c r="G23" s="42">
        <v>212169</v>
      </c>
      <c r="H23" s="42"/>
      <c r="I23" s="68" t="s">
        <v>559</v>
      </c>
      <c r="J23" s="61" t="str">
        <f t="shared" si="0"/>
        <v>GW</v>
      </c>
      <c r="K23" s="61">
        <f t="shared" si="1"/>
        <v>0</v>
      </c>
      <c r="L23" s="65">
        <f>$L$2*0.98</f>
        <v>2.3715999999999999</v>
      </c>
      <c r="M23" s="61">
        <f t="shared" si="2"/>
        <v>515</v>
      </c>
      <c r="O23" s="155">
        <v>0</v>
      </c>
      <c r="P23" s="63">
        <f t="shared" si="3"/>
        <v>2.3715999999999999</v>
      </c>
      <c r="Q23" s="64">
        <f t="shared" si="4"/>
        <v>1221.374</v>
      </c>
      <c r="R23" s="216"/>
      <c r="S23" s="61">
        <f t="shared" si="6"/>
        <v>35</v>
      </c>
      <c r="T23" s="96">
        <f t="shared" si="7"/>
        <v>83.006</v>
      </c>
      <c r="U23" s="61">
        <f>IF(ISNA(VLOOKUP(B23,SplitVol,6,FALSE)),0,VLOOKUP(B23,SplitVol,6,FALSE))-1</f>
        <v>480</v>
      </c>
      <c r="V23" s="96">
        <f t="shared" si="9"/>
        <v>1138.3679999999999</v>
      </c>
      <c r="W23" s="209">
        <f t="shared" si="5"/>
        <v>37257</v>
      </c>
      <c r="X23" s="115">
        <f t="shared" si="10"/>
        <v>0</v>
      </c>
    </row>
    <row r="24" spans="1:24" ht="15" customHeight="1" thickBot="1" x14ac:dyDescent="0.25">
      <c r="A24" s="1" t="s">
        <v>418</v>
      </c>
      <c r="B24" s="1" t="s">
        <v>434</v>
      </c>
      <c r="C24" s="42">
        <v>3015901</v>
      </c>
      <c r="D24" s="192" t="s">
        <v>607</v>
      </c>
      <c r="E24" s="193">
        <v>37257</v>
      </c>
      <c r="F24" s="34" t="s">
        <v>431</v>
      </c>
      <c r="G24" s="42">
        <v>212169</v>
      </c>
      <c r="H24" s="42"/>
      <c r="I24" s="68" t="s">
        <v>559</v>
      </c>
      <c r="J24" s="61" t="str">
        <f t="shared" si="0"/>
        <v>GW</v>
      </c>
      <c r="K24" s="61">
        <f t="shared" si="1"/>
        <v>0</v>
      </c>
      <c r="L24" s="65">
        <f>$L$2*0.98</f>
        <v>2.3715999999999999</v>
      </c>
      <c r="M24" s="61">
        <f t="shared" si="2"/>
        <v>832</v>
      </c>
      <c r="O24" s="155">
        <v>0</v>
      </c>
      <c r="P24" s="63">
        <f t="shared" si="3"/>
        <v>2.3715999999999999</v>
      </c>
      <c r="Q24" s="64">
        <f t="shared" si="4"/>
        <v>1973.1712</v>
      </c>
      <c r="R24" s="216"/>
      <c r="S24" s="61">
        <f t="shared" si="6"/>
        <v>56</v>
      </c>
      <c r="T24" s="96">
        <f t="shared" si="7"/>
        <v>132.80959999999999</v>
      </c>
      <c r="U24" s="61">
        <f t="shared" si="8"/>
        <v>776</v>
      </c>
      <c r="V24" s="96">
        <f t="shared" si="9"/>
        <v>1840.3616</v>
      </c>
      <c r="W24" s="209">
        <f t="shared" si="5"/>
        <v>37257</v>
      </c>
      <c r="X24" s="115">
        <f t="shared" si="10"/>
        <v>0</v>
      </c>
    </row>
    <row r="25" spans="1:24" ht="15" customHeight="1" thickBot="1" x14ac:dyDescent="0.25">
      <c r="A25" s="1" t="s">
        <v>418</v>
      </c>
      <c r="B25" s="1" t="s">
        <v>492</v>
      </c>
      <c r="C25" s="42">
        <v>3543801</v>
      </c>
      <c r="D25" s="192" t="s">
        <v>607</v>
      </c>
      <c r="E25" s="193">
        <v>37257</v>
      </c>
      <c r="F25" s="1" t="s">
        <v>493</v>
      </c>
      <c r="G25" s="42">
        <v>212169</v>
      </c>
      <c r="H25" s="42"/>
      <c r="I25" s="68" t="s">
        <v>559</v>
      </c>
      <c r="J25" s="61" t="str">
        <f t="shared" si="0"/>
        <v>GW</v>
      </c>
      <c r="K25" s="61">
        <f t="shared" si="1"/>
        <v>113</v>
      </c>
      <c r="L25" s="65">
        <f>$L$2*0.98</f>
        <v>2.3715999999999999</v>
      </c>
      <c r="M25" s="61">
        <f t="shared" si="2"/>
        <v>138</v>
      </c>
      <c r="O25" s="155">
        <v>0</v>
      </c>
      <c r="P25" s="63">
        <f t="shared" si="3"/>
        <v>2.3715999999999999</v>
      </c>
      <c r="Q25" s="64">
        <f t="shared" si="4"/>
        <v>327.2808</v>
      </c>
      <c r="R25" s="216"/>
      <c r="S25" s="61">
        <f t="shared" si="6"/>
        <v>10</v>
      </c>
      <c r="T25" s="96">
        <f t="shared" si="7"/>
        <v>23.716000000000001</v>
      </c>
      <c r="U25" s="61">
        <f t="shared" si="8"/>
        <v>128</v>
      </c>
      <c r="V25" s="96">
        <f t="shared" si="9"/>
        <v>303.56479999999999</v>
      </c>
      <c r="W25" s="209">
        <f t="shared" si="5"/>
        <v>37257</v>
      </c>
      <c r="X25" s="115">
        <f t="shared" si="10"/>
        <v>0</v>
      </c>
    </row>
    <row r="26" spans="1:24" ht="15" customHeight="1" thickBot="1" x14ac:dyDescent="0.25">
      <c r="A26" s="129" t="s">
        <v>418</v>
      </c>
      <c r="B26" s="129" t="s">
        <v>499</v>
      </c>
      <c r="C26" s="130">
        <v>3562701</v>
      </c>
      <c r="D26" s="3" t="s">
        <v>551</v>
      </c>
      <c r="E26" s="189" t="s">
        <v>317</v>
      </c>
      <c r="F26" s="129" t="s">
        <v>500</v>
      </c>
      <c r="G26" s="130">
        <v>168966</v>
      </c>
      <c r="H26" s="130"/>
      <c r="I26" s="130" t="s">
        <v>550</v>
      </c>
      <c r="J26" s="132" t="str">
        <f t="shared" si="0"/>
        <v>na</v>
      </c>
      <c r="K26" s="132" t="str">
        <f t="shared" si="1"/>
        <v>na</v>
      </c>
      <c r="L26" s="65">
        <f>$L$2</f>
        <v>2.42</v>
      </c>
      <c r="M26" s="132">
        <f t="shared" si="2"/>
        <v>0</v>
      </c>
      <c r="O26" s="155">
        <v>0</v>
      </c>
      <c r="P26" s="63">
        <f t="shared" si="3"/>
        <v>2.42</v>
      </c>
      <c r="Q26" s="64">
        <f t="shared" si="4"/>
        <v>0</v>
      </c>
      <c r="R26" s="216"/>
      <c r="S26" s="61">
        <f t="shared" si="6"/>
        <v>0</v>
      </c>
      <c r="T26" s="96">
        <f t="shared" si="7"/>
        <v>0</v>
      </c>
      <c r="U26" s="61">
        <f t="shared" si="8"/>
        <v>0</v>
      </c>
      <c r="V26" s="96">
        <f t="shared" si="9"/>
        <v>0</v>
      </c>
      <c r="W26" s="209" t="str">
        <f t="shared" si="5"/>
        <v>na</v>
      </c>
      <c r="X26" s="115">
        <f t="shared" si="10"/>
        <v>0</v>
      </c>
    </row>
    <row r="27" spans="1:24" ht="15" customHeight="1" thickBot="1" x14ac:dyDescent="0.25">
      <c r="A27" s="3" t="s">
        <v>141</v>
      </c>
      <c r="B27" s="83" t="s">
        <v>163</v>
      </c>
      <c r="C27" s="3">
        <v>3545501</v>
      </c>
      <c r="D27" s="192" t="s">
        <v>164</v>
      </c>
      <c r="E27" s="193">
        <v>37254</v>
      </c>
      <c r="F27" s="66"/>
      <c r="G27" s="66">
        <v>10486</v>
      </c>
      <c r="H27" s="66" t="s">
        <v>635</v>
      </c>
      <c r="I27" s="66" t="s">
        <v>636</v>
      </c>
      <c r="J27" s="109" t="str">
        <f t="shared" si="0"/>
        <v>na</v>
      </c>
      <c r="K27" s="61" t="str">
        <f t="shared" si="1"/>
        <v>na</v>
      </c>
      <c r="L27" s="62">
        <f>+CNGPricing!$H$21</f>
        <v>3.2</v>
      </c>
      <c r="M27" s="61">
        <f t="shared" si="2"/>
        <v>0</v>
      </c>
      <c r="O27" s="155">
        <v>0</v>
      </c>
      <c r="P27" s="63">
        <f t="shared" si="3"/>
        <v>3.2</v>
      </c>
      <c r="Q27" s="64">
        <f t="shared" si="4"/>
        <v>0</v>
      </c>
      <c r="R27" s="216"/>
      <c r="S27" s="61">
        <f t="shared" si="6"/>
        <v>0</v>
      </c>
      <c r="T27" s="96">
        <f t="shared" si="7"/>
        <v>0</v>
      </c>
      <c r="U27" s="61">
        <f t="shared" si="8"/>
        <v>0</v>
      </c>
      <c r="V27" s="96">
        <f t="shared" si="9"/>
        <v>0</v>
      </c>
      <c r="W27" s="209" t="str">
        <f t="shared" si="5"/>
        <v>na</v>
      </c>
      <c r="X27" s="115">
        <f t="shared" si="10"/>
        <v>0</v>
      </c>
    </row>
    <row r="28" spans="1:24" ht="15" customHeight="1" thickBot="1" x14ac:dyDescent="0.25">
      <c r="A28" s="3" t="s">
        <v>629</v>
      </c>
      <c r="B28" s="83" t="s">
        <v>637</v>
      </c>
      <c r="C28" s="3" t="s">
        <v>629</v>
      </c>
      <c r="D28" s="192" t="s">
        <v>164</v>
      </c>
      <c r="E28" s="193">
        <v>37254</v>
      </c>
      <c r="F28" s="66"/>
      <c r="G28" s="66">
        <v>10486</v>
      </c>
      <c r="H28" s="66" t="s">
        <v>635</v>
      </c>
      <c r="I28" s="66" t="s">
        <v>636</v>
      </c>
      <c r="J28" s="109" t="str">
        <f t="shared" si="0"/>
        <v>na</v>
      </c>
      <c r="K28" s="61" t="str">
        <f t="shared" si="1"/>
        <v>na</v>
      </c>
      <c r="L28" s="62">
        <f>+CNGPricing!$H$21</f>
        <v>3.2</v>
      </c>
      <c r="M28" s="61">
        <f t="shared" si="2"/>
        <v>0</v>
      </c>
      <c r="O28" s="155">
        <v>0</v>
      </c>
      <c r="P28" s="63">
        <f t="shared" si="3"/>
        <v>3.2</v>
      </c>
      <c r="Q28" s="64">
        <f t="shared" si="4"/>
        <v>0</v>
      </c>
      <c r="R28" s="216"/>
      <c r="S28" s="61">
        <f t="shared" si="6"/>
        <v>0</v>
      </c>
      <c r="T28" s="96">
        <f t="shared" si="7"/>
        <v>0</v>
      </c>
      <c r="U28" s="61">
        <f t="shared" si="8"/>
        <v>0</v>
      </c>
      <c r="V28" s="96">
        <f t="shared" si="9"/>
        <v>0</v>
      </c>
      <c r="W28" s="209" t="str">
        <f t="shared" si="5"/>
        <v>na</v>
      </c>
      <c r="X28" s="115">
        <f t="shared" si="10"/>
        <v>0</v>
      </c>
    </row>
    <row r="29" spans="1:24" ht="15" customHeight="1" thickBot="1" x14ac:dyDescent="0.25">
      <c r="A29" s="3" t="s">
        <v>141</v>
      </c>
      <c r="B29" s="83" t="s">
        <v>186</v>
      </c>
      <c r="C29" s="3">
        <v>4357101</v>
      </c>
      <c r="D29" s="192" t="s">
        <v>164</v>
      </c>
      <c r="E29" s="193">
        <v>37254</v>
      </c>
      <c r="F29" s="66"/>
      <c r="G29" s="66">
        <v>10486</v>
      </c>
      <c r="H29" s="66" t="s">
        <v>635</v>
      </c>
      <c r="I29" s="66" t="s">
        <v>636</v>
      </c>
      <c r="J29" s="109" t="str">
        <f t="shared" si="0"/>
        <v>na</v>
      </c>
      <c r="K29" s="61" t="str">
        <f t="shared" si="1"/>
        <v>na</v>
      </c>
      <c r="L29" s="62">
        <f>+CNGPricing!$H$21</f>
        <v>3.2</v>
      </c>
      <c r="M29" s="61">
        <f t="shared" si="2"/>
        <v>0</v>
      </c>
      <c r="O29" s="155">
        <v>0</v>
      </c>
      <c r="P29" s="63">
        <f t="shared" si="3"/>
        <v>3.2</v>
      </c>
      <c r="Q29" s="64">
        <f t="shared" si="4"/>
        <v>0</v>
      </c>
      <c r="R29" s="216"/>
      <c r="S29" s="61">
        <f t="shared" si="6"/>
        <v>0</v>
      </c>
      <c r="T29" s="96">
        <f t="shared" si="7"/>
        <v>0</v>
      </c>
      <c r="U29" s="61">
        <f t="shared" si="8"/>
        <v>0</v>
      </c>
      <c r="V29" s="96">
        <f t="shared" si="9"/>
        <v>0</v>
      </c>
      <c r="W29" s="209" t="str">
        <f t="shared" si="5"/>
        <v>na</v>
      </c>
      <c r="X29" s="115">
        <f t="shared" si="10"/>
        <v>0</v>
      </c>
    </row>
    <row r="30" spans="1:24" ht="15" customHeight="1" thickBot="1" x14ac:dyDescent="0.25">
      <c r="A30" s="3" t="s">
        <v>141</v>
      </c>
      <c r="B30" s="83" t="s">
        <v>188</v>
      </c>
      <c r="C30" s="3">
        <v>4362701</v>
      </c>
      <c r="D30" s="192" t="s">
        <v>164</v>
      </c>
      <c r="E30" s="193">
        <v>37254</v>
      </c>
      <c r="F30" s="66"/>
      <c r="G30" s="66">
        <v>10486</v>
      </c>
      <c r="H30" s="66" t="s">
        <v>635</v>
      </c>
      <c r="I30" s="66" t="s">
        <v>636</v>
      </c>
      <c r="J30" s="109" t="str">
        <f t="shared" si="0"/>
        <v>na</v>
      </c>
      <c r="K30" s="61" t="str">
        <f t="shared" si="1"/>
        <v>na</v>
      </c>
      <c r="L30" s="62">
        <f>+CNGPricing!$H$21</f>
        <v>3.2</v>
      </c>
      <c r="M30" s="61">
        <f t="shared" si="2"/>
        <v>0</v>
      </c>
      <c r="O30" s="155">
        <v>0</v>
      </c>
      <c r="P30" s="63">
        <f t="shared" si="3"/>
        <v>3.2</v>
      </c>
      <c r="Q30" s="64">
        <f t="shared" si="4"/>
        <v>0</v>
      </c>
      <c r="R30" s="216"/>
      <c r="S30" s="61">
        <f t="shared" si="6"/>
        <v>0</v>
      </c>
      <c r="T30" s="96">
        <f t="shared" si="7"/>
        <v>0</v>
      </c>
      <c r="U30" s="61">
        <f t="shared" si="8"/>
        <v>0</v>
      </c>
      <c r="V30" s="96">
        <f t="shared" si="9"/>
        <v>0</v>
      </c>
      <c r="W30" s="209" t="str">
        <f t="shared" si="5"/>
        <v>na</v>
      </c>
      <c r="X30" s="115">
        <f t="shared" si="10"/>
        <v>0</v>
      </c>
    </row>
    <row r="31" spans="1:24" ht="15" customHeight="1" thickBot="1" x14ac:dyDescent="0.25">
      <c r="A31" s="3" t="s">
        <v>141</v>
      </c>
      <c r="B31" s="83" t="s">
        <v>192</v>
      </c>
      <c r="C31" s="3">
        <v>4366601</v>
      </c>
      <c r="D31" s="192" t="s">
        <v>164</v>
      </c>
      <c r="E31" s="193">
        <v>37254</v>
      </c>
      <c r="F31" s="66"/>
      <c r="G31" s="66">
        <v>10486</v>
      </c>
      <c r="H31" s="66" t="s">
        <v>635</v>
      </c>
      <c r="I31" s="66" t="s">
        <v>636</v>
      </c>
      <c r="J31" s="109" t="str">
        <f t="shared" si="0"/>
        <v>na</v>
      </c>
      <c r="K31" s="61" t="str">
        <f t="shared" si="1"/>
        <v>na</v>
      </c>
      <c r="L31" s="62">
        <f>+CNGPricing!$H$21</f>
        <v>3.2</v>
      </c>
      <c r="M31" s="61">
        <f t="shared" si="2"/>
        <v>0</v>
      </c>
      <c r="O31" s="155">
        <v>0</v>
      </c>
      <c r="P31" s="63">
        <f t="shared" si="3"/>
        <v>3.2</v>
      </c>
      <c r="Q31" s="64">
        <f t="shared" si="4"/>
        <v>0</v>
      </c>
      <c r="R31" s="216"/>
      <c r="S31" s="61">
        <f t="shared" si="6"/>
        <v>0</v>
      </c>
      <c r="T31" s="96">
        <f t="shared" si="7"/>
        <v>0</v>
      </c>
      <c r="U31" s="61">
        <f t="shared" si="8"/>
        <v>0</v>
      </c>
      <c r="V31" s="96">
        <f t="shared" si="9"/>
        <v>0</v>
      </c>
      <c r="W31" s="209" t="str">
        <f t="shared" si="5"/>
        <v>na</v>
      </c>
      <c r="X31" s="115">
        <f t="shared" si="10"/>
        <v>0</v>
      </c>
    </row>
    <row r="32" spans="1:24" ht="15" customHeight="1" thickBot="1" x14ac:dyDescent="0.25">
      <c r="A32" s="3" t="s">
        <v>141</v>
      </c>
      <c r="B32" s="83" t="s">
        <v>202</v>
      </c>
      <c r="C32" s="3">
        <v>4006101</v>
      </c>
      <c r="D32" s="192" t="s">
        <v>164</v>
      </c>
      <c r="E32" s="193">
        <v>37254</v>
      </c>
      <c r="F32" s="66"/>
      <c r="G32" s="66">
        <v>10486</v>
      </c>
      <c r="H32" s="66" t="s">
        <v>635</v>
      </c>
      <c r="I32" s="66" t="s">
        <v>636</v>
      </c>
      <c r="J32" s="109" t="str">
        <f t="shared" si="0"/>
        <v>na</v>
      </c>
      <c r="K32" s="61" t="str">
        <f t="shared" si="1"/>
        <v>na</v>
      </c>
      <c r="L32" s="62">
        <f>+CNGPricing!$H$21</f>
        <v>3.2</v>
      </c>
      <c r="M32" s="61">
        <f t="shared" si="2"/>
        <v>0</v>
      </c>
      <c r="O32" s="155">
        <v>0</v>
      </c>
      <c r="P32" s="63">
        <f t="shared" si="3"/>
        <v>3.2</v>
      </c>
      <c r="Q32" s="64">
        <f t="shared" si="4"/>
        <v>0</v>
      </c>
      <c r="R32" s="216"/>
      <c r="S32" s="61">
        <f t="shared" si="6"/>
        <v>0</v>
      </c>
      <c r="T32" s="96">
        <f t="shared" si="7"/>
        <v>0</v>
      </c>
      <c r="U32" s="61">
        <f t="shared" si="8"/>
        <v>0</v>
      </c>
      <c r="V32" s="96">
        <f t="shared" si="9"/>
        <v>0</v>
      </c>
      <c r="W32" s="209" t="str">
        <f t="shared" si="5"/>
        <v>na</v>
      </c>
      <c r="X32" s="115">
        <f t="shared" si="10"/>
        <v>0</v>
      </c>
    </row>
    <row r="33" spans="1:24" ht="15" customHeight="1" thickBot="1" x14ac:dyDescent="0.25">
      <c r="A33" s="3" t="s">
        <v>141</v>
      </c>
      <c r="B33" s="83" t="s">
        <v>292</v>
      </c>
      <c r="C33" s="3">
        <v>4354601</v>
      </c>
      <c r="D33" s="192" t="s">
        <v>164</v>
      </c>
      <c r="E33" s="193">
        <v>37254</v>
      </c>
      <c r="F33" s="66"/>
      <c r="G33" s="66">
        <v>10486</v>
      </c>
      <c r="H33" s="66" t="s">
        <v>635</v>
      </c>
      <c r="I33" s="66" t="s">
        <v>636</v>
      </c>
      <c r="J33" s="109" t="str">
        <f t="shared" si="0"/>
        <v>na</v>
      </c>
      <c r="K33" s="61" t="str">
        <f t="shared" si="1"/>
        <v>na</v>
      </c>
      <c r="L33" s="62">
        <f>+CNGPricing!$H$21</f>
        <v>3.2</v>
      </c>
      <c r="M33" s="61">
        <f t="shared" si="2"/>
        <v>0</v>
      </c>
      <c r="O33" s="155">
        <v>0</v>
      </c>
      <c r="P33" s="63">
        <f t="shared" si="3"/>
        <v>3.2</v>
      </c>
      <c r="Q33" s="64">
        <f t="shared" si="4"/>
        <v>0</v>
      </c>
      <c r="R33" s="216"/>
      <c r="S33" s="61">
        <f t="shared" si="6"/>
        <v>0</v>
      </c>
      <c r="T33" s="96">
        <f t="shared" si="7"/>
        <v>0</v>
      </c>
      <c r="U33" s="61">
        <f t="shared" si="8"/>
        <v>0</v>
      </c>
      <c r="V33" s="96">
        <f t="shared" si="9"/>
        <v>0</v>
      </c>
      <c r="W33" s="209" t="str">
        <f t="shared" si="5"/>
        <v>na</v>
      </c>
      <c r="X33" s="115">
        <f t="shared" si="10"/>
        <v>0</v>
      </c>
    </row>
    <row r="34" spans="1:24" ht="15" customHeight="1" thickBot="1" x14ac:dyDescent="0.25">
      <c r="A34" s="3" t="s">
        <v>141</v>
      </c>
      <c r="B34" s="83" t="s">
        <v>173</v>
      </c>
      <c r="C34" s="3">
        <v>3565301</v>
      </c>
      <c r="D34" s="192" t="s">
        <v>638</v>
      </c>
      <c r="E34" s="193">
        <v>37254</v>
      </c>
      <c r="F34" s="66"/>
      <c r="G34" s="66">
        <v>10486</v>
      </c>
      <c r="H34" s="66" t="s">
        <v>635</v>
      </c>
      <c r="I34" s="66" t="s">
        <v>636</v>
      </c>
      <c r="J34" s="109" t="str">
        <f t="shared" si="0"/>
        <v>na</v>
      </c>
      <c r="K34" s="61" t="str">
        <f t="shared" si="1"/>
        <v>na</v>
      </c>
      <c r="L34" s="62">
        <f>+CNGPricing!$H$21</f>
        <v>3.2</v>
      </c>
      <c r="M34" s="61">
        <f t="shared" si="2"/>
        <v>0</v>
      </c>
      <c r="O34" s="155">
        <v>0</v>
      </c>
      <c r="P34" s="63">
        <f t="shared" si="3"/>
        <v>3.2</v>
      </c>
      <c r="Q34" s="64">
        <f t="shared" si="4"/>
        <v>0</v>
      </c>
      <c r="R34" s="216"/>
      <c r="S34" s="61">
        <f t="shared" si="6"/>
        <v>0</v>
      </c>
      <c r="T34" s="96">
        <f t="shared" si="7"/>
        <v>0</v>
      </c>
      <c r="U34" s="61">
        <f t="shared" si="8"/>
        <v>0</v>
      </c>
      <c r="V34" s="96">
        <f t="shared" si="9"/>
        <v>0</v>
      </c>
      <c r="W34" s="209" t="str">
        <f t="shared" si="5"/>
        <v>na</v>
      </c>
      <c r="X34" s="115">
        <f t="shared" si="10"/>
        <v>0</v>
      </c>
    </row>
    <row r="35" spans="1:24" ht="15" customHeight="1" thickBot="1" x14ac:dyDescent="0.25">
      <c r="A35" s="1" t="s">
        <v>418</v>
      </c>
      <c r="B35" s="1" t="s">
        <v>419</v>
      </c>
      <c r="C35" s="42">
        <v>1055201</v>
      </c>
      <c r="D35" s="138" t="s">
        <v>420</v>
      </c>
      <c r="E35" s="191">
        <v>37228</v>
      </c>
      <c r="F35" s="3" t="s">
        <v>420</v>
      </c>
      <c r="G35" s="4">
        <v>141089</v>
      </c>
      <c r="H35" s="4"/>
      <c r="I35" s="4" t="s">
        <v>552</v>
      </c>
      <c r="J35" s="61" t="str">
        <f t="shared" si="0"/>
        <v>GW</v>
      </c>
      <c r="K35" s="61">
        <f t="shared" si="1"/>
        <v>0</v>
      </c>
      <c r="L35" s="74">
        <f>+CNGPricing!$H$32</f>
        <v>2.42</v>
      </c>
      <c r="M35" s="61">
        <f t="shared" si="2"/>
        <v>0</v>
      </c>
      <c r="O35" s="155">
        <v>0</v>
      </c>
      <c r="P35" s="63">
        <f t="shared" si="3"/>
        <v>2.42</v>
      </c>
      <c r="Q35" s="64">
        <f t="shared" si="4"/>
        <v>0</v>
      </c>
      <c r="R35" s="216"/>
      <c r="S35" s="61">
        <f t="shared" si="6"/>
        <v>0</v>
      </c>
      <c r="T35" s="96">
        <f t="shared" si="7"/>
        <v>0</v>
      </c>
      <c r="U35" s="61">
        <f t="shared" si="8"/>
        <v>0</v>
      </c>
      <c r="V35" s="96">
        <f t="shared" si="9"/>
        <v>0</v>
      </c>
      <c r="W35" s="209">
        <f t="shared" si="5"/>
        <v>37228</v>
      </c>
      <c r="X35" s="115">
        <f t="shared" si="10"/>
        <v>0</v>
      </c>
    </row>
    <row r="36" spans="1:24" ht="15" customHeight="1" thickBot="1" x14ac:dyDescent="0.25">
      <c r="A36" s="1" t="s">
        <v>418</v>
      </c>
      <c r="B36" s="1" t="s">
        <v>421</v>
      </c>
      <c r="C36" s="42">
        <v>1058501</v>
      </c>
      <c r="D36" s="138" t="s">
        <v>420</v>
      </c>
      <c r="E36" s="191">
        <v>37228</v>
      </c>
      <c r="F36" s="3" t="s">
        <v>420</v>
      </c>
      <c r="G36" s="4">
        <v>141089</v>
      </c>
      <c r="H36" s="4"/>
      <c r="I36" s="4" t="s">
        <v>552</v>
      </c>
      <c r="J36" s="61" t="str">
        <f t="shared" si="0"/>
        <v>GW</v>
      </c>
      <c r="K36" s="61">
        <f t="shared" si="1"/>
        <v>0</v>
      </c>
      <c r="L36" s="74">
        <f>+CNGPricing!$H$32</f>
        <v>2.42</v>
      </c>
      <c r="M36" s="61">
        <f t="shared" si="2"/>
        <v>0</v>
      </c>
      <c r="O36" s="155">
        <v>0</v>
      </c>
      <c r="P36" s="63">
        <f t="shared" si="3"/>
        <v>2.42</v>
      </c>
      <c r="Q36" s="64">
        <f t="shared" si="4"/>
        <v>0</v>
      </c>
      <c r="R36" s="216"/>
      <c r="S36" s="61">
        <f t="shared" si="6"/>
        <v>0</v>
      </c>
      <c r="T36" s="96">
        <f t="shared" si="7"/>
        <v>0</v>
      </c>
      <c r="U36" s="61">
        <f t="shared" si="8"/>
        <v>0</v>
      </c>
      <c r="V36" s="96">
        <f t="shared" si="9"/>
        <v>0</v>
      </c>
      <c r="W36" s="209">
        <f t="shared" si="5"/>
        <v>37228</v>
      </c>
      <c r="X36" s="115">
        <f t="shared" si="10"/>
        <v>0</v>
      </c>
    </row>
    <row r="37" spans="1:24" ht="15" customHeight="1" thickBot="1" x14ac:dyDescent="0.25">
      <c r="A37" s="1" t="s">
        <v>418</v>
      </c>
      <c r="B37" s="1" t="s">
        <v>422</v>
      </c>
      <c r="C37" s="42">
        <v>1059901</v>
      </c>
      <c r="D37" s="138" t="s">
        <v>420</v>
      </c>
      <c r="E37" s="191">
        <v>37228</v>
      </c>
      <c r="F37" s="3" t="s">
        <v>420</v>
      </c>
      <c r="G37" s="4">
        <v>141089</v>
      </c>
      <c r="H37" s="4"/>
      <c r="I37" s="4" t="s">
        <v>552</v>
      </c>
      <c r="J37" s="61" t="str">
        <f t="shared" si="0"/>
        <v>GW</v>
      </c>
      <c r="K37" s="61">
        <f t="shared" si="1"/>
        <v>324</v>
      </c>
      <c r="L37" s="74">
        <f>+CNGPricing!$H$32</f>
        <v>2.42</v>
      </c>
      <c r="M37" s="61">
        <f t="shared" si="2"/>
        <v>361</v>
      </c>
      <c r="O37" s="155">
        <v>0</v>
      </c>
      <c r="P37" s="63">
        <f t="shared" si="3"/>
        <v>2.42</v>
      </c>
      <c r="Q37" s="64">
        <f t="shared" si="4"/>
        <v>873.62</v>
      </c>
      <c r="R37" s="216"/>
      <c r="S37" s="61">
        <f t="shared" si="6"/>
        <v>24</v>
      </c>
      <c r="T37" s="96">
        <f t="shared" si="7"/>
        <v>58.08</v>
      </c>
      <c r="U37" s="61">
        <f t="shared" si="8"/>
        <v>337</v>
      </c>
      <c r="V37" s="96">
        <f t="shared" si="9"/>
        <v>815.54</v>
      </c>
      <c r="W37" s="209">
        <f t="shared" ref="W37:W69" si="12">IF(ISBLANK(VLOOKUP(B37,EffDate,4,FALSE)),"na",VLOOKUP(B37,EffDate,4,FALSE))</f>
        <v>37228</v>
      </c>
      <c r="X37" s="115">
        <f t="shared" si="10"/>
        <v>0</v>
      </c>
    </row>
    <row r="38" spans="1:24" ht="15" customHeight="1" thickBot="1" x14ac:dyDescent="0.25">
      <c r="A38" s="1" t="s">
        <v>418</v>
      </c>
      <c r="B38" s="1" t="s">
        <v>423</v>
      </c>
      <c r="C38" s="42">
        <v>1063501</v>
      </c>
      <c r="D38" s="138" t="s">
        <v>420</v>
      </c>
      <c r="E38" s="191">
        <v>37228</v>
      </c>
      <c r="F38" s="3" t="s">
        <v>420</v>
      </c>
      <c r="G38" s="4">
        <v>141089</v>
      </c>
      <c r="H38" s="4"/>
      <c r="I38" s="4" t="s">
        <v>552</v>
      </c>
      <c r="J38" s="61" t="str">
        <f t="shared" si="0"/>
        <v>GW</v>
      </c>
      <c r="K38" s="61">
        <f t="shared" si="1"/>
        <v>0</v>
      </c>
      <c r="L38" s="74">
        <f>+CNGPricing!$H$32</f>
        <v>2.42</v>
      </c>
      <c r="M38" s="61">
        <f t="shared" si="2"/>
        <v>0</v>
      </c>
      <c r="O38" s="155">
        <v>0</v>
      </c>
      <c r="P38" s="63">
        <f t="shared" si="3"/>
        <v>2.42</v>
      </c>
      <c r="Q38" s="64">
        <f t="shared" si="4"/>
        <v>0</v>
      </c>
      <c r="R38" s="216"/>
      <c r="S38" s="61">
        <f t="shared" si="6"/>
        <v>0</v>
      </c>
      <c r="T38" s="96">
        <f t="shared" si="7"/>
        <v>0</v>
      </c>
      <c r="U38" s="61">
        <f t="shared" si="8"/>
        <v>0</v>
      </c>
      <c r="V38" s="96">
        <f t="shared" si="9"/>
        <v>0</v>
      </c>
      <c r="W38" s="209">
        <f t="shared" si="12"/>
        <v>37228</v>
      </c>
      <c r="X38" s="115">
        <f t="shared" si="10"/>
        <v>0</v>
      </c>
    </row>
    <row r="39" spans="1:24" ht="15" customHeight="1" thickBot="1" x14ac:dyDescent="0.25">
      <c r="A39" s="1" t="s">
        <v>418</v>
      </c>
      <c r="B39" s="1" t="s">
        <v>494</v>
      </c>
      <c r="C39" s="42">
        <v>3549701</v>
      </c>
      <c r="D39" s="138" t="s">
        <v>420</v>
      </c>
      <c r="E39" s="191">
        <v>37228</v>
      </c>
      <c r="F39" s="3" t="s">
        <v>420</v>
      </c>
      <c r="G39" s="4">
        <v>141089</v>
      </c>
      <c r="H39" s="4"/>
      <c r="I39" s="4" t="s">
        <v>552</v>
      </c>
      <c r="J39" s="61" t="str">
        <f t="shared" si="0"/>
        <v>GW</v>
      </c>
      <c r="K39" s="61">
        <f t="shared" si="1"/>
        <v>173</v>
      </c>
      <c r="L39" s="74">
        <f>+CNGPricing!$H$32</f>
        <v>2.42</v>
      </c>
      <c r="M39" s="61">
        <f t="shared" si="2"/>
        <v>188</v>
      </c>
      <c r="O39" s="155">
        <v>0</v>
      </c>
      <c r="P39" s="63">
        <f t="shared" si="3"/>
        <v>2.42</v>
      </c>
      <c r="Q39" s="64">
        <f t="shared" si="4"/>
        <v>454.96</v>
      </c>
      <c r="R39" s="216"/>
      <c r="S39" s="61">
        <f t="shared" si="6"/>
        <v>12</v>
      </c>
      <c r="T39" s="96">
        <f t="shared" si="7"/>
        <v>29.04</v>
      </c>
      <c r="U39" s="61">
        <f t="shared" si="8"/>
        <v>176</v>
      </c>
      <c r="V39" s="96">
        <f t="shared" si="9"/>
        <v>425.91999999999996</v>
      </c>
      <c r="W39" s="209">
        <f t="shared" si="12"/>
        <v>37228</v>
      </c>
      <c r="X39" s="115">
        <f t="shared" si="10"/>
        <v>0</v>
      </c>
    </row>
    <row r="40" spans="1:24" ht="15" customHeight="1" thickBot="1" x14ac:dyDescent="0.25">
      <c r="A40" s="1" t="s">
        <v>418</v>
      </c>
      <c r="B40" s="1" t="s">
        <v>495</v>
      </c>
      <c r="C40" s="42">
        <v>3552201</v>
      </c>
      <c r="D40" s="138" t="s">
        <v>420</v>
      </c>
      <c r="E40" s="191">
        <v>37228</v>
      </c>
      <c r="F40" s="3" t="s">
        <v>420</v>
      </c>
      <c r="G40" s="4">
        <v>141089</v>
      </c>
      <c r="H40" s="4"/>
      <c r="I40" s="4" t="s">
        <v>552</v>
      </c>
      <c r="J40" s="61" t="str">
        <f t="shared" si="0"/>
        <v>GW</v>
      </c>
      <c r="K40" s="61">
        <f t="shared" si="1"/>
        <v>3</v>
      </c>
      <c r="L40" s="74">
        <f>+CNGPricing!$H$32</f>
        <v>2.42</v>
      </c>
      <c r="M40" s="61">
        <f t="shared" si="2"/>
        <v>3</v>
      </c>
      <c r="O40" s="155">
        <v>0</v>
      </c>
      <c r="P40" s="63">
        <f t="shared" si="3"/>
        <v>2.42</v>
      </c>
      <c r="Q40" s="64">
        <f t="shared" si="4"/>
        <v>7.26</v>
      </c>
      <c r="R40" s="216"/>
      <c r="S40" s="61">
        <f t="shared" si="6"/>
        <v>2</v>
      </c>
      <c r="T40" s="96">
        <f t="shared" si="7"/>
        <v>4.84</v>
      </c>
      <c r="U40" s="61">
        <f>IF(ISNA(VLOOKUP(B40,SplitVol,6,FALSE)),0,VLOOKUP(B40,SplitVol,6,FALSE))-1</f>
        <v>1</v>
      </c>
      <c r="V40" s="96">
        <f t="shared" si="9"/>
        <v>2.42</v>
      </c>
      <c r="W40" s="209">
        <f t="shared" si="12"/>
        <v>37228</v>
      </c>
      <c r="X40" s="115">
        <f t="shared" si="10"/>
        <v>0</v>
      </c>
    </row>
    <row r="41" spans="1:24" ht="15" customHeight="1" thickBot="1" x14ac:dyDescent="0.25">
      <c r="A41" s="1" t="s">
        <v>418</v>
      </c>
      <c r="B41" s="1" t="s">
        <v>496</v>
      </c>
      <c r="C41" s="42">
        <v>3557101</v>
      </c>
      <c r="D41" s="138" t="s">
        <v>420</v>
      </c>
      <c r="E41" s="191">
        <v>37228</v>
      </c>
      <c r="F41" s="3" t="s">
        <v>420</v>
      </c>
      <c r="G41" s="4">
        <v>141089</v>
      </c>
      <c r="H41" s="4"/>
      <c r="I41" s="4" t="s">
        <v>552</v>
      </c>
      <c r="J41" s="61" t="str">
        <f t="shared" si="0"/>
        <v>GW</v>
      </c>
      <c r="K41" s="61">
        <f t="shared" si="1"/>
        <v>0</v>
      </c>
      <c r="L41" s="74">
        <f>+CNGPricing!$H$32</f>
        <v>2.42</v>
      </c>
      <c r="M41" s="61">
        <f t="shared" si="2"/>
        <v>0</v>
      </c>
      <c r="O41" s="155">
        <v>0</v>
      </c>
      <c r="P41" s="63">
        <f t="shared" si="3"/>
        <v>2.42</v>
      </c>
      <c r="Q41" s="64">
        <f t="shared" si="4"/>
        <v>0</v>
      </c>
      <c r="R41" s="216"/>
      <c r="S41" s="61">
        <f t="shared" si="6"/>
        <v>0</v>
      </c>
      <c r="T41" s="96">
        <f t="shared" si="7"/>
        <v>0</v>
      </c>
      <c r="U41" s="61">
        <f t="shared" si="8"/>
        <v>0</v>
      </c>
      <c r="V41" s="96">
        <f t="shared" si="9"/>
        <v>0</v>
      </c>
      <c r="W41" s="209">
        <f t="shared" si="12"/>
        <v>37228</v>
      </c>
      <c r="X41" s="115">
        <f t="shared" si="10"/>
        <v>0</v>
      </c>
    </row>
    <row r="42" spans="1:24" ht="15" customHeight="1" thickBot="1" x14ac:dyDescent="0.25">
      <c r="A42" s="1" t="s">
        <v>418</v>
      </c>
      <c r="B42" s="1" t="s">
        <v>442</v>
      </c>
      <c r="C42" s="42">
        <v>3024701</v>
      </c>
      <c r="D42" s="138" t="s">
        <v>420</v>
      </c>
      <c r="E42" s="191">
        <v>37228</v>
      </c>
      <c r="F42" s="3" t="s">
        <v>420</v>
      </c>
      <c r="G42" s="4">
        <v>141089</v>
      </c>
      <c r="H42" s="4"/>
      <c r="I42" s="4" t="s">
        <v>552</v>
      </c>
      <c r="J42" s="61" t="str">
        <f t="shared" si="0"/>
        <v>GW</v>
      </c>
      <c r="K42" s="61">
        <f t="shared" si="1"/>
        <v>0</v>
      </c>
      <c r="L42" s="74">
        <f>+CNGPricing!$H$32</f>
        <v>2.42</v>
      </c>
      <c r="M42" s="61">
        <f t="shared" si="2"/>
        <v>9</v>
      </c>
      <c r="O42" s="155">
        <v>0</v>
      </c>
      <c r="P42" s="63">
        <f t="shared" si="3"/>
        <v>2.42</v>
      </c>
      <c r="Q42" s="64">
        <f t="shared" si="4"/>
        <v>21.78</v>
      </c>
      <c r="R42" s="216"/>
      <c r="S42" s="61">
        <f t="shared" si="6"/>
        <v>2</v>
      </c>
      <c r="T42" s="96">
        <f t="shared" si="7"/>
        <v>4.84</v>
      </c>
      <c r="U42" s="61">
        <f t="shared" si="8"/>
        <v>7</v>
      </c>
      <c r="V42" s="96">
        <f t="shared" si="9"/>
        <v>16.939999999999998</v>
      </c>
      <c r="W42" s="209">
        <f t="shared" si="12"/>
        <v>37228</v>
      </c>
      <c r="X42" s="115">
        <f t="shared" si="10"/>
        <v>0</v>
      </c>
    </row>
    <row r="43" spans="1:24" ht="15" customHeight="1" thickBot="1" x14ac:dyDescent="0.25">
      <c r="A43" s="1" t="s">
        <v>418</v>
      </c>
      <c r="B43" s="1" t="s">
        <v>443</v>
      </c>
      <c r="C43" s="42">
        <v>3024901</v>
      </c>
      <c r="D43" s="138" t="s">
        <v>420</v>
      </c>
      <c r="E43" s="191">
        <v>37228</v>
      </c>
      <c r="F43" s="3" t="s">
        <v>420</v>
      </c>
      <c r="G43" s="4">
        <v>141089</v>
      </c>
      <c r="H43" s="4"/>
      <c r="I43" s="4" t="s">
        <v>552</v>
      </c>
      <c r="J43" s="61" t="str">
        <f t="shared" si="0"/>
        <v>GW</v>
      </c>
      <c r="K43" s="61">
        <f t="shared" si="1"/>
        <v>0</v>
      </c>
      <c r="L43" s="74">
        <f>+CNGPricing!$H$32</f>
        <v>2.42</v>
      </c>
      <c r="M43" s="61">
        <f t="shared" si="2"/>
        <v>0</v>
      </c>
      <c r="O43" s="155">
        <v>0</v>
      </c>
      <c r="P43" s="63">
        <f t="shared" si="3"/>
        <v>2.42</v>
      </c>
      <c r="Q43" s="64">
        <f t="shared" si="4"/>
        <v>0</v>
      </c>
      <c r="R43" s="216"/>
      <c r="S43" s="61">
        <f t="shared" si="6"/>
        <v>0</v>
      </c>
      <c r="T43" s="96">
        <f t="shared" si="7"/>
        <v>0</v>
      </c>
      <c r="U43" s="61">
        <f t="shared" si="8"/>
        <v>0</v>
      </c>
      <c r="V43" s="96">
        <f t="shared" si="9"/>
        <v>0</v>
      </c>
      <c r="W43" s="209">
        <f t="shared" si="12"/>
        <v>37228</v>
      </c>
      <c r="X43" s="115">
        <f t="shared" si="10"/>
        <v>0</v>
      </c>
    </row>
    <row r="44" spans="1:24" ht="15" customHeight="1" thickBot="1" x14ac:dyDescent="0.25">
      <c r="A44" s="1" t="s">
        <v>418</v>
      </c>
      <c r="B44" s="1" t="s">
        <v>581</v>
      </c>
      <c r="C44" s="42">
        <v>3026101</v>
      </c>
      <c r="D44" s="138" t="s">
        <v>420</v>
      </c>
      <c r="E44" s="191">
        <v>37228</v>
      </c>
      <c r="F44" s="3" t="s">
        <v>420</v>
      </c>
      <c r="G44" s="4">
        <v>141089</v>
      </c>
      <c r="H44" s="4"/>
      <c r="I44" s="4" t="s">
        <v>552</v>
      </c>
      <c r="J44" s="61" t="str">
        <f t="shared" si="0"/>
        <v>GW</v>
      </c>
      <c r="K44" s="61">
        <f t="shared" si="1"/>
        <v>0</v>
      </c>
      <c r="L44" s="74">
        <f>+CNGPricing!$H$32</f>
        <v>2.42</v>
      </c>
      <c r="M44" s="61">
        <f t="shared" si="2"/>
        <v>0</v>
      </c>
      <c r="O44" s="155">
        <v>0</v>
      </c>
      <c r="P44" s="63">
        <f t="shared" si="3"/>
        <v>2.42</v>
      </c>
      <c r="Q44" s="64">
        <f t="shared" si="4"/>
        <v>0</v>
      </c>
      <c r="R44" s="216"/>
      <c r="S44" s="61">
        <f t="shared" si="6"/>
        <v>0</v>
      </c>
      <c r="T44" s="96">
        <f t="shared" si="7"/>
        <v>0</v>
      </c>
      <c r="U44" s="61">
        <f t="shared" si="8"/>
        <v>0</v>
      </c>
      <c r="V44" s="96">
        <f t="shared" si="9"/>
        <v>0</v>
      </c>
      <c r="W44" s="209">
        <f t="shared" si="12"/>
        <v>37228</v>
      </c>
      <c r="X44" s="115">
        <f t="shared" si="10"/>
        <v>0</v>
      </c>
    </row>
    <row r="45" spans="1:24" ht="15" customHeight="1" thickBot="1" x14ac:dyDescent="0.25">
      <c r="A45" s="1" t="s">
        <v>418</v>
      </c>
      <c r="B45" s="1" t="s">
        <v>445</v>
      </c>
      <c r="C45" s="42">
        <v>3026401</v>
      </c>
      <c r="D45" s="138" t="s">
        <v>420</v>
      </c>
      <c r="E45" s="191">
        <v>37228</v>
      </c>
      <c r="F45" s="3" t="s">
        <v>420</v>
      </c>
      <c r="G45" s="4">
        <v>141089</v>
      </c>
      <c r="H45" s="4"/>
      <c r="I45" s="4" t="s">
        <v>552</v>
      </c>
      <c r="J45" s="61" t="str">
        <f t="shared" si="0"/>
        <v>GW</v>
      </c>
      <c r="K45" s="61">
        <f t="shared" si="1"/>
        <v>0</v>
      </c>
      <c r="L45" s="74">
        <f>+CNGPricing!$H$32</f>
        <v>2.42</v>
      </c>
      <c r="M45" s="61">
        <f t="shared" si="2"/>
        <v>0</v>
      </c>
      <c r="O45" s="155">
        <v>0</v>
      </c>
      <c r="P45" s="63">
        <f t="shared" si="3"/>
        <v>2.42</v>
      </c>
      <c r="Q45" s="64">
        <f t="shared" si="4"/>
        <v>0</v>
      </c>
      <c r="R45" s="216"/>
      <c r="S45" s="61">
        <f t="shared" si="6"/>
        <v>0</v>
      </c>
      <c r="T45" s="96">
        <f t="shared" si="7"/>
        <v>0</v>
      </c>
      <c r="U45" s="61">
        <f t="shared" si="8"/>
        <v>0</v>
      </c>
      <c r="V45" s="96">
        <f t="shared" si="9"/>
        <v>0</v>
      </c>
      <c r="W45" s="209">
        <f t="shared" si="12"/>
        <v>37228</v>
      </c>
      <c r="X45" s="115">
        <f t="shared" si="10"/>
        <v>0</v>
      </c>
    </row>
    <row r="46" spans="1:24" ht="15" customHeight="1" thickBot="1" x14ac:dyDescent="0.25">
      <c r="A46" s="1" t="s">
        <v>418</v>
      </c>
      <c r="B46" s="1" t="s">
        <v>444</v>
      </c>
      <c r="C46" s="42">
        <v>3025701</v>
      </c>
      <c r="D46" s="138" t="s">
        <v>420</v>
      </c>
      <c r="E46" s="191">
        <v>37228</v>
      </c>
      <c r="F46" s="3" t="s">
        <v>420</v>
      </c>
      <c r="G46" s="4">
        <v>141089</v>
      </c>
      <c r="H46" s="4"/>
      <c r="I46" s="4" t="s">
        <v>552</v>
      </c>
      <c r="J46" s="61" t="str">
        <f t="shared" si="0"/>
        <v>GW</v>
      </c>
      <c r="K46" s="61">
        <f t="shared" si="1"/>
        <v>0</v>
      </c>
      <c r="L46" s="74">
        <f>+CNGPricing!$H$32</f>
        <v>2.42</v>
      </c>
      <c r="M46" s="61">
        <f t="shared" si="2"/>
        <v>114</v>
      </c>
      <c r="O46" s="155">
        <v>0</v>
      </c>
      <c r="P46" s="63">
        <f t="shared" si="3"/>
        <v>2.42</v>
      </c>
      <c r="Q46" s="64">
        <f t="shared" si="4"/>
        <v>275.88</v>
      </c>
      <c r="R46" s="216"/>
      <c r="S46" s="61">
        <f t="shared" si="6"/>
        <v>9</v>
      </c>
      <c r="T46" s="96">
        <f t="shared" si="7"/>
        <v>21.78</v>
      </c>
      <c r="U46" s="61">
        <f t="shared" si="8"/>
        <v>105</v>
      </c>
      <c r="V46" s="96">
        <f t="shared" si="9"/>
        <v>254.1</v>
      </c>
      <c r="W46" s="209">
        <f t="shared" si="12"/>
        <v>37228</v>
      </c>
      <c r="X46" s="115">
        <f t="shared" si="10"/>
        <v>0</v>
      </c>
    </row>
    <row r="47" spans="1:24" ht="15" customHeight="1" thickBot="1" x14ac:dyDescent="0.25">
      <c r="A47" s="1" t="s">
        <v>418</v>
      </c>
      <c r="B47" s="1" t="s">
        <v>446</v>
      </c>
      <c r="C47" s="42">
        <v>3026601</v>
      </c>
      <c r="D47" s="138" t="s">
        <v>420</v>
      </c>
      <c r="E47" s="191">
        <v>37228</v>
      </c>
      <c r="F47" s="3" t="s">
        <v>420</v>
      </c>
      <c r="G47" s="4">
        <v>141089</v>
      </c>
      <c r="H47" s="4"/>
      <c r="I47" s="4" t="s">
        <v>552</v>
      </c>
      <c r="J47" s="61" t="str">
        <f t="shared" si="0"/>
        <v>GW</v>
      </c>
      <c r="K47" s="61">
        <f t="shared" si="1"/>
        <v>0</v>
      </c>
      <c r="L47" s="74">
        <f>+CNGPricing!$H$32</f>
        <v>2.42</v>
      </c>
      <c r="M47" s="61">
        <f t="shared" si="2"/>
        <v>0</v>
      </c>
      <c r="O47" s="155">
        <v>0</v>
      </c>
      <c r="P47" s="63">
        <f t="shared" si="3"/>
        <v>2.42</v>
      </c>
      <c r="Q47" s="64">
        <f t="shared" si="4"/>
        <v>0</v>
      </c>
      <c r="R47" s="216"/>
      <c r="S47" s="61">
        <f t="shared" si="6"/>
        <v>0</v>
      </c>
      <c r="T47" s="96">
        <f t="shared" si="7"/>
        <v>0</v>
      </c>
      <c r="U47" s="61">
        <f t="shared" si="8"/>
        <v>0</v>
      </c>
      <c r="V47" s="96">
        <f t="shared" si="9"/>
        <v>0</v>
      </c>
      <c r="W47" s="209">
        <f t="shared" si="12"/>
        <v>37228</v>
      </c>
      <c r="X47" s="115">
        <f t="shared" si="10"/>
        <v>0</v>
      </c>
    </row>
    <row r="48" spans="1:24" ht="15" customHeight="1" thickBot="1" x14ac:dyDescent="0.25">
      <c r="A48" s="1" t="s">
        <v>438</v>
      </c>
      <c r="B48" s="1" t="s">
        <v>439</v>
      </c>
      <c r="C48" s="42">
        <v>3021701</v>
      </c>
      <c r="D48" s="138" t="s">
        <v>420</v>
      </c>
      <c r="E48" s="191">
        <v>37228</v>
      </c>
      <c r="F48" s="3" t="s">
        <v>420</v>
      </c>
      <c r="G48" s="4">
        <v>141089</v>
      </c>
      <c r="H48" s="4"/>
      <c r="I48" s="4" t="s">
        <v>552</v>
      </c>
      <c r="J48" s="61" t="str">
        <f t="shared" si="0"/>
        <v>TW</v>
      </c>
      <c r="K48" s="61">
        <f t="shared" si="1"/>
        <v>0</v>
      </c>
      <c r="L48" s="74">
        <f>+CNGPricing!$H$32</f>
        <v>2.42</v>
      </c>
      <c r="M48" s="61">
        <f t="shared" si="2"/>
        <v>0</v>
      </c>
      <c r="O48" s="155">
        <v>0</v>
      </c>
      <c r="P48" s="63">
        <f t="shared" si="3"/>
        <v>2.42</v>
      </c>
      <c r="Q48" s="64">
        <f t="shared" si="4"/>
        <v>0</v>
      </c>
      <c r="R48" s="216"/>
      <c r="S48" s="61">
        <f t="shared" si="6"/>
        <v>0</v>
      </c>
      <c r="T48" s="96">
        <f t="shared" si="7"/>
        <v>0</v>
      </c>
      <c r="U48" s="61">
        <f t="shared" si="8"/>
        <v>0</v>
      </c>
      <c r="V48" s="96">
        <f t="shared" si="9"/>
        <v>0</v>
      </c>
      <c r="W48" s="209">
        <f t="shared" si="12"/>
        <v>37228</v>
      </c>
      <c r="X48" s="115">
        <f t="shared" si="10"/>
        <v>0</v>
      </c>
    </row>
    <row r="49" spans="1:24" ht="15" customHeight="1" thickBot="1" x14ac:dyDescent="0.25">
      <c r="A49" s="1" t="s">
        <v>418</v>
      </c>
      <c r="B49" s="1" t="s">
        <v>448</v>
      </c>
      <c r="C49" s="42">
        <v>3029801</v>
      </c>
      <c r="D49" s="138" t="s">
        <v>420</v>
      </c>
      <c r="E49" s="191">
        <v>37228</v>
      </c>
      <c r="F49" s="3" t="s">
        <v>420</v>
      </c>
      <c r="G49" s="4">
        <v>141089</v>
      </c>
      <c r="H49" s="4"/>
      <c r="I49" s="4" t="s">
        <v>552</v>
      </c>
      <c r="J49" s="61" t="str">
        <f t="shared" si="0"/>
        <v>GW</v>
      </c>
      <c r="K49" s="61">
        <f t="shared" si="1"/>
        <v>0</v>
      </c>
      <c r="L49" s="74">
        <f>+CNGPricing!$H$32</f>
        <v>2.42</v>
      </c>
      <c r="M49" s="61">
        <f t="shared" si="2"/>
        <v>0</v>
      </c>
      <c r="O49" s="155">
        <v>0</v>
      </c>
      <c r="P49" s="63">
        <f t="shared" si="3"/>
        <v>2.42</v>
      </c>
      <c r="Q49" s="64">
        <f t="shared" si="4"/>
        <v>0</v>
      </c>
      <c r="R49" s="216"/>
      <c r="S49" s="61">
        <f t="shared" si="6"/>
        <v>0</v>
      </c>
      <c r="T49" s="96">
        <f t="shared" si="7"/>
        <v>0</v>
      </c>
      <c r="U49" s="61">
        <f t="shared" si="8"/>
        <v>0</v>
      </c>
      <c r="V49" s="96">
        <f t="shared" si="9"/>
        <v>0</v>
      </c>
      <c r="W49" s="209">
        <f t="shared" si="12"/>
        <v>37228</v>
      </c>
      <c r="X49" s="115">
        <f t="shared" si="10"/>
        <v>0</v>
      </c>
    </row>
    <row r="50" spans="1:24" ht="15" customHeight="1" thickBot="1" x14ac:dyDescent="0.25">
      <c r="A50" s="1" t="s">
        <v>418</v>
      </c>
      <c r="B50" s="1" t="s">
        <v>447</v>
      </c>
      <c r="C50" s="42">
        <v>3029601</v>
      </c>
      <c r="D50" s="138" t="s">
        <v>420</v>
      </c>
      <c r="E50" s="191">
        <v>37228</v>
      </c>
      <c r="F50" s="3" t="s">
        <v>420</v>
      </c>
      <c r="G50" s="4">
        <v>141089</v>
      </c>
      <c r="H50" s="4"/>
      <c r="I50" s="4" t="s">
        <v>552</v>
      </c>
      <c r="J50" s="61" t="str">
        <f t="shared" si="0"/>
        <v>GW</v>
      </c>
      <c r="K50" s="61">
        <f t="shared" si="1"/>
        <v>0</v>
      </c>
      <c r="L50" s="74">
        <f>+CNGPricing!$H$32</f>
        <v>2.42</v>
      </c>
      <c r="M50" s="61">
        <f t="shared" si="2"/>
        <v>0</v>
      </c>
      <c r="O50" s="155">
        <v>0</v>
      </c>
      <c r="P50" s="63">
        <f t="shared" si="3"/>
        <v>2.42</v>
      </c>
      <c r="Q50" s="64">
        <f t="shared" si="4"/>
        <v>0</v>
      </c>
      <c r="R50" s="216"/>
      <c r="S50" s="61">
        <f t="shared" si="6"/>
        <v>0</v>
      </c>
      <c r="T50" s="96">
        <f t="shared" si="7"/>
        <v>0</v>
      </c>
      <c r="U50" s="61">
        <f t="shared" si="8"/>
        <v>0</v>
      </c>
      <c r="V50" s="96">
        <f t="shared" si="9"/>
        <v>0</v>
      </c>
      <c r="W50" s="209">
        <f t="shared" si="12"/>
        <v>37228</v>
      </c>
      <c r="X50" s="115">
        <f t="shared" si="10"/>
        <v>0</v>
      </c>
    </row>
    <row r="51" spans="1:24" ht="15" customHeight="1" thickBot="1" x14ac:dyDescent="0.25">
      <c r="A51" s="1" t="s">
        <v>418</v>
      </c>
      <c r="B51" s="1" t="s">
        <v>450</v>
      </c>
      <c r="C51" s="42">
        <v>3031701</v>
      </c>
      <c r="D51" s="138" t="s">
        <v>420</v>
      </c>
      <c r="E51" s="191">
        <v>37228</v>
      </c>
      <c r="F51" s="3" t="s">
        <v>420</v>
      </c>
      <c r="G51" s="4">
        <v>141089</v>
      </c>
      <c r="H51" s="4"/>
      <c r="I51" s="4" t="s">
        <v>552</v>
      </c>
      <c r="J51" s="61" t="str">
        <f t="shared" si="0"/>
        <v>GW</v>
      </c>
      <c r="K51" s="61">
        <f t="shared" si="1"/>
        <v>0</v>
      </c>
      <c r="L51" s="74">
        <f>+CNGPricing!$H$32</f>
        <v>2.42</v>
      </c>
      <c r="M51" s="61">
        <f t="shared" si="2"/>
        <v>0</v>
      </c>
      <c r="O51" s="155">
        <v>0</v>
      </c>
      <c r="P51" s="63">
        <f t="shared" si="3"/>
        <v>2.42</v>
      </c>
      <c r="Q51" s="64">
        <f t="shared" si="4"/>
        <v>0</v>
      </c>
      <c r="R51" s="216"/>
      <c r="S51" s="61">
        <f t="shared" si="6"/>
        <v>0</v>
      </c>
      <c r="T51" s="96">
        <f t="shared" si="7"/>
        <v>0</v>
      </c>
      <c r="U51" s="61">
        <f t="shared" si="8"/>
        <v>0</v>
      </c>
      <c r="V51" s="96">
        <f t="shared" si="9"/>
        <v>0</v>
      </c>
      <c r="W51" s="209">
        <f t="shared" si="12"/>
        <v>37228</v>
      </c>
      <c r="X51" s="115">
        <f t="shared" si="10"/>
        <v>0</v>
      </c>
    </row>
    <row r="52" spans="1:24" ht="15" customHeight="1" thickBot="1" x14ac:dyDescent="0.25">
      <c r="A52" s="1" t="s">
        <v>418</v>
      </c>
      <c r="B52" s="1" t="s">
        <v>463</v>
      </c>
      <c r="C52" s="42">
        <v>3209901</v>
      </c>
      <c r="D52" s="138" t="s">
        <v>420</v>
      </c>
      <c r="E52" s="191">
        <v>37228</v>
      </c>
      <c r="F52" s="3" t="s">
        <v>420</v>
      </c>
      <c r="G52" s="4">
        <v>141089</v>
      </c>
      <c r="H52" s="4"/>
      <c r="I52" s="4" t="s">
        <v>552</v>
      </c>
      <c r="J52" s="61" t="str">
        <f t="shared" si="0"/>
        <v>GW</v>
      </c>
      <c r="K52" s="61">
        <f t="shared" si="1"/>
        <v>0</v>
      </c>
      <c r="L52" s="74">
        <f>+CNGPricing!$H$32</f>
        <v>2.42</v>
      </c>
      <c r="M52" s="61">
        <f t="shared" si="2"/>
        <v>0</v>
      </c>
      <c r="O52" s="155">
        <v>0</v>
      </c>
      <c r="P52" s="63">
        <f t="shared" si="3"/>
        <v>2.42</v>
      </c>
      <c r="Q52" s="64">
        <f t="shared" si="4"/>
        <v>0</v>
      </c>
      <c r="R52" s="216"/>
      <c r="S52" s="61">
        <f t="shared" si="6"/>
        <v>0</v>
      </c>
      <c r="T52" s="96">
        <f t="shared" si="7"/>
        <v>0</v>
      </c>
      <c r="U52" s="61">
        <f t="shared" si="8"/>
        <v>0</v>
      </c>
      <c r="V52" s="96">
        <f t="shared" si="9"/>
        <v>0</v>
      </c>
      <c r="W52" s="209">
        <f t="shared" si="12"/>
        <v>37228</v>
      </c>
      <c r="X52" s="115">
        <f t="shared" si="10"/>
        <v>0</v>
      </c>
    </row>
    <row r="53" spans="1:24" ht="15" customHeight="1" thickBot="1" x14ac:dyDescent="0.25">
      <c r="A53" s="1" t="s">
        <v>418</v>
      </c>
      <c r="B53" s="1" t="s">
        <v>451</v>
      </c>
      <c r="C53" s="42">
        <v>3033601</v>
      </c>
      <c r="D53" s="138" t="s">
        <v>420</v>
      </c>
      <c r="E53" s="191">
        <v>37228</v>
      </c>
      <c r="F53" s="3" t="s">
        <v>420</v>
      </c>
      <c r="G53" s="4">
        <v>141089</v>
      </c>
      <c r="H53" s="4"/>
      <c r="I53" s="4" t="s">
        <v>552</v>
      </c>
      <c r="J53" s="61" t="str">
        <f t="shared" si="0"/>
        <v>GW</v>
      </c>
      <c r="K53" s="61">
        <f t="shared" si="1"/>
        <v>0</v>
      </c>
      <c r="L53" s="74">
        <f>+CNGPricing!$H$32</f>
        <v>2.42</v>
      </c>
      <c r="M53" s="61">
        <f t="shared" si="2"/>
        <v>0</v>
      </c>
      <c r="O53" s="155">
        <v>0</v>
      </c>
      <c r="P53" s="63">
        <f t="shared" si="3"/>
        <v>2.42</v>
      </c>
      <c r="Q53" s="64">
        <f t="shared" si="4"/>
        <v>0</v>
      </c>
      <c r="R53" s="216"/>
      <c r="S53" s="61">
        <f t="shared" si="6"/>
        <v>0</v>
      </c>
      <c r="T53" s="96">
        <f t="shared" si="7"/>
        <v>0</v>
      </c>
      <c r="U53" s="61">
        <f t="shared" si="8"/>
        <v>0</v>
      </c>
      <c r="V53" s="96">
        <f t="shared" si="9"/>
        <v>0</v>
      </c>
      <c r="W53" s="209">
        <f t="shared" si="12"/>
        <v>37228</v>
      </c>
      <c r="X53" s="115">
        <f t="shared" si="10"/>
        <v>0</v>
      </c>
    </row>
    <row r="54" spans="1:24" ht="15" customHeight="1" thickBot="1" x14ac:dyDescent="0.25">
      <c r="A54" s="1" t="s">
        <v>418</v>
      </c>
      <c r="B54" s="1" t="s">
        <v>582</v>
      </c>
      <c r="C54" s="42">
        <v>3312501</v>
      </c>
      <c r="D54" s="138" t="s">
        <v>420</v>
      </c>
      <c r="E54" s="191">
        <v>37228</v>
      </c>
      <c r="F54" s="3" t="s">
        <v>420</v>
      </c>
      <c r="G54" s="4">
        <v>141089</v>
      </c>
      <c r="H54" s="4"/>
      <c r="I54" s="4" t="s">
        <v>552</v>
      </c>
      <c r="J54" s="61" t="str">
        <f t="shared" si="0"/>
        <v>na</v>
      </c>
      <c r="K54" s="61" t="str">
        <f t="shared" si="1"/>
        <v>na</v>
      </c>
      <c r="L54" s="74">
        <f>+CNGPricing!$H$32</f>
        <v>2.42</v>
      </c>
      <c r="M54" s="61">
        <f t="shared" si="2"/>
        <v>0</v>
      </c>
      <c r="O54" s="155">
        <v>0</v>
      </c>
      <c r="P54" s="63">
        <f t="shared" si="3"/>
        <v>2.42</v>
      </c>
      <c r="Q54" s="64">
        <f t="shared" si="4"/>
        <v>0</v>
      </c>
      <c r="R54" s="216"/>
      <c r="S54" s="61">
        <f t="shared" si="6"/>
        <v>0</v>
      </c>
      <c r="T54" s="96">
        <f t="shared" si="7"/>
        <v>0</v>
      </c>
      <c r="U54" s="61">
        <f t="shared" si="8"/>
        <v>0</v>
      </c>
      <c r="V54" s="96">
        <f t="shared" si="9"/>
        <v>0</v>
      </c>
      <c r="W54" s="209">
        <f t="shared" si="12"/>
        <v>37228</v>
      </c>
      <c r="X54" s="115">
        <f t="shared" si="10"/>
        <v>0</v>
      </c>
    </row>
    <row r="55" spans="1:24" ht="15" customHeight="1" thickBot="1" x14ac:dyDescent="0.25">
      <c r="A55" s="1" t="s">
        <v>418</v>
      </c>
      <c r="B55" s="1" t="s">
        <v>469</v>
      </c>
      <c r="C55" s="42">
        <v>3313401</v>
      </c>
      <c r="D55" s="138" t="s">
        <v>420</v>
      </c>
      <c r="E55" s="191">
        <v>37228</v>
      </c>
      <c r="F55" s="3" t="s">
        <v>420</v>
      </c>
      <c r="G55" s="4">
        <v>141089</v>
      </c>
      <c r="H55" s="4"/>
      <c r="I55" s="4" t="s">
        <v>552</v>
      </c>
      <c r="J55" s="61" t="str">
        <f t="shared" si="0"/>
        <v>GW</v>
      </c>
      <c r="K55" s="61">
        <f t="shared" si="1"/>
        <v>0</v>
      </c>
      <c r="L55" s="74">
        <f>+CNGPricing!$H$32</f>
        <v>2.42</v>
      </c>
      <c r="M55" s="61">
        <f t="shared" si="2"/>
        <v>0</v>
      </c>
      <c r="O55" s="155">
        <v>0</v>
      </c>
      <c r="P55" s="63">
        <f t="shared" si="3"/>
        <v>2.42</v>
      </c>
      <c r="Q55" s="64">
        <f t="shared" si="4"/>
        <v>0</v>
      </c>
      <c r="R55" s="216"/>
      <c r="S55" s="61">
        <f t="shared" si="6"/>
        <v>0</v>
      </c>
      <c r="T55" s="96">
        <f t="shared" si="7"/>
        <v>0</v>
      </c>
      <c r="U55" s="61">
        <f t="shared" si="8"/>
        <v>0</v>
      </c>
      <c r="V55" s="96">
        <f t="shared" si="9"/>
        <v>0</v>
      </c>
      <c r="W55" s="209">
        <f t="shared" si="12"/>
        <v>37228</v>
      </c>
      <c r="X55" s="115">
        <f t="shared" si="10"/>
        <v>0</v>
      </c>
    </row>
    <row r="56" spans="1:24" ht="15" customHeight="1" thickBot="1" x14ac:dyDescent="0.25">
      <c r="A56" s="1" t="s">
        <v>418</v>
      </c>
      <c r="B56" s="1" t="s">
        <v>433</v>
      </c>
      <c r="C56" s="42">
        <v>3014901</v>
      </c>
      <c r="D56" s="138" t="s">
        <v>420</v>
      </c>
      <c r="E56" s="191">
        <v>37228</v>
      </c>
      <c r="F56" s="3" t="s">
        <v>420</v>
      </c>
      <c r="G56" s="4">
        <v>141089</v>
      </c>
      <c r="H56" s="4"/>
      <c r="I56" s="4" t="s">
        <v>552</v>
      </c>
      <c r="J56" s="61" t="str">
        <f t="shared" si="0"/>
        <v>GW</v>
      </c>
      <c r="K56" s="61">
        <f t="shared" si="1"/>
        <v>0</v>
      </c>
      <c r="L56" s="74">
        <f>+CNGPricing!$H$32</f>
        <v>2.42</v>
      </c>
      <c r="M56" s="61">
        <f t="shared" si="2"/>
        <v>0</v>
      </c>
      <c r="O56" s="155">
        <v>0</v>
      </c>
      <c r="P56" s="63">
        <f t="shared" si="3"/>
        <v>2.42</v>
      </c>
      <c r="Q56" s="64">
        <f t="shared" si="4"/>
        <v>0</v>
      </c>
      <c r="R56" s="216"/>
      <c r="S56" s="61">
        <f t="shared" si="6"/>
        <v>0</v>
      </c>
      <c r="T56" s="96">
        <f t="shared" si="7"/>
        <v>0</v>
      </c>
      <c r="U56" s="61">
        <f t="shared" si="8"/>
        <v>0</v>
      </c>
      <c r="V56" s="96">
        <f t="shared" si="9"/>
        <v>0</v>
      </c>
      <c r="W56" s="209">
        <f t="shared" si="12"/>
        <v>37228</v>
      </c>
      <c r="X56" s="115">
        <f t="shared" si="10"/>
        <v>0</v>
      </c>
    </row>
    <row r="57" spans="1:24" ht="15" customHeight="1" thickBot="1" x14ac:dyDescent="0.25">
      <c r="A57" s="1" t="s">
        <v>418</v>
      </c>
      <c r="B57" s="1" t="s">
        <v>452</v>
      </c>
      <c r="C57" s="42">
        <v>3034501</v>
      </c>
      <c r="D57" s="138" t="s">
        <v>420</v>
      </c>
      <c r="E57" s="191">
        <v>37228</v>
      </c>
      <c r="F57" s="3" t="s">
        <v>420</v>
      </c>
      <c r="G57" s="4">
        <v>141089</v>
      </c>
      <c r="H57" s="4"/>
      <c r="I57" s="4" t="s">
        <v>552</v>
      </c>
      <c r="J57" s="61" t="str">
        <f t="shared" si="0"/>
        <v>GW</v>
      </c>
      <c r="K57" s="61">
        <f t="shared" si="1"/>
        <v>0</v>
      </c>
      <c r="L57" s="74">
        <f>+CNGPricing!$H$32</f>
        <v>2.42</v>
      </c>
      <c r="M57" s="61">
        <f t="shared" si="2"/>
        <v>0</v>
      </c>
      <c r="O57" s="155">
        <v>0</v>
      </c>
      <c r="P57" s="63">
        <f t="shared" si="3"/>
        <v>2.42</v>
      </c>
      <c r="Q57" s="64">
        <f t="shared" si="4"/>
        <v>0</v>
      </c>
      <c r="R57" s="216"/>
      <c r="S57" s="61">
        <f t="shared" si="6"/>
        <v>0</v>
      </c>
      <c r="T57" s="96">
        <f t="shared" si="7"/>
        <v>0</v>
      </c>
      <c r="U57" s="61">
        <f t="shared" si="8"/>
        <v>0</v>
      </c>
      <c r="V57" s="96">
        <f t="shared" si="9"/>
        <v>0</v>
      </c>
      <c r="W57" s="209">
        <f t="shared" si="12"/>
        <v>37228</v>
      </c>
      <c r="X57" s="115">
        <f t="shared" si="10"/>
        <v>0</v>
      </c>
    </row>
    <row r="58" spans="1:24" ht="15" customHeight="1" thickBot="1" x14ac:dyDescent="0.25">
      <c r="A58" s="1" t="s">
        <v>418</v>
      </c>
      <c r="B58" s="1" t="s">
        <v>453</v>
      </c>
      <c r="C58" s="42">
        <v>3038001</v>
      </c>
      <c r="D58" s="138" t="s">
        <v>420</v>
      </c>
      <c r="E58" s="191">
        <v>37228</v>
      </c>
      <c r="F58" s="3" t="s">
        <v>420</v>
      </c>
      <c r="G58" s="4">
        <v>141089</v>
      </c>
      <c r="H58" s="4"/>
      <c r="I58" s="4" t="s">
        <v>552</v>
      </c>
      <c r="J58" s="61" t="str">
        <f t="shared" si="0"/>
        <v>GW</v>
      </c>
      <c r="K58" s="61">
        <f t="shared" si="1"/>
        <v>0</v>
      </c>
      <c r="L58" s="74">
        <f>+CNGPricing!$H$32</f>
        <v>2.42</v>
      </c>
      <c r="M58" s="61">
        <f t="shared" si="2"/>
        <v>0</v>
      </c>
      <c r="O58" s="155">
        <v>0</v>
      </c>
      <c r="P58" s="63">
        <f t="shared" si="3"/>
        <v>2.42</v>
      </c>
      <c r="Q58" s="64">
        <f t="shared" si="4"/>
        <v>0</v>
      </c>
      <c r="R58" s="216"/>
      <c r="S58" s="61">
        <f t="shared" si="6"/>
        <v>0</v>
      </c>
      <c r="T58" s="96">
        <f t="shared" si="7"/>
        <v>0</v>
      </c>
      <c r="U58" s="61">
        <f t="shared" si="8"/>
        <v>0</v>
      </c>
      <c r="V58" s="96">
        <f t="shared" si="9"/>
        <v>0</v>
      </c>
      <c r="W58" s="209">
        <f t="shared" si="12"/>
        <v>37228</v>
      </c>
      <c r="X58" s="115">
        <f t="shared" si="10"/>
        <v>0</v>
      </c>
    </row>
    <row r="59" spans="1:24" ht="15" customHeight="1" thickBot="1" x14ac:dyDescent="0.25">
      <c r="A59" s="1" t="s">
        <v>418</v>
      </c>
      <c r="B59" s="1" t="s">
        <v>449</v>
      </c>
      <c r="C59" s="42">
        <v>3031301</v>
      </c>
      <c r="D59" s="138" t="s">
        <v>420</v>
      </c>
      <c r="E59" s="191">
        <v>37228</v>
      </c>
      <c r="F59" s="3" t="s">
        <v>420</v>
      </c>
      <c r="G59" s="4">
        <v>141089</v>
      </c>
      <c r="H59" s="4"/>
      <c r="I59" s="4" t="s">
        <v>552</v>
      </c>
      <c r="J59" s="61" t="str">
        <f t="shared" si="0"/>
        <v>GW</v>
      </c>
      <c r="K59" s="61">
        <f t="shared" si="1"/>
        <v>244</v>
      </c>
      <c r="L59" s="74">
        <f>+CNGPricing!$H$32</f>
        <v>2.42</v>
      </c>
      <c r="M59" s="61">
        <f t="shared" si="2"/>
        <v>270</v>
      </c>
      <c r="O59" s="155">
        <v>0</v>
      </c>
      <c r="P59" s="63">
        <f t="shared" si="3"/>
        <v>2.42</v>
      </c>
      <c r="Q59" s="64">
        <f t="shared" si="4"/>
        <v>653.4</v>
      </c>
      <c r="R59" s="216"/>
      <c r="S59" s="61">
        <f t="shared" si="6"/>
        <v>18</v>
      </c>
      <c r="T59" s="96">
        <f t="shared" si="7"/>
        <v>43.56</v>
      </c>
      <c r="U59" s="61">
        <f t="shared" si="8"/>
        <v>252</v>
      </c>
      <c r="V59" s="96">
        <f t="shared" si="9"/>
        <v>609.84</v>
      </c>
      <c r="W59" s="209">
        <f t="shared" si="12"/>
        <v>37228</v>
      </c>
      <c r="X59" s="115">
        <f t="shared" si="10"/>
        <v>0</v>
      </c>
    </row>
    <row r="60" spans="1:24" ht="15" customHeight="1" thickBot="1" x14ac:dyDescent="0.25">
      <c r="A60" s="1" t="s">
        <v>418</v>
      </c>
      <c r="B60" s="1" t="s">
        <v>466</v>
      </c>
      <c r="C60" s="42">
        <v>3297001</v>
      </c>
      <c r="D60" s="138" t="s">
        <v>420</v>
      </c>
      <c r="E60" s="191">
        <v>37228</v>
      </c>
      <c r="F60" s="3" t="s">
        <v>420</v>
      </c>
      <c r="G60" s="4">
        <v>141089</v>
      </c>
      <c r="H60" s="4"/>
      <c r="I60" s="4" t="s">
        <v>552</v>
      </c>
      <c r="J60" s="61" t="str">
        <f t="shared" si="0"/>
        <v>GW</v>
      </c>
      <c r="K60" s="61">
        <f t="shared" si="1"/>
        <v>0</v>
      </c>
      <c r="L60" s="74">
        <f>+CNGPricing!$H$32</f>
        <v>2.42</v>
      </c>
      <c r="M60" s="61">
        <f t="shared" si="2"/>
        <v>0</v>
      </c>
      <c r="O60" s="155">
        <v>0</v>
      </c>
      <c r="P60" s="63">
        <f t="shared" si="3"/>
        <v>2.42</v>
      </c>
      <c r="Q60" s="64">
        <f t="shared" si="4"/>
        <v>0</v>
      </c>
      <c r="R60" s="216"/>
      <c r="S60" s="61">
        <f t="shared" si="6"/>
        <v>0</v>
      </c>
      <c r="T60" s="96">
        <f t="shared" si="7"/>
        <v>0</v>
      </c>
      <c r="U60" s="61">
        <f t="shared" si="8"/>
        <v>0</v>
      </c>
      <c r="V60" s="96">
        <f t="shared" si="9"/>
        <v>0</v>
      </c>
      <c r="W60" s="209">
        <f t="shared" si="12"/>
        <v>37228</v>
      </c>
      <c r="X60" s="115">
        <f t="shared" si="10"/>
        <v>0</v>
      </c>
    </row>
    <row r="61" spans="1:24" ht="15" customHeight="1" thickBot="1" x14ac:dyDescent="0.25">
      <c r="A61" s="1" t="s">
        <v>418</v>
      </c>
      <c r="B61" s="1" t="s">
        <v>467</v>
      </c>
      <c r="C61" s="42">
        <v>3297001</v>
      </c>
      <c r="D61" s="138" t="s">
        <v>420</v>
      </c>
      <c r="E61" s="191">
        <v>37228</v>
      </c>
      <c r="F61" s="3" t="s">
        <v>420</v>
      </c>
      <c r="G61" s="4">
        <v>141089</v>
      </c>
      <c r="H61" s="4"/>
      <c r="I61" s="4" t="s">
        <v>552</v>
      </c>
      <c r="J61" s="61" t="str">
        <f t="shared" si="0"/>
        <v>na</v>
      </c>
      <c r="K61" s="61" t="str">
        <f t="shared" si="1"/>
        <v>na</v>
      </c>
      <c r="L61" s="74">
        <f>+CNGPricing!$H$32</f>
        <v>2.42</v>
      </c>
      <c r="M61" s="61">
        <f t="shared" si="2"/>
        <v>0</v>
      </c>
      <c r="O61" s="155">
        <v>0</v>
      </c>
      <c r="P61" s="63">
        <f t="shared" si="3"/>
        <v>2.42</v>
      </c>
      <c r="Q61" s="64">
        <f t="shared" si="4"/>
        <v>0</v>
      </c>
      <c r="R61" s="216"/>
      <c r="S61" s="61">
        <f t="shared" si="6"/>
        <v>0</v>
      </c>
      <c r="T61" s="96">
        <f t="shared" si="7"/>
        <v>0</v>
      </c>
      <c r="U61" s="61">
        <f t="shared" si="8"/>
        <v>0</v>
      </c>
      <c r="V61" s="96">
        <f t="shared" si="9"/>
        <v>0</v>
      </c>
      <c r="W61" s="209">
        <f t="shared" si="12"/>
        <v>37228</v>
      </c>
      <c r="X61" s="115">
        <f t="shared" si="10"/>
        <v>0</v>
      </c>
    </row>
    <row r="62" spans="1:24" ht="15" customHeight="1" thickBot="1" x14ac:dyDescent="0.25">
      <c r="A62" s="1" t="s">
        <v>438</v>
      </c>
      <c r="B62" s="1" t="s">
        <v>440</v>
      </c>
      <c r="C62" s="42">
        <v>3023201</v>
      </c>
      <c r="D62" s="138" t="s">
        <v>420</v>
      </c>
      <c r="E62" s="191">
        <v>37228</v>
      </c>
      <c r="F62" s="3" t="s">
        <v>420</v>
      </c>
      <c r="G62" s="4">
        <v>141089</v>
      </c>
      <c r="H62" s="4"/>
      <c r="I62" s="4" t="s">
        <v>552</v>
      </c>
      <c r="J62" s="61" t="str">
        <f t="shared" si="0"/>
        <v>TW</v>
      </c>
      <c r="K62" s="61">
        <f t="shared" si="1"/>
        <v>0</v>
      </c>
      <c r="L62" s="74">
        <f>+CNGPricing!$H$32</f>
        <v>2.42</v>
      </c>
      <c r="M62" s="61">
        <f t="shared" si="2"/>
        <v>0</v>
      </c>
      <c r="O62" s="155">
        <v>0</v>
      </c>
      <c r="P62" s="63">
        <f t="shared" si="3"/>
        <v>2.42</v>
      </c>
      <c r="Q62" s="64">
        <f t="shared" si="4"/>
        <v>0</v>
      </c>
      <c r="R62" s="216"/>
      <c r="S62" s="61">
        <f t="shared" si="6"/>
        <v>0</v>
      </c>
      <c r="T62" s="96">
        <f t="shared" si="7"/>
        <v>0</v>
      </c>
      <c r="U62" s="61">
        <f t="shared" si="8"/>
        <v>0</v>
      </c>
      <c r="V62" s="96">
        <f t="shared" si="9"/>
        <v>0</v>
      </c>
      <c r="W62" s="209">
        <f t="shared" si="12"/>
        <v>37228</v>
      </c>
      <c r="X62" s="115">
        <f t="shared" si="10"/>
        <v>0</v>
      </c>
    </row>
    <row r="63" spans="1:24" ht="15" customHeight="1" thickBot="1" x14ac:dyDescent="0.25">
      <c r="A63" s="1" t="s">
        <v>418</v>
      </c>
      <c r="B63" s="1" t="s">
        <v>441</v>
      </c>
      <c r="C63" s="42">
        <v>3023401</v>
      </c>
      <c r="D63" s="138" t="s">
        <v>420</v>
      </c>
      <c r="E63" s="191">
        <v>37228</v>
      </c>
      <c r="F63" s="3" t="s">
        <v>420</v>
      </c>
      <c r="G63" s="4">
        <v>141089</v>
      </c>
      <c r="H63" s="4"/>
      <c r="I63" s="4" t="s">
        <v>552</v>
      </c>
      <c r="J63" s="61" t="str">
        <f t="shared" ref="J63:J139" si="13">IF(ISNA(VLOOKUP(B63,cngdata,7,FALSE)),"na",VLOOKUP(B63,cngdata,7,FALSE))</f>
        <v>GW</v>
      </c>
      <c r="K63" s="61">
        <f t="shared" ref="K63:K129" si="14">IF(ISNA(VLOOKUP(B63,cngdata,13,FALSE)),"na",VLOOKUP(B63,cngdata,13,FALSE))</f>
        <v>0</v>
      </c>
      <c r="L63" s="74">
        <f>+CNGPricing!$H$32</f>
        <v>2.42</v>
      </c>
      <c r="M63" s="61">
        <f t="shared" ref="M63:M129" si="15">IF(ISNA(VLOOKUP(B63,cngdata,14,FALSE)),0,VLOOKUP(B63,cngdata,14,FALSE))</f>
        <v>0</v>
      </c>
      <c r="O63" s="155">
        <v>0</v>
      </c>
      <c r="P63" s="63">
        <f t="shared" si="3"/>
        <v>2.42</v>
      </c>
      <c r="Q63" s="64">
        <f t="shared" si="4"/>
        <v>0</v>
      </c>
      <c r="R63" s="216"/>
      <c r="S63" s="61">
        <f t="shared" si="6"/>
        <v>0</v>
      </c>
      <c r="T63" s="96">
        <f t="shared" si="7"/>
        <v>0</v>
      </c>
      <c r="U63" s="61">
        <f t="shared" si="8"/>
        <v>0</v>
      </c>
      <c r="V63" s="96">
        <f t="shared" si="9"/>
        <v>0</v>
      </c>
      <c r="W63" s="209">
        <f t="shared" si="12"/>
        <v>37228</v>
      </c>
      <c r="X63" s="115">
        <f t="shared" si="10"/>
        <v>0</v>
      </c>
    </row>
    <row r="64" spans="1:24" ht="15" customHeight="1" thickBot="1" x14ac:dyDescent="0.25">
      <c r="A64" s="1" t="s">
        <v>418</v>
      </c>
      <c r="B64" s="1" t="s">
        <v>458</v>
      </c>
      <c r="C64" s="42">
        <v>3130501</v>
      </c>
      <c r="D64" s="138" t="s">
        <v>553</v>
      </c>
      <c r="E64" s="191">
        <v>37228</v>
      </c>
      <c r="F64" s="66" t="s">
        <v>553</v>
      </c>
      <c r="G64" s="33">
        <v>210487</v>
      </c>
      <c r="H64" s="33"/>
      <c r="I64" s="33" t="s">
        <v>588</v>
      </c>
      <c r="J64" s="109" t="str">
        <f t="shared" si="13"/>
        <v>GW</v>
      </c>
      <c r="K64" s="61">
        <f t="shared" si="14"/>
        <v>206</v>
      </c>
      <c r="L64" s="142">
        <f>+CNGPricing!$H$42</f>
        <v>2.42</v>
      </c>
      <c r="M64" s="61">
        <f t="shared" si="15"/>
        <v>301</v>
      </c>
      <c r="O64" s="155">
        <v>0</v>
      </c>
      <c r="P64" s="63">
        <f t="shared" si="3"/>
        <v>2.42</v>
      </c>
      <c r="Q64" s="64">
        <f t="shared" si="4"/>
        <v>728.42</v>
      </c>
      <c r="R64" s="216"/>
      <c r="S64" s="61">
        <f t="shared" si="6"/>
        <v>50</v>
      </c>
      <c r="T64" s="96">
        <f t="shared" si="7"/>
        <v>121</v>
      </c>
      <c r="U64" s="61">
        <f t="shared" si="8"/>
        <v>251</v>
      </c>
      <c r="V64" s="96">
        <f t="shared" si="9"/>
        <v>607.41999999999996</v>
      </c>
      <c r="W64" s="209">
        <f t="shared" si="12"/>
        <v>37228</v>
      </c>
      <c r="X64" s="115">
        <f t="shared" si="10"/>
        <v>0</v>
      </c>
    </row>
    <row r="65" spans="1:24" ht="15" customHeight="1" thickBot="1" x14ac:dyDescent="0.25">
      <c r="A65" s="1" t="s">
        <v>438</v>
      </c>
      <c r="B65" s="1" t="s">
        <v>470</v>
      </c>
      <c r="C65" s="78">
        <v>3421301</v>
      </c>
      <c r="D65" s="138" t="s">
        <v>553</v>
      </c>
      <c r="E65" s="191">
        <v>37228</v>
      </c>
      <c r="F65" s="66" t="s">
        <v>316</v>
      </c>
      <c r="G65" s="33">
        <v>210487</v>
      </c>
      <c r="H65" s="33"/>
      <c r="I65" s="33" t="s">
        <v>588</v>
      </c>
      <c r="J65" s="109" t="str">
        <f t="shared" si="13"/>
        <v>TW</v>
      </c>
      <c r="K65" s="61">
        <f t="shared" si="14"/>
        <v>23</v>
      </c>
      <c r="L65" s="142">
        <f>+CNGPricing!$H$42</f>
        <v>2.42</v>
      </c>
      <c r="M65" s="61">
        <f t="shared" si="15"/>
        <v>29</v>
      </c>
      <c r="O65" s="155">
        <v>0</v>
      </c>
      <c r="P65" s="63">
        <f t="shared" si="3"/>
        <v>2.42</v>
      </c>
      <c r="Q65" s="64">
        <f t="shared" si="4"/>
        <v>70.179999999999993</v>
      </c>
      <c r="R65" s="216"/>
      <c r="S65" s="61">
        <f t="shared" si="6"/>
        <v>19</v>
      </c>
      <c r="T65" s="96">
        <f t="shared" si="7"/>
        <v>45.98</v>
      </c>
      <c r="U65" s="61">
        <f t="shared" si="8"/>
        <v>10</v>
      </c>
      <c r="V65" s="96">
        <f t="shared" si="9"/>
        <v>24.2</v>
      </c>
      <c r="W65" s="209">
        <f t="shared" si="12"/>
        <v>37228</v>
      </c>
      <c r="X65" s="115">
        <f t="shared" si="10"/>
        <v>0</v>
      </c>
    </row>
    <row r="66" spans="1:24" ht="15" customHeight="1" thickBot="1" x14ac:dyDescent="0.25">
      <c r="A66" s="1" t="s">
        <v>418</v>
      </c>
      <c r="B66" s="1" t="s">
        <v>472</v>
      </c>
      <c r="C66" s="78">
        <v>3425201</v>
      </c>
      <c r="D66" s="138" t="s">
        <v>553</v>
      </c>
      <c r="E66" s="191">
        <v>37228</v>
      </c>
      <c r="F66" s="66" t="s">
        <v>316</v>
      </c>
      <c r="G66" s="33">
        <v>210487</v>
      </c>
      <c r="H66" s="33"/>
      <c r="I66" s="33" t="s">
        <v>588</v>
      </c>
      <c r="J66" s="109" t="str">
        <f t="shared" si="13"/>
        <v>GW</v>
      </c>
      <c r="K66" s="61">
        <f t="shared" si="14"/>
        <v>39</v>
      </c>
      <c r="L66" s="142">
        <f>+CNGPricing!$H$42</f>
        <v>2.42</v>
      </c>
      <c r="M66" s="61">
        <f t="shared" si="15"/>
        <v>54</v>
      </c>
      <c r="O66" s="155">
        <v>0</v>
      </c>
      <c r="P66" s="63">
        <f t="shared" si="3"/>
        <v>2.42</v>
      </c>
      <c r="Q66" s="64">
        <f t="shared" si="4"/>
        <v>130.68</v>
      </c>
      <c r="R66" s="216"/>
      <c r="S66" s="61">
        <f t="shared" si="6"/>
        <v>36</v>
      </c>
      <c r="T66" s="96">
        <f t="shared" si="7"/>
        <v>87.12</v>
      </c>
      <c r="U66" s="61">
        <f>IF(ISNA(VLOOKUP(B66,SplitVol,6,FALSE)),0,VLOOKUP(B66,SplitVol,6,FALSE))+1</f>
        <v>18</v>
      </c>
      <c r="V66" s="96">
        <f t="shared" si="9"/>
        <v>43.56</v>
      </c>
      <c r="W66" s="209">
        <f t="shared" si="12"/>
        <v>37228</v>
      </c>
      <c r="X66" s="115">
        <f t="shared" si="10"/>
        <v>0</v>
      </c>
    </row>
    <row r="67" spans="1:24" ht="15" customHeight="1" thickBot="1" x14ac:dyDescent="0.25">
      <c r="A67" s="1" t="s">
        <v>418</v>
      </c>
      <c r="B67" s="1" t="s">
        <v>475</v>
      </c>
      <c r="C67" s="78">
        <v>3472501</v>
      </c>
      <c r="D67" s="138" t="s">
        <v>553</v>
      </c>
      <c r="E67" s="191">
        <v>37228</v>
      </c>
      <c r="F67" s="66" t="s">
        <v>316</v>
      </c>
      <c r="G67" s="33">
        <v>210487</v>
      </c>
      <c r="H67" s="33"/>
      <c r="I67" s="33" t="s">
        <v>588</v>
      </c>
      <c r="J67" s="109" t="str">
        <f t="shared" si="13"/>
        <v>GW</v>
      </c>
      <c r="K67" s="61">
        <f t="shared" si="14"/>
        <v>0</v>
      </c>
      <c r="L67" s="142">
        <f>+CNGPricing!$H$42</f>
        <v>2.42</v>
      </c>
      <c r="M67" s="61">
        <f t="shared" si="15"/>
        <v>0</v>
      </c>
      <c r="O67" s="155">
        <v>0</v>
      </c>
      <c r="P67" s="63">
        <f t="shared" si="3"/>
        <v>2.42</v>
      </c>
      <c r="Q67" s="64">
        <f t="shared" si="4"/>
        <v>0</v>
      </c>
      <c r="R67" s="216"/>
      <c r="S67" s="61">
        <f t="shared" si="6"/>
        <v>0</v>
      </c>
      <c r="T67" s="96">
        <f t="shared" si="7"/>
        <v>0</v>
      </c>
      <c r="U67" s="61">
        <f t="shared" si="8"/>
        <v>0</v>
      </c>
      <c r="V67" s="96">
        <f t="shared" si="9"/>
        <v>0</v>
      </c>
      <c r="W67" s="209">
        <f t="shared" si="12"/>
        <v>37228</v>
      </c>
      <c r="X67" s="115">
        <f t="shared" si="10"/>
        <v>0</v>
      </c>
    </row>
    <row r="68" spans="1:24" ht="15" customHeight="1" thickBot="1" x14ac:dyDescent="0.25">
      <c r="A68" s="1" t="s">
        <v>418</v>
      </c>
      <c r="B68" s="1" t="s">
        <v>489</v>
      </c>
      <c r="C68" s="42">
        <v>3539901</v>
      </c>
      <c r="D68" s="138" t="s">
        <v>553</v>
      </c>
      <c r="E68" s="191">
        <v>37228</v>
      </c>
      <c r="F68" s="66" t="s">
        <v>553</v>
      </c>
      <c r="G68" s="33">
        <v>210487</v>
      </c>
      <c r="H68" s="33"/>
      <c r="I68" s="33" t="s">
        <v>588</v>
      </c>
      <c r="J68" s="109" t="str">
        <f t="shared" si="13"/>
        <v>GW</v>
      </c>
      <c r="K68" s="61">
        <f t="shared" si="14"/>
        <v>0</v>
      </c>
      <c r="L68" s="142">
        <f>+CNGPricing!$H$42</f>
        <v>2.42</v>
      </c>
      <c r="M68" s="61">
        <f t="shared" si="15"/>
        <v>0</v>
      </c>
      <c r="O68" s="155">
        <v>0</v>
      </c>
      <c r="P68" s="63">
        <f t="shared" si="3"/>
        <v>2.42</v>
      </c>
      <c r="Q68" s="64">
        <f t="shared" si="4"/>
        <v>0</v>
      </c>
      <c r="R68" s="216"/>
      <c r="S68" s="61">
        <f t="shared" si="6"/>
        <v>0</v>
      </c>
      <c r="T68" s="96">
        <f t="shared" si="7"/>
        <v>0</v>
      </c>
      <c r="U68" s="61">
        <f t="shared" si="8"/>
        <v>0</v>
      </c>
      <c r="V68" s="96">
        <f t="shared" si="9"/>
        <v>0</v>
      </c>
      <c r="W68" s="209">
        <f t="shared" si="12"/>
        <v>37228</v>
      </c>
      <c r="X68" s="115">
        <f t="shared" si="10"/>
        <v>0</v>
      </c>
    </row>
    <row r="69" spans="1:24" ht="15" customHeight="1" thickBot="1" x14ac:dyDescent="0.25">
      <c r="A69" s="1" t="s">
        <v>418</v>
      </c>
      <c r="B69" s="1" t="s">
        <v>460</v>
      </c>
      <c r="C69" s="42">
        <v>3141701</v>
      </c>
      <c r="D69" s="138" t="s">
        <v>553</v>
      </c>
      <c r="E69" s="191">
        <v>37228</v>
      </c>
      <c r="F69" s="66" t="s">
        <v>553</v>
      </c>
      <c r="G69" s="33">
        <v>210487</v>
      </c>
      <c r="H69" s="33"/>
      <c r="I69" s="33" t="s">
        <v>588</v>
      </c>
      <c r="J69" s="109" t="str">
        <f t="shared" si="13"/>
        <v>GW</v>
      </c>
      <c r="K69" s="61">
        <f t="shared" si="14"/>
        <v>27</v>
      </c>
      <c r="L69" s="142">
        <f>+CNGPricing!$H$42</f>
        <v>2.42</v>
      </c>
      <c r="M69" s="61">
        <f t="shared" si="15"/>
        <v>50</v>
      </c>
      <c r="O69" s="155">
        <v>0</v>
      </c>
      <c r="P69" s="63">
        <f t="shared" ref="P69:P132" si="16">L69-O69</f>
        <v>2.42</v>
      </c>
      <c r="Q69" s="64">
        <f t="shared" ref="Q69:Q132" si="17">M69*P69</f>
        <v>121</v>
      </c>
      <c r="R69" s="216"/>
      <c r="S69" s="61">
        <f t="shared" si="6"/>
        <v>29</v>
      </c>
      <c r="T69" s="96">
        <f t="shared" si="7"/>
        <v>70.179999999999993</v>
      </c>
      <c r="U69" s="61">
        <f t="shared" si="8"/>
        <v>21</v>
      </c>
      <c r="V69" s="96">
        <f t="shared" si="9"/>
        <v>50.82</v>
      </c>
      <c r="W69" s="209">
        <f t="shared" si="12"/>
        <v>37228</v>
      </c>
      <c r="X69" s="115">
        <f t="shared" si="10"/>
        <v>0</v>
      </c>
    </row>
    <row r="70" spans="1:24" ht="15" customHeight="1" thickBot="1" x14ac:dyDescent="0.25">
      <c r="A70" s="1" t="s">
        <v>418</v>
      </c>
      <c r="B70" s="1" t="s">
        <v>456</v>
      </c>
      <c r="C70" s="42">
        <v>3095101</v>
      </c>
      <c r="D70" s="138" t="s">
        <v>553</v>
      </c>
      <c r="E70" s="191">
        <v>37228</v>
      </c>
      <c r="F70" s="66" t="s">
        <v>553</v>
      </c>
      <c r="G70" s="33">
        <v>210487</v>
      </c>
      <c r="H70" s="33"/>
      <c r="I70" s="33" t="s">
        <v>588</v>
      </c>
      <c r="J70" s="109" t="str">
        <f t="shared" si="13"/>
        <v>GW</v>
      </c>
      <c r="K70" s="61">
        <f t="shared" si="14"/>
        <v>959</v>
      </c>
      <c r="L70" s="142">
        <f>+CNGPricing!$H$42</f>
        <v>2.42</v>
      </c>
      <c r="M70" s="61">
        <f t="shared" si="15"/>
        <v>1417</v>
      </c>
      <c r="O70" s="155">
        <v>0</v>
      </c>
      <c r="P70" s="63">
        <f t="shared" si="16"/>
        <v>2.42</v>
      </c>
      <c r="Q70" s="64">
        <f t="shared" si="17"/>
        <v>3429.14</v>
      </c>
      <c r="R70" s="216"/>
      <c r="S70" s="61">
        <f t="shared" ref="S70:S133" si="18">IF(ISNA(VLOOKUP(B70,SplitVol,5,FALSE)),0,VLOOKUP(B70,SplitVol,5,FALSE))</f>
        <v>208</v>
      </c>
      <c r="T70" s="96">
        <f t="shared" ref="T70:T133" si="19">+S70*L70</f>
        <v>503.36</v>
      </c>
      <c r="U70" s="61">
        <f>IF(ISNA(VLOOKUP(B70,SplitVol,6,FALSE)),0,VLOOKUP(B70,SplitVol,6,FALSE))+1</f>
        <v>1209</v>
      </c>
      <c r="V70" s="96">
        <f t="shared" ref="V70:V133" si="20">+U70*L70</f>
        <v>2925.7799999999997</v>
      </c>
      <c r="W70" s="209">
        <f t="shared" ref="W70:W133" si="21">IF(ISBLANK(VLOOKUP(B70,EffDate,4,FALSE)),"na",VLOOKUP(B70,EffDate,4,FALSE))</f>
        <v>37228</v>
      </c>
      <c r="X70" s="115">
        <f t="shared" ref="X70:X133" si="22">+M70-S70-U70</f>
        <v>0</v>
      </c>
    </row>
    <row r="71" spans="1:24" ht="15" customHeight="1" thickBot="1" x14ac:dyDescent="0.25">
      <c r="A71" s="1" t="s">
        <v>418</v>
      </c>
      <c r="B71" s="1" t="s">
        <v>432</v>
      </c>
      <c r="C71" s="42">
        <v>3013701</v>
      </c>
      <c r="D71" s="138" t="s">
        <v>553</v>
      </c>
      <c r="E71" s="191">
        <v>37228</v>
      </c>
      <c r="F71" s="66" t="s">
        <v>553</v>
      </c>
      <c r="G71" s="33">
        <v>210487</v>
      </c>
      <c r="H71" s="33"/>
      <c r="I71" s="33" t="s">
        <v>588</v>
      </c>
      <c r="J71" s="109" t="str">
        <f t="shared" si="13"/>
        <v>GW</v>
      </c>
      <c r="K71" s="61">
        <f t="shared" si="14"/>
        <v>0</v>
      </c>
      <c r="L71" s="142">
        <f>+CNGPricing!$H$42</f>
        <v>2.42</v>
      </c>
      <c r="M71" s="61">
        <f t="shared" si="15"/>
        <v>44</v>
      </c>
      <c r="O71" s="155">
        <v>0</v>
      </c>
      <c r="P71" s="63">
        <f t="shared" si="16"/>
        <v>2.42</v>
      </c>
      <c r="Q71" s="64">
        <f t="shared" si="17"/>
        <v>106.47999999999999</v>
      </c>
      <c r="R71" s="216"/>
      <c r="S71" s="61">
        <f t="shared" si="18"/>
        <v>3</v>
      </c>
      <c r="T71" s="96">
        <f t="shared" si="19"/>
        <v>7.26</v>
      </c>
      <c r="U71" s="61">
        <f t="shared" ref="U71:U133" si="23">IF(ISNA(VLOOKUP(B71,SplitVol,6,FALSE)),0,VLOOKUP(B71,SplitVol,6,FALSE))</f>
        <v>41</v>
      </c>
      <c r="V71" s="96">
        <f t="shared" si="20"/>
        <v>99.22</v>
      </c>
      <c r="W71" s="209">
        <f t="shared" si="21"/>
        <v>37228</v>
      </c>
      <c r="X71" s="115">
        <f t="shared" si="22"/>
        <v>0</v>
      </c>
    </row>
    <row r="72" spans="1:24" ht="15" customHeight="1" thickBot="1" x14ac:dyDescent="0.25">
      <c r="A72" s="1" t="s">
        <v>438</v>
      </c>
      <c r="B72" s="1" t="s">
        <v>474</v>
      </c>
      <c r="C72" s="42">
        <v>3425901</v>
      </c>
      <c r="D72" s="138" t="s">
        <v>553</v>
      </c>
      <c r="E72" s="191">
        <v>37228</v>
      </c>
      <c r="F72" s="66" t="s">
        <v>553</v>
      </c>
      <c r="G72" s="33">
        <v>210487</v>
      </c>
      <c r="H72" s="33"/>
      <c r="I72" s="33" t="s">
        <v>588</v>
      </c>
      <c r="J72" s="109" t="str">
        <f t="shared" si="13"/>
        <v>TW</v>
      </c>
      <c r="K72" s="61">
        <f t="shared" si="14"/>
        <v>0</v>
      </c>
      <c r="L72" s="142">
        <f>+CNGPricing!$H$42</f>
        <v>2.42</v>
      </c>
      <c r="M72" s="61">
        <f t="shared" si="15"/>
        <v>0</v>
      </c>
      <c r="O72" s="155">
        <v>0</v>
      </c>
      <c r="P72" s="63">
        <f t="shared" si="16"/>
        <v>2.42</v>
      </c>
      <c r="Q72" s="64">
        <f t="shared" si="17"/>
        <v>0</v>
      </c>
      <c r="R72" s="216"/>
      <c r="S72" s="61">
        <f t="shared" si="18"/>
        <v>0</v>
      </c>
      <c r="T72" s="96">
        <f t="shared" si="19"/>
        <v>0</v>
      </c>
      <c r="U72" s="61">
        <f t="shared" si="23"/>
        <v>0</v>
      </c>
      <c r="V72" s="96">
        <f t="shared" si="20"/>
        <v>0</v>
      </c>
      <c r="W72" s="209">
        <f t="shared" si="21"/>
        <v>37228</v>
      </c>
      <c r="X72" s="115">
        <f t="shared" si="22"/>
        <v>0</v>
      </c>
    </row>
    <row r="73" spans="1:24" ht="15" customHeight="1" thickBot="1" x14ac:dyDescent="0.25">
      <c r="A73" s="1" t="s">
        <v>418</v>
      </c>
      <c r="B73" s="1" t="s">
        <v>476</v>
      </c>
      <c r="C73" s="78">
        <v>3472501</v>
      </c>
      <c r="D73" s="138" t="s">
        <v>553</v>
      </c>
      <c r="E73" s="191">
        <v>37228</v>
      </c>
      <c r="F73" s="66" t="s">
        <v>316</v>
      </c>
      <c r="G73" s="33">
        <v>210487</v>
      </c>
      <c r="H73" s="33"/>
      <c r="I73" s="33" t="s">
        <v>588</v>
      </c>
      <c r="J73" s="109" t="str">
        <f t="shared" si="13"/>
        <v>na</v>
      </c>
      <c r="K73" s="61" t="str">
        <f t="shared" si="14"/>
        <v>na</v>
      </c>
      <c r="L73" s="142">
        <f>+CNGPricing!$H$42</f>
        <v>2.42</v>
      </c>
      <c r="M73" s="61">
        <f t="shared" si="15"/>
        <v>0</v>
      </c>
      <c r="O73" s="155">
        <v>0</v>
      </c>
      <c r="P73" s="63">
        <f t="shared" si="16"/>
        <v>2.42</v>
      </c>
      <c r="Q73" s="64">
        <f t="shared" si="17"/>
        <v>0</v>
      </c>
      <c r="R73" s="216"/>
      <c r="S73" s="61">
        <f t="shared" si="18"/>
        <v>0</v>
      </c>
      <c r="T73" s="96">
        <f t="shared" si="19"/>
        <v>0</v>
      </c>
      <c r="U73" s="61">
        <f t="shared" si="23"/>
        <v>0</v>
      </c>
      <c r="V73" s="96">
        <f t="shared" si="20"/>
        <v>0</v>
      </c>
      <c r="W73" s="209" t="str">
        <f t="shared" si="21"/>
        <v>na</v>
      </c>
      <c r="X73" s="115">
        <f t="shared" si="22"/>
        <v>0</v>
      </c>
    </row>
    <row r="74" spans="1:24" ht="15" customHeight="1" thickBot="1" x14ac:dyDescent="0.25">
      <c r="A74" s="1" t="s">
        <v>438</v>
      </c>
      <c r="B74" s="1" t="s">
        <v>471</v>
      </c>
      <c r="C74" s="78">
        <v>3421301</v>
      </c>
      <c r="D74" s="138" t="s">
        <v>553</v>
      </c>
      <c r="E74" s="191">
        <v>37228</v>
      </c>
      <c r="F74" s="66" t="s">
        <v>316</v>
      </c>
      <c r="G74" s="33">
        <v>210487</v>
      </c>
      <c r="H74" s="33"/>
      <c r="I74" s="33" t="s">
        <v>588</v>
      </c>
      <c r="J74" s="109" t="str">
        <f t="shared" si="13"/>
        <v>na</v>
      </c>
      <c r="K74" s="61" t="str">
        <f t="shared" si="14"/>
        <v>na</v>
      </c>
      <c r="L74" s="142">
        <f>+CNGPricing!$H$42</f>
        <v>2.42</v>
      </c>
      <c r="M74" s="61">
        <f t="shared" si="15"/>
        <v>0</v>
      </c>
      <c r="O74" s="155">
        <v>0</v>
      </c>
      <c r="P74" s="63">
        <f t="shared" si="16"/>
        <v>2.42</v>
      </c>
      <c r="Q74" s="64">
        <f t="shared" si="17"/>
        <v>0</v>
      </c>
      <c r="R74" s="216"/>
      <c r="S74" s="61">
        <f t="shared" si="18"/>
        <v>0</v>
      </c>
      <c r="T74" s="96">
        <f t="shared" si="19"/>
        <v>0</v>
      </c>
      <c r="U74" s="61">
        <f t="shared" si="23"/>
        <v>0</v>
      </c>
      <c r="V74" s="96">
        <f t="shared" si="20"/>
        <v>0</v>
      </c>
      <c r="W74" s="209" t="str">
        <f t="shared" si="21"/>
        <v>na</v>
      </c>
      <c r="X74" s="115">
        <f t="shared" si="22"/>
        <v>0</v>
      </c>
    </row>
    <row r="75" spans="1:24" ht="15" customHeight="1" thickBot="1" x14ac:dyDescent="0.25">
      <c r="A75" s="1" t="s">
        <v>418</v>
      </c>
      <c r="B75" s="1" t="s">
        <v>473</v>
      </c>
      <c r="C75" s="78">
        <v>3425201</v>
      </c>
      <c r="D75" s="138" t="s">
        <v>553</v>
      </c>
      <c r="E75" s="191">
        <v>37228</v>
      </c>
      <c r="F75" s="66" t="s">
        <v>316</v>
      </c>
      <c r="G75" s="33">
        <v>210487</v>
      </c>
      <c r="H75" s="33"/>
      <c r="I75" s="33" t="s">
        <v>588</v>
      </c>
      <c r="J75" s="109" t="str">
        <f t="shared" si="13"/>
        <v>na</v>
      </c>
      <c r="K75" s="61" t="str">
        <f t="shared" si="14"/>
        <v>na</v>
      </c>
      <c r="L75" s="142">
        <f>+CNGPricing!$H$42</f>
        <v>2.42</v>
      </c>
      <c r="M75" s="61">
        <f t="shared" si="15"/>
        <v>0</v>
      </c>
      <c r="O75" s="155">
        <v>0</v>
      </c>
      <c r="P75" s="63">
        <f t="shared" si="16"/>
        <v>2.42</v>
      </c>
      <c r="Q75" s="64">
        <f t="shared" si="17"/>
        <v>0</v>
      </c>
      <c r="R75" s="216"/>
      <c r="S75" s="61">
        <f t="shared" si="18"/>
        <v>0</v>
      </c>
      <c r="T75" s="96">
        <f t="shared" si="19"/>
        <v>0</v>
      </c>
      <c r="U75" s="61">
        <f t="shared" si="23"/>
        <v>0</v>
      </c>
      <c r="V75" s="96">
        <f t="shared" si="20"/>
        <v>0</v>
      </c>
      <c r="W75" s="209" t="str">
        <f t="shared" si="21"/>
        <v>na</v>
      </c>
      <c r="X75" s="115">
        <f t="shared" si="22"/>
        <v>0</v>
      </c>
    </row>
    <row r="76" spans="1:24" ht="15" customHeight="1" thickBot="1" x14ac:dyDescent="0.25">
      <c r="A76" s="3" t="s">
        <v>141</v>
      </c>
      <c r="B76" s="83" t="s">
        <v>142</v>
      </c>
      <c r="C76" s="3">
        <v>2150501</v>
      </c>
      <c r="D76" s="192" t="s">
        <v>143</v>
      </c>
      <c r="E76" s="193">
        <v>37256</v>
      </c>
      <c r="F76" s="3"/>
      <c r="G76" s="1">
        <v>13884</v>
      </c>
      <c r="H76" s="1" t="s">
        <v>639</v>
      </c>
      <c r="I76" s="86" t="s">
        <v>324</v>
      </c>
      <c r="J76" s="61" t="str">
        <f t="shared" si="13"/>
        <v>GW</v>
      </c>
      <c r="K76" s="61">
        <f t="shared" si="14"/>
        <v>0</v>
      </c>
      <c r="L76" s="65">
        <f>$L$2</f>
        <v>2.42</v>
      </c>
      <c r="M76" s="61">
        <f t="shared" si="15"/>
        <v>567</v>
      </c>
      <c r="O76" s="155">
        <v>0</v>
      </c>
      <c r="P76" s="63">
        <f t="shared" si="16"/>
        <v>2.42</v>
      </c>
      <c r="Q76" s="64">
        <f t="shared" si="17"/>
        <v>1372.1399999999999</v>
      </c>
      <c r="R76" s="216"/>
      <c r="S76" s="61">
        <f t="shared" si="18"/>
        <v>29</v>
      </c>
      <c r="T76" s="96">
        <f t="shared" si="19"/>
        <v>70.179999999999993</v>
      </c>
      <c r="U76" s="61">
        <f t="shared" si="23"/>
        <v>538</v>
      </c>
      <c r="V76" s="96">
        <f t="shared" si="20"/>
        <v>1301.96</v>
      </c>
      <c r="W76" s="209">
        <f t="shared" si="21"/>
        <v>37256</v>
      </c>
      <c r="X76" s="115">
        <f t="shared" si="22"/>
        <v>0</v>
      </c>
    </row>
    <row r="77" spans="1:24" ht="15" customHeight="1" thickBot="1" x14ac:dyDescent="0.25">
      <c r="A77" s="3" t="s">
        <v>113</v>
      </c>
      <c r="B77" s="83" t="s">
        <v>118</v>
      </c>
      <c r="C77" s="66">
        <v>4133001</v>
      </c>
      <c r="D77" s="192" t="s">
        <v>119</v>
      </c>
      <c r="E77" s="193">
        <v>37257</v>
      </c>
      <c r="F77" s="66"/>
      <c r="G77" s="66">
        <v>14385</v>
      </c>
      <c r="H77" s="66" t="s">
        <v>592</v>
      </c>
      <c r="I77" s="66" t="s">
        <v>640</v>
      </c>
      <c r="J77" s="109" t="str">
        <f t="shared" si="13"/>
        <v>GD</v>
      </c>
      <c r="K77" s="109">
        <f t="shared" si="14"/>
        <v>0</v>
      </c>
      <c r="L77" s="142">
        <f>+CNGPricing!$H$55</f>
        <v>2.4</v>
      </c>
      <c r="M77" s="109">
        <f t="shared" si="15"/>
        <v>0</v>
      </c>
      <c r="O77" s="155">
        <v>0</v>
      </c>
      <c r="P77" s="63">
        <f t="shared" si="16"/>
        <v>2.4</v>
      </c>
      <c r="Q77" s="64">
        <f t="shared" si="17"/>
        <v>0</v>
      </c>
      <c r="R77" s="216"/>
      <c r="S77" s="61">
        <f t="shared" si="18"/>
        <v>0</v>
      </c>
      <c r="T77" s="96">
        <f t="shared" si="19"/>
        <v>0</v>
      </c>
      <c r="U77" s="61">
        <f t="shared" si="23"/>
        <v>0</v>
      </c>
      <c r="V77" s="96">
        <f t="shared" si="20"/>
        <v>0</v>
      </c>
      <c r="W77" s="209">
        <f t="shared" si="21"/>
        <v>37257</v>
      </c>
      <c r="X77" s="115">
        <f t="shared" si="22"/>
        <v>0</v>
      </c>
    </row>
    <row r="78" spans="1:24" ht="15" customHeight="1" thickBot="1" x14ac:dyDescent="0.25">
      <c r="A78" s="3" t="s">
        <v>122</v>
      </c>
      <c r="B78" s="83" t="s">
        <v>123</v>
      </c>
      <c r="C78" s="66">
        <v>4092601</v>
      </c>
      <c r="D78" s="192" t="s">
        <v>119</v>
      </c>
      <c r="E78" s="193">
        <v>37257</v>
      </c>
      <c r="F78" s="66"/>
      <c r="G78" s="66">
        <v>14385</v>
      </c>
      <c r="H78" s="66" t="s">
        <v>592</v>
      </c>
      <c r="I78" s="66" t="s">
        <v>640</v>
      </c>
      <c r="J78" s="109" t="str">
        <f t="shared" si="13"/>
        <v>GW</v>
      </c>
      <c r="K78" s="109">
        <f t="shared" si="14"/>
        <v>723</v>
      </c>
      <c r="L78" s="142">
        <f>+CNGPricing!$H$55</f>
        <v>2.4</v>
      </c>
      <c r="M78" s="109">
        <f t="shared" si="15"/>
        <v>810</v>
      </c>
      <c r="O78" s="155">
        <v>0</v>
      </c>
      <c r="P78" s="63">
        <f t="shared" si="16"/>
        <v>2.4</v>
      </c>
      <c r="Q78" s="64">
        <f t="shared" si="17"/>
        <v>1944</v>
      </c>
      <c r="R78" s="216"/>
      <c r="S78" s="61">
        <f t="shared" si="18"/>
        <v>80</v>
      </c>
      <c r="T78" s="96">
        <f t="shared" si="19"/>
        <v>192</v>
      </c>
      <c r="U78" s="61">
        <f t="shared" si="23"/>
        <v>730</v>
      </c>
      <c r="V78" s="96">
        <f t="shared" si="20"/>
        <v>1752</v>
      </c>
      <c r="W78" s="209">
        <f t="shared" si="21"/>
        <v>37257</v>
      </c>
      <c r="X78" s="115">
        <f t="shared" si="22"/>
        <v>0</v>
      </c>
    </row>
    <row r="79" spans="1:24" ht="15" customHeight="1" thickBot="1" x14ac:dyDescent="0.25">
      <c r="A79" s="3" t="s">
        <v>141</v>
      </c>
      <c r="B79" s="83" t="s">
        <v>241</v>
      </c>
      <c r="C79" s="3">
        <v>3290902</v>
      </c>
      <c r="D79" s="138" t="s">
        <v>242</v>
      </c>
      <c r="E79" s="191">
        <v>37228</v>
      </c>
      <c r="F79" s="66"/>
      <c r="G79" s="66">
        <v>14599</v>
      </c>
      <c r="H79" s="66" t="s">
        <v>641</v>
      </c>
      <c r="I79" s="66" t="s">
        <v>379</v>
      </c>
      <c r="J79" s="109" t="str">
        <f t="shared" si="13"/>
        <v>GW</v>
      </c>
      <c r="K79" s="61">
        <f t="shared" si="14"/>
        <v>1796</v>
      </c>
      <c r="L79" s="142">
        <f>+CNGPricing!$H$68</f>
        <v>3.4241903675538659</v>
      </c>
      <c r="M79" s="61">
        <f t="shared" si="15"/>
        <v>2367</v>
      </c>
      <c r="O79" s="155">
        <v>0</v>
      </c>
      <c r="P79" s="63">
        <f t="shared" si="16"/>
        <v>3.4241903675538659</v>
      </c>
      <c r="Q79" s="64">
        <f t="shared" si="17"/>
        <v>8105.0586000000003</v>
      </c>
      <c r="R79" s="216"/>
      <c r="S79" s="61">
        <f t="shared" si="18"/>
        <v>180</v>
      </c>
      <c r="T79" s="96">
        <f t="shared" si="19"/>
        <v>616.35426615969584</v>
      </c>
      <c r="U79" s="61">
        <f t="shared" si="23"/>
        <v>2187</v>
      </c>
      <c r="V79" s="96">
        <f t="shared" si="20"/>
        <v>7488.7043338403046</v>
      </c>
      <c r="W79" s="209">
        <f t="shared" si="21"/>
        <v>37228</v>
      </c>
      <c r="X79" s="115">
        <f t="shared" si="22"/>
        <v>0</v>
      </c>
    </row>
    <row r="80" spans="1:24" ht="15" customHeight="1" thickBot="1" x14ac:dyDescent="0.25">
      <c r="A80" s="3" t="s">
        <v>141</v>
      </c>
      <c r="B80" s="83" t="s">
        <v>150</v>
      </c>
      <c r="C80" s="3">
        <v>3423501</v>
      </c>
      <c r="D80" s="3" t="s">
        <v>616</v>
      </c>
      <c r="E80" s="189" t="s">
        <v>317</v>
      </c>
      <c r="F80" s="3"/>
      <c r="G80" s="1">
        <v>15062</v>
      </c>
      <c r="H80" s="1" t="s">
        <v>593</v>
      </c>
      <c r="I80" s="1" t="s">
        <v>322</v>
      </c>
      <c r="J80" s="61" t="str">
        <f t="shared" si="13"/>
        <v>GW</v>
      </c>
      <c r="K80" s="61">
        <f t="shared" si="14"/>
        <v>0</v>
      </c>
      <c r="L80" s="65">
        <f t="shared" ref="L80:L88" si="24">$L$2*97%</f>
        <v>2.3473999999999999</v>
      </c>
      <c r="M80" s="61">
        <f t="shared" si="15"/>
        <v>0</v>
      </c>
      <c r="O80" s="155">
        <v>0</v>
      </c>
      <c r="P80" s="63">
        <f t="shared" si="16"/>
        <v>2.3473999999999999</v>
      </c>
      <c r="Q80" s="64">
        <f t="shared" si="17"/>
        <v>0</v>
      </c>
      <c r="R80" s="216"/>
      <c r="S80" s="61">
        <f t="shared" si="18"/>
        <v>0</v>
      </c>
      <c r="T80" s="96">
        <f t="shared" si="19"/>
        <v>0</v>
      </c>
      <c r="U80" s="61">
        <f t="shared" si="23"/>
        <v>0</v>
      </c>
      <c r="V80" s="96">
        <f t="shared" si="20"/>
        <v>0</v>
      </c>
      <c r="W80" s="209" t="str">
        <f t="shared" si="21"/>
        <v>na</v>
      </c>
      <c r="X80" s="115">
        <f t="shared" si="22"/>
        <v>0</v>
      </c>
    </row>
    <row r="81" spans="1:25" ht="15" customHeight="1" thickBot="1" x14ac:dyDescent="0.25">
      <c r="A81" s="3" t="s">
        <v>141</v>
      </c>
      <c r="B81" s="83" t="s">
        <v>152</v>
      </c>
      <c r="C81" s="3">
        <v>3423601</v>
      </c>
      <c r="D81" s="3" t="s">
        <v>616</v>
      </c>
      <c r="E81" s="189" t="s">
        <v>317</v>
      </c>
      <c r="F81" s="3"/>
      <c r="G81" s="1">
        <v>15062</v>
      </c>
      <c r="H81" s="1" t="s">
        <v>593</v>
      </c>
      <c r="I81" s="1" t="s">
        <v>322</v>
      </c>
      <c r="J81" s="61" t="str">
        <f t="shared" si="13"/>
        <v>GW</v>
      </c>
      <c r="K81" s="61">
        <f t="shared" si="14"/>
        <v>84</v>
      </c>
      <c r="L81" s="65">
        <f t="shared" si="24"/>
        <v>2.3473999999999999</v>
      </c>
      <c r="M81" s="61">
        <f t="shared" si="15"/>
        <v>108</v>
      </c>
      <c r="O81" s="155">
        <v>0</v>
      </c>
      <c r="P81" s="63">
        <f t="shared" si="16"/>
        <v>2.3473999999999999</v>
      </c>
      <c r="Q81" s="64">
        <f t="shared" si="17"/>
        <v>253.51919999999998</v>
      </c>
      <c r="R81" s="216"/>
      <c r="S81" s="61">
        <f t="shared" si="18"/>
        <v>7</v>
      </c>
      <c r="T81" s="96">
        <f t="shared" si="19"/>
        <v>16.431799999999999</v>
      </c>
      <c r="U81" s="61">
        <f t="shared" si="23"/>
        <v>101</v>
      </c>
      <c r="V81" s="96">
        <f t="shared" si="20"/>
        <v>237.0874</v>
      </c>
      <c r="W81" s="209" t="str">
        <f t="shared" si="21"/>
        <v>na</v>
      </c>
      <c r="X81" s="115">
        <f t="shared" si="22"/>
        <v>0</v>
      </c>
    </row>
    <row r="82" spans="1:25" ht="15" customHeight="1" thickBot="1" x14ac:dyDescent="0.25">
      <c r="A82" s="3" t="s">
        <v>141</v>
      </c>
      <c r="B82" s="83" t="s">
        <v>153</v>
      </c>
      <c r="C82" s="3">
        <v>3423701</v>
      </c>
      <c r="D82" s="3" t="s">
        <v>616</v>
      </c>
      <c r="E82" s="189" t="s">
        <v>317</v>
      </c>
      <c r="F82" s="3"/>
      <c r="G82" s="1">
        <v>15062</v>
      </c>
      <c r="H82" s="1" t="s">
        <v>593</v>
      </c>
      <c r="I82" s="1" t="s">
        <v>322</v>
      </c>
      <c r="J82" s="61" t="str">
        <f t="shared" si="13"/>
        <v>GW</v>
      </c>
      <c r="K82" s="61">
        <f t="shared" si="14"/>
        <v>107</v>
      </c>
      <c r="L82" s="65">
        <f t="shared" si="24"/>
        <v>2.3473999999999999</v>
      </c>
      <c r="M82" s="61">
        <f t="shared" si="15"/>
        <v>127</v>
      </c>
      <c r="O82" s="155">
        <v>0</v>
      </c>
      <c r="P82" s="63">
        <f t="shared" si="16"/>
        <v>2.3473999999999999</v>
      </c>
      <c r="Q82" s="64">
        <f t="shared" si="17"/>
        <v>298.1198</v>
      </c>
      <c r="R82" s="216"/>
      <c r="S82" s="61">
        <f t="shared" si="18"/>
        <v>9</v>
      </c>
      <c r="T82" s="96">
        <f t="shared" si="19"/>
        <v>21.1266</v>
      </c>
      <c r="U82" s="61">
        <f t="shared" si="23"/>
        <v>118</v>
      </c>
      <c r="V82" s="96">
        <f t="shared" si="20"/>
        <v>276.9932</v>
      </c>
      <c r="W82" s="209" t="str">
        <f t="shared" si="21"/>
        <v>na</v>
      </c>
      <c r="X82" s="115">
        <f t="shared" si="22"/>
        <v>0</v>
      </c>
    </row>
    <row r="83" spans="1:25" ht="15" customHeight="1" thickBot="1" x14ac:dyDescent="0.25">
      <c r="A83" s="3" t="s">
        <v>141</v>
      </c>
      <c r="B83" s="83" t="s">
        <v>154</v>
      </c>
      <c r="C83" s="3">
        <v>3423801</v>
      </c>
      <c r="D83" s="3" t="s">
        <v>616</v>
      </c>
      <c r="E83" s="189" t="s">
        <v>317</v>
      </c>
      <c r="F83" s="3"/>
      <c r="G83" s="1">
        <v>15062</v>
      </c>
      <c r="H83" s="1" t="s">
        <v>593</v>
      </c>
      <c r="I83" s="1" t="s">
        <v>322</v>
      </c>
      <c r="J83" s="61" t="str">
        <f t="shared" si="13"/>
        <v>GW</v>
      </c>
      <c r="K83" s="61">
        <f t="shared" si="14"/>
        <v>432</v>
      </c>
      <c r="L83" s="65">
        <f t="shared" si="24"/>
        <v>2.3473999999999999</v>
      </c>
      <c r="M83" s="61">
        <f t="shared" si="15"/>
        <v>526</v>
      </c>
      <c r="O83" s="155">
        <v>0</v>
      </c>
      <c r="P83" s="63">
        <f t="shared" si="16"/>
        <v>2.3473999999999999</v>
      </c>
      <c r="Q83" s="64">
        <f t="shared" si="17"/>
        <v>1234.7323999999999</v>
      </c>
      <c r="R83" s="216"/>
      <c r="S83" s="61">
        <f t="shared" si="18"/>
        <v>22</v>
      </c>
      <c r="T83" s="96">
        <f t="shared" si="19"/>
        <v>51.642800000000001</v>
      </c>
      <c r="U83" s="61">
        <f t="shared" si="23"/>
        <v>504</v>
      </c>
      <c r="V83" s="96">
        <f t="shared" si="20"/>
        <v>1183.0896</v>
      </c>
      <c r="W83" s="209" t="str">
        <f t="shared" si="21"/>
        <v>na</v>
      </c>
      <c r="X83" s="115">
        <f t="shared" si="22"/>
        <v>0</v>
      </c>
    </row>
    <row r="84" spans="1:25" ht="15" customHeight="1" thickBot="1" x14ac:dyDescent="0.25">
      <c r="A84" s="3" t="s">
        <v>141</v>
      </c>
      <c r="B84" s="83" t="s">
        <v>157</v>
      </c>
      <c r="C84" s="3">
        <v>3429601</v>
      </c>
      <c r="D84" s="3" t="s">
        <v>616</v>
      </c>
      <c r="E84" s="189" t="s">
        <v>317</v>
      </c>
      <c r="F84" s="3"/>
      <c r="G84" s="1">
        <v>15062</v>
      </c>
      <c r="H84" s="1" t="s">
        <v>593</v>
      </c>
      <c r="I84" s="1" t="s">
        <v>322</v>
      </c>
      <c r="J84" s="61" t="str">
        <f t="shared" si="13"/>
        <v>GW</v>
      </c>
      <c r="K84" s="61">
        <f t="shared" si="14"/>
        <v>208</v>
      </c>
      <c r="L84" s="65">
        <f t="shared" si="24"/>
        <v>2.3473999999999999</v>
      </c>
      <c r="M84" s="61">
        <f t="shared" si="15"/>
        <v>275</v>
      </c>
      <c r="O84" s="155">
        <v>0</v>
      </c>
      <c r="P84" s="63">
        <f t="shared" si="16"/>
        <v>2.3473999999999999</v>
      </c>
      <c r="Q84" s="64">
        <f t="shared" si="17"/>
        <v>645.53499999999997</v>
      </c>
      <c r="R84" s="216"/>
      <c r="S84" s="61">
        <f t="shared" si="18"/>
        <v>29</v>
      </c>
      <c r="T84" s="96">
        <f t="shared" si="19"/>
        <v>68.074600000000004</v>
      </c>
      <c r="U84" s="61">
        <f t="shared" si="23"/>
        <v>246</v>
      </c>
      <c r="V84" s="96">
        <f t="shared" si="20"/>
        <v>577.46039999999994</v>
      </c>
      <c r="W84" s="209" t="str">
        <f t="shared" si="21"/>
        <v>na</v>
      </c>
      <c r="X84" s="115">
        <f t="shared" si="22"/>
        <v>0</v>
      </c>
    </row>
    <row r="85" spans="1:25" ht="15" customHeight="1" thickBot="1" x14ac:dyDescent="0.25">
      <c r="A85" s="3" t="s">
        <v>296</v>
      </c>
      <c r="B85" s="83" t="s">
        <v>299</v>
      </c>
      <c r="C85" s="3">
        <v>3478201</v>
      </c>
      <c r="D85" s="3" t="s">
        <v>616</v>
      </c>
      <c r="E85" s="189" t="s">
        <v>317</v>
      </c>
      <c r="F85" s="3"/>
      <c r="G85" s="1">
        <v>15062</v>
      </c>
      <c r="H85" s="1" t="s">
        <v>593</v>
      </c>
      <c r="I85" s="1" t="s">
        <v>322</v>
      </c>
      <c r="J85" s="61" t="str">
        <f t="shared" si="13"/>
        <v>TW</v>
      </c>
      <c r="K85" s="61">
        <f t="shared" si="14"/>
        <v>107</v>
      </c>
      <c r="L85" s="65">
        <f t="shared" si="24"/>
        <v>2.3473999999999999</v>
      </c>
      <c r="M85" s="61">
        <f t="shared" si="15"/>
        <v>135</v>
      </c>
      <c r="O85" s="155">
        <v>0</v>
      </c>
      <c r="P85" s="63">
        <f t="shared" si="16"/>
        <v>2.3473999999999999</v>
      </c>
      <c r="Q85" s="64">
        <f t="shared" si="17"/>
        <v>316.899</v>
      </c>
      <c r="R85" s="216"/>
      <c r="S85" s="61">
        <f t="shared" si="18"/>
        <v>10</v>
      </c>
      <c r="T85" s="96">
        <f t="shared" si="19"/>
        <v>23.474</v>
      </c>
      <c r="U85" s="61">
        <f t="shared" si="23"/>
        <v>125</v>
      </c>
      <c r="V85" s="96">
        <f t="shared" si="20"/>
        <v>293.42500000000001</v>
      </c>
      <c r="W85" s="209" t="str">
        <f t="shared" si="21"/>
        <v>na</v>
      </c>
      <c r="X85" s="115">
        <f t="shared" si="22"/>
        <v>0</v>
      </c>
    </row>
    <row r="86" spans="1:25" ht="15" customHeight="1" thickBot="1" x14ac:dyDescent="0.25">
      <c r="A86" s="3" t="s">
        <v>141</v>
      </c>
      <c r="B86" s="83" t="s">
        <v>158</v>
      </c>
      <c r="C86" s="3">
        <v>3502801</v>
      </c>
      <c r="D86" s="3" t="s">
        <v>616</v>
      </c>
      <c r="E86" s="189" t="s">
        <v>317</v>
      </c>
      <c r="F86" s="3"/>
      <c r="G86" s="1">
        <v>15062</v>
      </c>
      <c r="H86" s="1" t="s">
        <v>593</v>
      </c>
      <c r="I86" s="1" t="s">
        <v>322</v>
      </c>
      <c r="J86" s="61" t="str">
        <f t="shared" si="13"/>
        <v>GW</v>
      </c>
      <c r="K86" s="61">
        <f t="shared" si="14"/>
        <v>0</v>
      </c>
      <c r="L86" s="65">
        <f t="shared" si="24"/>
        <v>2.3473999999999999</v>
      </c>
      <c r="M86" s="61">
        <f t="shared" si="15"/>
        <v>0</v>
      </c>
      <c r="O86" s="155">
        <v>0</v>
      </c>
      <c r="P86" s="63">
        <f t="shared" si="16"/>
        <v>2.3473999999999999</v>
      </c>
      <c r="Q86" s="64">
        <f t="shared" si="17"/>
        <v>0</v>
      </c>
      <c r="R86" s="216"/>
      <c r="S86" s="61">
        <f t="shared" si="18"/>
        <v>0</v>
      </c>
      <c r="T86" s="96">
        <f t="shared" si="19"/>
        <v>0</v>
      </c>
      <c r="U86" s="61">
        <f t="shared" si="23"/>
        <v>0</v>
      </c>
      <c r="V86" s="96">
        <f t="shared" si="20"/>
        <v>0</v>
      </c>
      <c r="W86" s="209" t="str">
        <f t="shared" si="21"/>
        <v>na</v>
      </c>
      <c r="X86" s="115">
        <f t="shared" si="22"/>
        <v>0</v>
      </c>
    </row>
    <row r="87" spans="1:25" ht="15" customHeight="1" thickBot="1" x14ac:dyDescent="0.25">
      <c r="A87" s="3" t="s">
        <v>141</v>
      </c>
      <c r="B87" s="83" t="s">
        <v>155</v>
      </c>
      <c r="C87" s="3">
        <v>3428401</v>
      </c>
      <c r="D87" s="3" t="s">
        <v>642</v>
      </c>
      <c r="E87" s="189" t="s">
        <v>317</v>
      </c>
      <c r="F87" s="3"/>
      <c r="G87" s="1">
        <v>15062</v>
      </c>
      <c r="H87" s="1" t="s">
        <v>593</v>
      </c>
      <c r="I87" s="1" t="s">
        <v>322</v>
      </c>
      <c r="J87" s="61" t="str">
        <f t="shared" si="13"/>
        <v>GW</v>
      </c>
      <c r="K87" s="61">
        <f t="shared" si="14"/>
        <v>129</v>
      </c>
      <c r="L87" s="65">
        <f t="shared" si="24"/>
        <v>2.3473999999999999</v>
      </c>
      <c r="M87" s="61">
        <f t="shared" si="15"/>
        <v>159</v>
      </c>
      <c r="O87" s="155">
        <v>0</v>
      </c>
      <c r="P87" s="63">
        <f t="shared" si="16"/>
        <v>2.3473999999999999</v>
      </c>
      <c r="Q87" s="64">
        <f t="shared" si="17"/>
        <v>373.23660000000001</v>
      </c>
      <c r="R87" s="216"/>
      <c r="S87" s="61">
        <f t="shared" si="18"/>
        <v>12</v>
      </c>
      <c r="T87" s="96">
        <f t="shared" si="19"/>
        <v>28.168799999999997</v>
      </c>
      <c r="U87" s="61">
        <f t="shared" si="23"/>
        <v>147</v>
      </c>
      <c r="V87" s="96">
        <f t="shared" si="20"/>
        <v>345.06779999999998</v>
      </c>
      <c r="W87" s="209" t="str">
        <f t="shared" si="21"/>
        <v>na</v>
      </c>
      <c r="X87" s="115">
        <f t="shared" si="22"/>
        <v>0</v>
      </c>
    </row>
    <row r="88" spans="1:25" ht="15" customHeight="1" thickBot="1" x14ac:dyDescent="0.25">
      <c r="A88" s="3" t="s">
        <v>141</v>
      </c>
      <c r="B88" s="83" t="s">
        <v>156</v>
      </c>
      <c r="C88" s="3">
        <v>3429001</v>
      </c>
      <c r="D88" s="3" t="s">
        <v>642</v>
      </c>
      <c r="E88" s="189" t="s">
        <v>317</v>
      </c>
      <c r="F88" s="3"/>
      <c r="G88" s="1">
        <v>15062</v>
      </c>
      <c r="H88" s="1" t="s">
        <v>593</v>
      </c>
      <c r="I88" s="1" t="s">
        <v>322</v>
      </c>
      <c r="J88" s="61" t="str">
        <f t="shared" si="13"/>
        <v>GW</v>
      </c>
      <c r="K88" s="61">
        <f t="shared" si="14"/>
        <v>564</v>
      </c>
      <c r="L88" s="65">
        <f t="shared" si="24"/>
        <v>2.3473999999999999</v>
      </c>
      <c r="M88" s="61">
        <f t="shared" si="15"/>
        <v>692</v>
      </c>
      <c r="O88" s="155">
        <v>0</v>
      </c>
      <c r="P88" s="63">
        <f t="shared" si="16"/>
        <v>2.3473999999999999</v>
      </c>
      <c r="Q88" s="64">
        <f t="shared" si="17"/>
        <v>1624.4007999999999</v>
      </c>
      <c r="R88" s="216"/>
      <c r="S88" s="61">
        <f t="shared" si="18"/>
        <v>38</v>
      </c>
      <c r="T88" s="96">
        <f t="shared" si="19"/>
        <v>89.2012</v>
      </c>
      <c r="U88" s="61">
        <f t="shared" si="23"/>
        <v>654</v>
      </c>
      <c r="V88" s="96">
        <f t="shared" si="20"/>
        <v>1535.1995999999999</v>
      </c>
      <c r="W88" s="209" t="str">
        <f t="shared" si="21"/>
        <v>na</v>
      </c>
      <c r="X88" s="115">
        <f t="shared" si="22"/>
        <v>0</v>
      </c>
    </row>
    <row r="89" spans="1:25" s="29" customFormat="1" ht="15" customHeight="1" thickBot="1" x14ac:dyDescent="0.25">
      <c r="A89" s="34" t="s">
        <v>141</v>
      </c>
      <c r="B89" s="169" t="s">
        <v>270</v>
      </c>
      <c r="C89" s="34">
        <v>3284701</v>
      </c>
      <c r="D89" s="3" t="s">
        <v>24</v>
      </c>
      <c r="E89" s="189" t="s">
        <v>317</v>
      </c>
      <c r="F89" s="34" t="s">
        <v>25</v>
      </c>
      <c r="G89" s="34">
        <v>73632</v>
      </c>
      <c r="H89" s="34" t="s">
        <v>673</v>
      </c>
      <c r="I89" s="34" t="s">
        <v>323</v>
      </c>
      <c r="J89" s="170" t="str">
        <f>IF(ISNA(VLOOKUP(B89,cngdata,7,FALSE)),"na",VLOOKUP(B89,cngdata,7,FALSE))</f>
        <v>GW</v>
      </c>
      <c r="K89" s="170">
        <f>IF(ISNA(VLOOKUP(B89,cngdata,13,FALSE)),"na",VLOOKUP(B89,cngdata,13,FALSE))</f>
        <v>61</v>
      </c>
      <c r="L89" s="171">
        <f>L$2*99%</f>
        <v>2.3957999999999999</v>
      </c>
      <c r="M89" s="170">
        <f>IF(ISNA(VLOOKUP(B89,cngdata,14,FALSE)),0,VLOOKUP(B89,cngdata,14,FALSE))</f>
        <v>84</v>
      </c>
      <c r="O89" s="34">
        <v>0</v>
      </c>
      <c r="P89" s="172">
        <f t="shared" si="16"/>
        <v>2.3957999999999999</v>
      </c>
      <c r="Q89" s="173">
        <f t="shared" si="17"/>
        <v>201.24719999999999</v>
      </c>
      <c r="R89" s="216"/>
      <c r="S89" s="61">
        <f t="shared" si="18"/>
        <v>17</v>
      </c>
      <c r="T89" s="96">
        <f t="shared" si="19"/>
        <v>40.7286</v>
      </c>
      <c r="U89" s="61">
        <f t="shared" si="23"/>
        <v>67</v>
      </c>
      <c r="V89" s="96">
        <f t="shared" si="20"/>
        <v>160.51859999999999</v>
      </c>
      <c r="W89" s="209" t="str">
        <f t="shared" si="21"/>
        <v>na</v>
      </c>
      <c r="X89" s="115">
        <f t="shared" si="22"/>
        <v>0</v>
      </c>
      <c r="Y89" s="29" t="s">
        <v>380</v>
      </c>
    </row>
    <row r="90" spans="1:25" ht="15" customHeight="1" thickBot="1" x14ac:dyDescent="0.25">
      <c r="A90" s="1" t="s">
        <v>427</v>
      </c>
      <c r="B90" s="1" t="s">
        <v>428</v>
      </c>
      <c r="C90" s="42">
        <v>2096101</v>
      </c>
      <c r="D90" s="3" t="s">
        <v>429</v>
      </c>
      <c r="E90" s="189" t="s">
        <v>317</v>
      </c>
      <c r="F90" s="1" t="s">
        <v>429</v>
      </c>
      <c r="G90" s="42">
        <v>211174</v>
      </c>
      <c r="H90" s="42"/>
      <c r="I90" s="68" t="s">
        <v>550</v>
      </c>
      <c r="J90" s="61" t="str">
        <f>IF(ISNA(VLOOKUP(B90,cngdata,7,FALSE)),"na",VLOOKUP(B90,cngdata,7,FALSE))</f>
        <v>GD</v>
      </c>
      <c r="K90" s="61">
        <f>IF(ISNA(VLOOKUP(B90,cngdata,13,FALSE)),"na",VLOOKUP(B90,cngdata,13,FALSE))</f>
        <v>0</v>
      </c>
      <c r="L90" s="65">
        <f>$L$2</f>
        <v>2.42</v>
      </c>
      <c r="M90" s="61">
        <f>IF(ISNA(VLOOKUP(B90,cngdata,14,FALSE)),0,VLOOKUP(B90,cngdata,14,FALSE))</f>
        <v>0</v>
      </c>
      <c r="O90" s="155">
        <v>0</v>
      </c>
      <c r="P90" s="63">
        <f t="shared" si="16"/>
        <v>2.42</v>
      </c>
      <c r="Q90" s="64">
        <f t="shared" si="17"/>
        <v>0</v>
      </c>
      <c r="R90" s="216"/>
      <c r="S90" s="61">
        <f t="shared" si="18"/>
        <v>0</v>
      </c>
      <c r="T90" s="96">
        <f t="shared" si="19"/>
        <v>0</v>
      </c>
      <c r="U90" s="61">
        <f t="shared" si="23"/>
        <v>0</v>
      </c>
      <c r="V90" s="96">
        <f t="shared" si="20"/>
        <v>0</v>
      </c>
      <c r="W90" s="209" t="str">
        <f t="shared" si="21"/>
        <v>na</v>
      </c>
      <c r="X90" s="115">
        <f t="shared" si="22"/>
        <v>0</v>
      </c>
    </row>
    <row r="91" spans="1:25" ht="15" customHeight="1" thickBot="1" x14ac:dyDescent="0.25">
      <c r="A91" s="1" t="s">
        <v>427</v>
      </c>
      <c r="B91" t="s">
        <v>584</v>
      </c>
      <c r="C91">
        <v>2159601</v>
      </c>
      <c r="D91" s="3" t="s">
        <v>429</v>
      </c>
      <c r="E91" s="189" t="s">
        <v>317</v>
      </c>
      <c r="F91" s="1" t="s">
        <v>429</v>
      </c>
      <c r="G91" s="42">
        <v>211174</v>
      </c>
      <c r="H91" s="42"/>
      <c r="I91" s="68" t="s">
        <v>550</v>
      </c>
      <c r="J91" s="61" t="str">
        <f t="shared" si="13"/>
        <v>GD</v>
      </c>
      <c r="K91" s="61">
        <f t="shared" si="14"/>
        <v>0</v>
      </c>
      <c r="L91" s="65">
        <f>$L$2</f>
        <v>2.42</v>
      </c>
      <c r="M91" s="61">
        <f t="shared" si="15"/>
        <v>97</v>
      </c>
      <c r="O91" s="155">
        <v>0</v>
      </c>
      <c r="P91" s="63">
        <f t="shared" si="16"/>
        <v>2.42</v>
      </c>
      <c r="Q91" s="64">
        <f t="shared" si="17"/>
        <v>234.73999999999998</v>
      </c>
      <c r="R91" s="216"/>
      <c r="S91" s="61">
        <f t="shared" si="18"/>
        <v>97</v>
      </c>
      <c r="T91" s="96">
        <f t="shared" si="19"/>
        <v>234.73999999999998</v>
      </c>
      <c r="U91" s="61">
        <f t="shared" si="23"/>
        <v>0</v>
      </c>
      <c r="V91" s="96">
        <f t="shared" si="20"/>
        <v>0</v>
      </c>
      <c r="W91" s="209" t="str">
        <f t="shared" si="21"/>
        <v>na</v>
      </c>
      <c r="X91" s="115">
        <f t="shared" si="22"/>
        <v>0</v>
      </c>
    </row>
    <row r="92" spans="1:25" ht="15" customHeight="1" thickBot="1" x14ac:dyDescent="0.25">
      <c r="A92" s="1" t="s">
        <v>418</v>
      </c>
      <c r="B92" s="1" t="s">
        <v>524</v>
      </c>
      <c r="C92" s="42">
        <v>4333601</v>
      </c>
      <c r="D92" s="3" t="s">
        <v>557</v>
      </c>
      <c r="E92" s="189" t="s">
        <v>317</v>
      </c>
      <c r="F92" s="1" t="s">
        <v>557</v>
      </c>
      <c r="G92" s="42">
        <v>212194</v>
      </c>
      <c r="H92" s="42"/>
      <c r="I92" s="42" t="s">
        <v>359</v>
      </c>
      <c r="J92" s="61" t="str">
        <f t="shared" si="13"/>
        <v>na</v>
      </c>
      <c r="K92" s="61" t="str">
        <f t="shared" si="14"/>
        <v>na</v>
      </c>
      <c r="L92" s="65">
        <f>$L$2+0.01</f>
        <v>2.4299999999999997</v>
      </c>
      <c r="M92" s="61">
        <f t="shared" si="15"/>
        <v>0</v>
      </c>
      <c r="O92" s="155">
        <v>0</v>
      </c>
      <c r="P92" s="63">
        <f t="shared" si="16"/>
        <v>2.4299999999999997</v>
      </c>
      <c r="Q92" s="64">
        <f t="shared" si="17"/>
        <v>0</v>
      </c>
      <c r="R92" s="216"/>
      <c r="S92" s="61">
        <f t="shared" si="18"/>
        <v>0</v>
      </c>
      <c r="T92" s="96">
        <f t="shared" si="19"/>
        <v>0</v>
      </c>
      <c r="U92" s="61">
        <f t="shared" si="23"/>
        <v>0</v>
      </c>
      <c r="V92" s="96">
        <f t="shared" si="20"/>
        <v>0</v>
      </c>
      <c r="W92" s="209" t="str">
        <f t="shared" si="21"/>
        <v>na</v>
      </c>
      <c r="X92" s="115">
        <f t="shared" si="22"/>
        <v>0</v>
      </c>
    </row>
    <row r="93" spans="1:25" ht="15" customHeight="1" thickBot="1" x14ac:dyDescent="0.25">
      <c r="A93" s="1" t="s">
        <v>514</v>
      </c>
      <c r="B93" s="1" t="s">
        <v>515</v>
      </c>
      <c r="C93" s="42">
        <v>4085901</v>
      </c>
      <c r="D93" s="3" t="s">
        <v>437</v>
      </c>
      <c r="E93" s="189" t="s">
        <v>317</v>
      </c>
      <c r="F93" s="1" t="s">
        <v>437</v>
      </c>
      <c r="G93" s="42" t="s">
        <v>317</v>
      </c>
      <c r="H93" s="42"/>
      <c r="I93" s="42" t="s">
        <v>317</v>
      </c>
      <c r="J93" s="61" t="str">
        <f t="shared" si="13"/>
        <v>GW</v>
      </c>
      <c r="K93" s="61">
        <f t="shared" si="14"/>
        <v>88</v>
      </c>
      <c r="L93" s="65">
        <f>$L$2</f>
        <v>2.42</v>
      </c>
      <c r="M93" s="61">
        <f t="shared" si="15"/>
        <v>101</v>
      </c>
      <c r="O93" s="155">
        <v>0</v>
      </c>
      <c r="P93" s="63">
        <f t="shared" si="16"/>
        <v>2.42</v>
      </c>
      <c r="Q93" s="164">
        <f t="shared" si="17"/>
        <v>244.42</v>
      </c>
      <c r="R93" s="216"/>
      <c r="S93" s="61">
        <f t="shared" si="18"/>
        <v>7</v>
      </c>
      <c r="T93" s="96">
        <f t="shared" si="19"/>
        <v>16.939999999999998</v>
      </c>
      <c r="U93" s="61">
        <f>IF(ISNA(VLOOKUP(B93,SplitVol,6,FALSE)),0,VLOOKUP(B93,SplitVol,6,FALSE))-1</f>
        <v>94</v>
      </c>
      <c r="V93" s="96">
        <f t="shared" si="20"/>
        <v>227.48</v>
      </c>
      <c r="W93" s="209">
        <f t="shared" si="21"/>
        <v>37228</v>
      </c>
      <c r="X93" s="115">
        <f t="shared" si="22"/>
        <v>0</v>
      </c>
    </row>
    <row r="94" spans="1:25" ht="15" customHeight="1" thickBot="1" x14ac:dyDescent="0.25">
      <c r="A94" s="1" t="s">
        <v>435</v>
      </c>
      <c r="B94" s="1" t="s">
        <v>459</v>
      </c>
      <c r="C94" s="42">
        <v>3139001</v>
      </c>
      <c r="D94" s="3" t="s">
        <v>437</v>
      </c>
      <c r="E94" s="189" t="s">
        <v>317</v>
      </c>
      <c r="F94" s="1" t="s">
        <v>437</v>
      </c>
      <c r="G94" s="42" t="s">
        <v>317</v>
      </c>
      <c r="H94" s="42"/>
      <c r="I94" s="42" t="s">
        <v>317</v>
      </c>
      <c r="J94" s="61" t="str">
        <f t="shared" si="13"/>
        <v>GW</v>
      </c>
      <c r="K94" s="61">
        <f t="shared" si="14"/>
        <v>146</v>
      </c>
      <c r="L94" s="65">
        <f>$L$2</f>
        <v>2.42</v>
      </c>
      <c r="M94" s="61">
        <f t="shared" si="15"/>
        <v>211</v>
      </c>
      <c r="O94" s="155">
        <v>0</v>
      </c>
      <c r="P94" s="63">
        <f t="shared" si="16"/>
        <v>2.42</v>
      </c>
      <c r="Q94" s="164">
        <f t="shared" si="17"/>
        <v>510.62</v>
      </c>
      <c r="R94" s="216"/>
      <c r="S94" s="61">
        <f t="shared" si="18"/>
        <v>17</v>
      </c>
      <c r="T94" s="96">
        <f t="shared" si="19"/>
        <v>41.14</v>
      </c>
      <c r="U94" s="61">
        <f>IF(ISNA(VLOOKUP(B94,SplitVol,6,FALSE)),0,VLOOKUP(B94,SplitVol,6,FALSE))+1</f>
        <v>194</v>
      </c>
      <c r="V94" s="96">
        <f t="shared" si="20"/>
        <v>469.47999999999996</v>
      </c>
      <c r="W94" s="209">
        <f t="shared" si="21"/>
        <v>37228</v>
      </c>
      <c r="X94" s="115">
        <f t="shared" si="22"/>
        <v>0</v>
      </c>
    </row>
    <row r="95" spans="1:25" ht="15" customHeight="1" thickBot="1" x14ac:dyDescent="0.25">
      <c r="A95" s="1" t="s">
        <v>435</v>
      </c>
      <c r="B95" s="1" t="s">
        <v>436</v>
      </c>
      <c r="C95" s="42">
        <v>3017201</v>
      </c>
      <c r="D95" s="3" t="s">
        <v>437</v>
      </c>
      <c r="E95" s="189" t="s">
        <v>317</v>
      </c>
      <c r="F95" s="1" t="s">
        <v>437</v>
      </c>
      <c r="G95" s="42" t="s">
        <v>317</v>
      </c>
      <c r="H95" s="42"/>
      <c r="I95" s="42" t="s">
        <v>317</v>
      </c>
      <c r="J95" s="61" t="str">
        <f t="shared" si="13"/>
        <v>GW</v>
      </c>
      <c r="K95" s="61">
        <f t="shared" si="14"/>
        <v>0</v>
      </c>
      <c r="L95" s="65">
        <f>$L$2</f>
        <v>2.42</v>
      </c>
      <c r="M95" s="61">
        <f t="shared" si="15"/>
        <v>180</v>
      </c>
      <c r="O95" s="155">
        <v>0</v>
      </c>
      <c r="P95" s="63">
        <f t="shared" si="16"/>
        <v>2.42</v>
      </c>
      <c r="Q95" s="64">
        <f t="shared" si="17"/>
        <v>435.59999999999997</v>
      </c>
      <c r="R95" s="216"/>
      <c r="S95" s="61">
        <f t="shared" si="18"/>
        <v>9</v>
      </c>
      <c r="T95" s="96">
        <f t="shared" si="19"/>
        <v>21.78</v>
      </c>
      <c r="U95" s="61">
        <f>IF(ISNA(VLOOKUP(B95,SplitVol,6,FALSE)),0,VLOOKUP(B95,SplitVol,6,FALSE))-1</f>
        <v>171</v>
      </c>
      <c r="V95" s="96">
        <f t="shared" si="20"/>
        <v>413.82</v>
      </c>
      <c r="W95" s="209">
        <f t="shared" si="21"/>
        <v>37228</v>
      </c>
      <c r="X95" s="115">
        <f t="shared" si="22"/>
        <v>0</v>
      </c>
    </row>
    <row r="96" spans="1:25" ht="15" customHeight="1" thickBot="1" x14ac:dyDescent="0.25">
      <c r="A96" s="3" t="s">
        <v>310</v>
      </c>
      <c r="B96" s="83" t="s">
        <v>311</v>
      </c>
      <c r="C96" s="3">
        <v>3134901</v>
      </c>
      <c r="D96" s="192" t="s">
        <v>366</v>
      </c>
      <c r="E96" s="193">
        <v>37256</v>
      </c>
      <c r="F96" s="66" t="s">
        <v>347</v>
      </c>
      <c r="G96" s="66">
        <v>2414</v>
      </c>
      <c r="H96" s="66" t="s">
        <v>628</v>
      </c>
      <c r="I96" s="60" t="s">
        <v>375</v>
      </c>
      <c r="J96" s="109" t="str">
        <f t="shared" si="13"/>
        <v>TD</v>
      </c>
      <c r="K96" s="109">
        <f t="shared" si="14"/>
        <v>591</v>
      </c>
      <c r="L96" s="142">
        <f>+CNGPricing!$H$79</f>
        <v>5.8</v>
      </c>
      <c r="M96" s="109">
        <f t="shared" si="15"/>
        <v>821</v>
      </c>
      <c r="O96" s="155">
        <v>0</v>
      </c>
      <c r="P96" s="63">
        <f t="shared" si="16"/>
        <v>5.8</v>
      </c>
      <c r="Q96" s="64">
        <f t="shared" si="17"/>
        <v>4761.8</v>
      </c>
      <c r="R96" s="216"/>
      <c r="S96" s="61">
        <f t="shared" si="18"/>
        <v>56</v>
      </c>
      <c r="T96" s="96">
        <f t="shared" si="19"/>
        <v>324.8</v>
      </c>
      <c r="U96" s="61">
        <f t="shared" si="23"/>
        <v>765</v>
      </c>
      <c r="V96" s="96">
        <f t="shared" si="20"/>
        <v>4437</v>
      </c>
      <c r="W96" s="209">
        <f t="shared" si="21"/>
        <v>37256</v>
      </c>
      <c r="X96" s="115">
        <f t="shared" si="22"/>
        <v>0</v>
      </c>
    </row>
    <row r="97" spans="1:24" ht="15" customHeight="1" thickBot="1" x14ac:dyDescent="0.25">
      <c r="A97" s="1" t="s">
        <v>113</v>
      </c>
      <c r="B97" s="1" t="s">
        <v>365</v>
      </c>
      <c r="C97" s="1">
        <v>4132101</v>
      </c>
      <c r="D97" s="192" t="s">
        <v>366</v>
      </c>
      <c r="E97" s="193">
        <v>37256</v>
      </c>
      <c r="F97" s="66"/>
      <c r="G97" s="33">
        <v>375319</v>
      </c>
      <c r="H97" s="33"/>
      <c r="I97" s="39" t="s">
        <v>376</v>
      </c>
      <c r="J97" s="109" t="str">
        <f t="shared" si="13"/>
        <v>GD</v>
      </c>
      <c r="K97" s="109">
        <f t="shared" si="14"/>
        <v>69</v>
      </c>
      <c r="L97" s="142">
        <f>+CNGPricing!$H$79</f>
        <v>5.8</v>
      </c>
      <c r="M97" s="109">
        <f t="shared" si="15"/>
        <v>74</v>
      </c>
      <c r="O97" s="155">
        <v>0</v>
      </c>
      <c r="P97" s="63">
        <f t="shared" si="16"/>
        <v>5.8</v>
      </c>
      <c r="Q97" s="64">
        <f t="shared" si="17"/>
        <v>429.2</v>
      </c>
      <c r="R97" s="216"/>
      <c r="S97" s="61">
        <f t="shared" si="18"/>
        <v>31</v>
      </c>
      <c r="T97" s="96">
        <f t="shared" si="19"/>
        <v>179.79999999999998</v>
      </c>
      <c r="U97" s="61">
        <f>IF(ISNA(VLOOKUP(B97,SplitVol,6,FALSE)),0,VLOOKUP(B97,SplitVol,6,FALSE))-1</f>
        <v>43</v>
      </c>
      <c r="V97" s="96">
        <f t="shared" si="20"/>
        <v>249.4</v>
      </c>
      <c r="W97" s="209">
        <f t="shared" si="21"/>
        <v>37256</v>
      </c>
      <c r="X97" s="115">
        <f t="shared" si="22"/>
        <v>0</v>
      </c>
    </row>
    <row r="98" spans="1:24" ht="15" customHeight="1" thickBot="1" x14ac:dyDescent="0.25">
      <c r="A98" s="1" t="s">
        <v>113</v>
      </c>
      <c r="B98" s="1" t="s">
        <v>367</v>
      </c>
      <c r="C98" s="1">
        <v>4132201</v>
      </c>
      <c r="D98" s="192" t="s">
        <v>366</v>
      </c>
      <c r="E98" s="193">
        <v>37256</v>
      </c>
      <c r="F98" s="66"/>
      <c r="G98" s="33">
        <v>375319</v>
      </c>
      <c r="H98" s="33"/>
      <c r="I98" s="39" t="s">
        <v>376</v>
      </c>
      <c r="J98" s="109" t="str">
        <f t="shared" si="13"/>
        <v>GD</v>
      </c>
      <c r="K98" s="109">
        <f t="shared" si="14"/>
        <v>24</v>
      </c>
      <c r="L98" s="142">
        <f>+CNGPricing!$H$79</f>
        <v>5.8</v>
      </c>
      <c r="M98" s="109">
        <f t="shared" si="15"/>
        <v>28</v>
      </c>
      <c r="O98" s="155">
        <v>0</v>
      </c>
      <c r="P98" s="63">
        <f t="shared" si="16"/>
        <v>5.8</v>
      </c>
      <c r="Q98" s="64">
        <f t="shared" si="17"/>
        <v>162.4</v>
      </c>
      <c r="R98" s="216"/>
      <c r="S98" s="61">
        <f t="shared" si="18"/>
        <v>4</v>
      </c>
      <c r="T98" s="96">
        <f t="shared" si="19"/>
        <v>23.2</v>
      </c>
      <c r="U98" s="61">
        <f t="shared" si="23"/>
        <v>24</v>
      </c>
      <c r="V98" s="96">
        <f t="shared" si="20"/>
        <v>139.19999999999999</v>
      </c>
      <c r="W98" s="209">
        <f t="shared" si="21"/>
        <v>37256</v>
      </c>
      <c r="X98" s="115">
        <f t="shared" si="22"/>
        <v>0</v>
      </c>
    </row>
    <row r="99" spans="1:24" ht="15" customHeight="1" thickBot="1" x14ac:dyDescent="0.25">
      <c r="A99" s="1" t="s">
        <v>113</v>
      </c>
      <c r="B99" s="1" t="s">
        <v>368</v>
      </c>
      <c r="C99" s="1">
        <v>4134301</v>
      </c>
      <c r="D99" s="192" t="s">
        <v>366</v>
      </c>
      <c r="E99" s="193">
        <v>37256</v>
      </c>
      <c r="F99" s="66"/>
      <c r="G99" s="33">
        <v>375319</v>
      </c>
      <c r="H99" s="33"/>
      <c r="I99" s="39" t="s">
        <v>376</v>
      </c>
      <c r="J99" s="109" t="str">
        <f t="shared" si="13"/>
        <v>GD</v>
      </c>
      <c r="K99" s="109">
        <f t="shared" si="14"/>
        <v>13</v>
      </c>
      <c r="L99" s="142">
        <f>+CNGPricing!$H$79</f>
        <v>5.8</v>
      </c>
      <c r="M99" s="109">
        <f t="shared" si="15"/>
        <v>12</v>
      </c>
      <c r="O99" s="155">
        <v>0</v>
      </c>
      <c r="P99" s="63">
        <f t="shared" si="16"/>
        <v>5.8</v>
      </c>
      <c r="Q99" s="64">
        <f t="shared" si="17"/>
        <v>69.599999999999994</v>
      </c>
      <c r="R99" s="216"/>
      <c r="S99" s="61">
        <f t="shared" si="18"/>
        <v>5</v>
      </c>
      <c r="T99" s="96">
        <f t="shared" si="19"/>
        <v>29</v>
      </c>
      <c r="U99" s="61">
        <f>IF(ISNA(VLOOKUP(B99,SplitVol,6,FALSE)),0,VLOOKUP(B99,SplitVol,6,FALSE))+1</f>
        <v>7</v>
      </c>
      <c r="V99" s="96">
        <f t="shared" si="20"/>
        <v>40.6</v>
      </c>
      <c r="W99" s="209">
        <f t="shared" si="21"/>
        <v>37256</v>
      </c>
      <c r="X99" s="115">
        <f t="shared" si="22"/>
        <v>0</v>
      </c>
    </row>
    <row r="100" spans="1:24" ht="15" customHeight="1" thickBot="1" x14ac:dyDescent="0.25">
      <c r="A100" s="1" t="s">
        <v>113</v>
      </c>
      <c r="B100" s="1" t="s">
        <v>369</v>
      </c>
      <c r="C100" s="1">
        <v>4137901</v>
      </c>
      <c r="D100" s="192" t="s">
        <v>366</v>
      </c>
      <c r="E100" s="193">
        <v>37256</v>
      </c>
      <c r="F100" s="66"/>
      <c r="G100" s="33">
        <v>375319</v>
      </c>
      <c r="H100" s="33"/>
      <c r="I100" s="39" t="s">
        <v>376</v>
      </c>
      <c r="J100" s="109" t="str">
        <f t="shared" si="13"/>
        <v>GD</v>
      </c>
      <c r="K100" s="109">
        <f t="shared" si="14"/>
        <v>44</v>
      </c>
      <c r="L100" s="142">
        <f>+CNGPricing!$H$79</f>
        <v>5.8</v>
      </c>
      <c r="M100" s="109">
        <f t="shared" si="15"/>
        <v>48</v>
      </c>
      <c r="O100" s="155">
        <v>0</v>
      </c>
      <c r="P100" s="63">
        <f t="shared" si="16"/>
        <v>5.8</v>
      </c>
      <c r="Q100" s="64">
        <f t="shared" si="17"/>
        <v>278.39999999999998</v>
      </c>
      <c r="R100" s="216"/>
      <c r="S100" s="61">
        <f t="shared" si="18"/>
        <v>5</v>
      </c>
      <c r="T100" s="96">
        <f t="shared" si="19"/>
        <v>29</v>
      </c>
      <c r="U100" s="61">
        <f t="shared" si="23"/>
        <v>43</v>
      </c>
      <c r="V100" s="96">
        <f t="shared" si="20"/>
        <v>249.4</v>
      </c>
      <c r="W100" s="209">
        <f t="shared" si="21"/>
        <v>37256</v>
      </c>
      <c r="X100" s="115">
        <f t="shared" si="22"/>
        <v>0</v>
      </c>
    </row>
    <row r="101" spans="1:24" ht="15" customHeight="1" thickBot="1" x14ac:dyDescent="0.25">
      <c r="A101" s="1" t="s">
        <v>113</v>
      </c>
      <c r="B101" s="1" t="s">
        <v>370</v>
      </c>
      <c r="C101" s="1">
        <v>4235001</v>
      </c>
      <c r="D101" s="192" t="s">
        <v>366</v>
      </c>
      <c r="E101" s="193">
        <v>37256</v>
      </c>
      <c r="F101" s="66"/>
      <c r="G101" s="33">
        <v>375319</v>
      </c>
      <c r="H101" s="33"/>
      <c r="I101" s="39" t="s">
        <v>376</v>
      </c>
      <c r="J101" s="109" t="str">
        <f t="shared" si="13"/>
        <v>GD</v>
      </c>
      <c r="K101" s="109">
        <f t="shared" si="14"/>
        <v>146</v>
      </c>
      <c r="L101" s="142">
        <f>+CNGPricing!$H$79</f>
        <v>5.8</v>
      </c>
      <c r="M101" s="109">
        <f t="shared" si="15"/>
        <v>165</v>
      </c>
      <c r="O101" s="155">
        <v>0</v>
      </c>
      <c r="P101" s="63">
        <f t="shared" si="16"/>
        <v>5.8</v>
      </c>
      <c r="Q101" s="64">
        <f t="shared" si="17"/>
        <v>957</v>
      </c>
      <c r="R101" s="216"/>
      <c r="S101" s="61">
        <f t="shared" si="18"/>
        <v>13</v>
      </c>
      <c r="T101" s="96">
        <f t="shared" si="19"/>
        <v>75.399999999999991</v>
      </c>
      <c r="U101" s="61">
        <f t="shared" si="23"/>
        <v>152</v>
      </c>
      <c r="V101" s="96">
        <f t="shared" si="20"/>
        <v>881.6</v>
      </c>
      <c r="W101" s="209">
        <f t="shared" si="21"/>
        <v>37256</v>
      </c>
      <c r="X101" s="115">
        <f t="shared" si="22"/>
        <v>0</v>
      </c>
    </row>
    <row r="102" spans="1:24" ht="15" customHeight="1" thickBot="1" x14ac:dyDescent="0.25">
      <c r="A102" t="s">
        <v>113</v>
      </c>
      <c r="B102" t="s">
        <v>19</v>
      </c>
      <c r="C102">
        <v>4370801</v>
      </c>
      <c r="D102" s="192" t="s">
        <v>366</v>
      </c>
      <c r="E102" s="193">
        <v>37256</v>
      </c>
      <c r="F102" s="66"/>
      <c r="G102" s="33">
        <v>375319</v>
      </c>
      <c r="H102" s="33"/>
      <c r="I102" s="39" t="s">
        <v>376</v>
      </c>
      <c r="J102" s="109" t="str">
        <f>IF(ISNA(VLOOKUP(B102,cngdata,7,FALSE)),"na",VLOOKUP(B102,cngdata,7,FALSE))</f>
        <v>GD</v>
      </c>
      <c r="K102" s="109">
        <f t="shared" si="14"/>
        <v>61</v>
      </c>
      <c r="L102" s="142">
        <f>+CNGPricing!$H$79</f>
        <v>5.8</v>
      </c>
      <c r="M102" s="109">
        <f t="shared" si="15"/>
        <v>64</v>
      </c>
      <c r="O102" s="155">
        <v>0</v>
      </c>
      <c r="P102" s="63">
        <f t="shared" si="16"/>
        <v>5.8</v>
      </c>
      <c r="Q102" s="64">
        <f t="shared" si="17"/>
        <v>371.2</v>
      </c>
      <c r="R102" s="216"/>
      <c r="S102" s="61">
        <f t="shared" si="18"/>
        <v>7</v>
      </c>
      <c r="T102" s="96">
        <f t="shared" si="19"/>
        <v>40.6</v>
      </c>
      <c r="U102" s="61">
        <f t="shared" si="23"/>
        <v>57</v>
      </c>
      <c r="V102" s="96">
        <f t="shared" si="20"/>
        <v>330.59999999999997</v>
      </c>
      <c r="W102" s="209">
        <f t="shared" si="21"/>
        <v>37256</v>
      </c>
      <c r="X102" s="115">
        <f t="shared" si="22"/>
        <v>0</v>
      </c>
    </row>
    <row r="103" spans="1:24" ht="15" customHeight="1" thickBot="1" x14ac:dyDescent="0.25">
      <c r="A103" t="s">
        <v>122</v>
      </c>
      <c r="B103" t="s">
        <v>20</v>
      </c>
      <c r="C103">
        <v>4370901</v>
      </c>
      <c r="D103" s="192" t="s">
        <v>366</v>
      </c>
      <c r="E103" s="193">
        <v>37256</v>
      </c>
      <c r="F103" s="66"/>
      <c r="G103" s="33">
        <v>375319</v>
      </c>
      <c r="H103" s="33"/>
      <c r="I103" s="39" t="s">
        <v>376</v>
      </c>
      <c r="J103" s="109" t="str">
        <f>IF(ISNA(VLOOKUP(B103,cngdata,7,FALSE)),"na",VLOOKUP(B103,cngdata,7,FALSE))</f>
        <v>GW</v>
      </c>
      <c r="K103" s="109">
        <f t="shared" si="14"/>
        <v>38</v>
      </c>
      <c r="L103" s="142">
        <f>+CNGPricing!$H$79</f>
        <v>5.8</v>
      </c>
      <c r="M103" s="109">
        <f t="shared" si="15"/>
        <v>47</v>
      </c>
      <c r="O103" s="155">
        <v>0</v>
      </c>
      <c r="P103" s="63">
        <f t="shared" si="16"/>
        <v>5.8</v>
      </c>
      <c r="Q103" s="64">
        <f t="shared" si="17"/>
        <v>272.59999999999997</v>
      </c>
      <c r="R103" s="216"/>
      <c r="S103" s="61">
        <f t="shared" si="18"/>
        <v>5</v>
      </c>
      <c r="T103" s="96">
        <f t="shared" si="19"/>
        <v>29</v>
      </c>
      <c r="U103" s="61">
        <f t="shared" si="23"/>
        <v>42</v>
      </c>
      <c r="V103" s="96">
        <f t="shared" si="20"/>
        <v>243.6</v>
      </c>
      <c r="W103" s="209">
        <f t="shared" si="21"/>
        <v>37256</v>
      </c>
      <c r="X103" s="115">
        <f t="shared" si="22"/>
        <v>0</v>
      </c>
    </row>
    <row r="104" spans="1:24" ht="15" customHeight="1" thickBot="1" x14ac:dyDescent="0.25">
      <c r="A104" t="s">
        <v>113</v>
      </c>
      <c r="B104" t="s">
        <v>407</v>
      </c>
      <c r="C104">
        <v>4371201</v>
      </c>
      <c r="D104" s="192" t="s">
        <v>366</v>
      </c>
      <c r="E104" s="193">
        <v>37256</v>
      </c>
      <c r="F104" s="66"/>
      <c r="G104" s="33">
        <v>375319</v>
      </c>
      <c r="H104" s="33"/>
      <c r="I104" s="39" t="s">
        <v>376</v>
      </c>
      <c r="J104" s="109" t="str">
        <f>IF(ISNA(VLOOKUP(B104,cngdata,7,FALSE)),"na",VLOOKUP(B104,cngdata,7,FALSE))</f>
        <v>GD</v>
      </c>
      <c r="K104" s="109">
        <f t="shared" si="14"/>
        <v>34</v>
      </c>
      <c r="L104" s="142">
        <f>+CNGPricing!$H$79</f>
        <v>5.8</v>
      </c>
      <c r="M104" s="109">
        <f t="shared" si="15"/>
        <v>36</v>
      </c>
      <c r="O104" s="155">
        <v>0</v>
      </c>
      <c r="P104" s="63">
        <f t="shared" si="16"/>
        <v>5.8</v>
      </c>
      <c r="Q104" s="64">
        <f t="shared" si="17"/>
        <v>208.79999999999998</v>
      </c>
      <c r="R104" s="216"/>
      <c r="S104" s="61">
        <f t="shared" si="18"/>
        <v>4</v>
      </c>
      <c r="T104" s="96">
        <f t="shared" si="19"/>
        <v>23.2</v>
      </c>
      <c r="U104" s="61">
        <f>IF(ISNA(VLOOKUP(B104,SplitVol,6,FALSE)),0,VLOOKUP(B104,SplitVol,6,FALSE))-1</f>
        <v>32</v>
      </c>
      <c r="V104" s="96">
        <f t="shared" si="20"/>
        <v>185.6</v>
      </c>
      <c r="W104" s="209">
        <f t="shared" si="21"/>
        <v>37256</v>
      </c>
      <c r="X104" s="115">
        <f t="shared" si="22"/>
        <v>0</v>
      </c>
    </row>
    <row r="105" spans="1:24" ht="15" customHeight="1" thickBot="1" x14ac:dyDescent="0.25">
      <c r="A105" t="s">
        <v>113</v>
      </c>
      <c r="B105" t="s">
        <v>49</v>
      </c>
      <c r="C105">
        <v>4371701</v>
      </c>
      <c r="D105" s="192" t="s">
        <v>366</v>
      </c>
      <c r="E105" s="193">
        <v>37256</v>
      </c>
      <c r="F105" s="66"/>
      <c r="G105" s="33">
        <v>375319</v>
      </c>
      <c r="H105" s="33"/>
      <c r="I105" s="39" t="s">
        <v>376</v>
      </c>
      <c r="J105" s="109" t="str">
        <f>IF(ISNA(VLOOKUP(B105,cngdata,7,FALSE)),"na",VLOOKUP(B105,cngdata,7,FALSE))</f>
        <v>GD</v>
      </c>
      <c r="K105" s="109">
        <f>IF(ISNA(VLOOKUP(B105,cngdata,13,FALSE)),"na",VLOOKUP(B105,cngdata,13,FALSE))</f>
        <v>67</v>
      </c>
      <c r="L105" s="142">
        <f>+CNGPricing!$H$79</f>
        <v>5.8</v>
      </c>
      <c r="M105" s="109">
        <f t="shared" si="15"/>
        <v>69</v>
      </c>
      <c r="O105" s="155">
        <v>0</v>
      </c>
      <c r="P105" s="63">
        <f t="shared" si="16"/>
        <v>5.8</v>
      </c>
      <c r="Q105" s="64">
        <f t="shared" si="17"/>
        <v>400.2</v>
      </c>
      <c r="R105" s="216"/>
      <c r="S105" s="61">
        <f t="shared" si="18"/>
        <v>7</v>
      </c>
      <c r="T105" s="96">
        <f t="shared" si="19"/>
        <v>40.6</v>
      </c>
      <c r="U105" s="61">
        <f t="shared" si="23"/>
        <v>62</v>
      </c>
      <c r="V105" s="96">
        <f t="shared" si="20"/>
        <v>359.59999999999997</v>
      </c>
      <c r="W105" s="209">
        <f t="shared" si="21"/>
        <v>37256</v>
      </c>
      <c r="X105" s="115">
        <f t="shared" si="22"/>
        <v>0</v>
      </c>
    </row>
    <row r="106" spans="1:24" ht="15" customHeight="1" thickBot="1" x14ac:dyDescent="0.25">
      <c r="A106" t="s">
        <v>388</v>
      </c>
      <c r="B106" t="s">
        <v>615</v>
      </c>
      <c r="C106">
        <v>4373001</v>
      </c>
      <c r="D106" s="192" t="s">
        <v>366</v>
      </c>
      <c r="E106" s="193">
        <v>37256</v>
      </c>
      <c r="F106" s="66"/>
      <c r="G106" s="33">
        <v>375319</v>
      </c>
      <c r="H106" s="33"/>
      <c r="I106" s="39" t="s">
        <v>376</v>
      </c>
      <c r="J106" s="109" t="str">
        <f>IF(ISNA(VLOOKUP(B106,cngdata,7,FALSE)),"na",VLOOKUP(B106,cngdata,7,FALSE))</f>
        <v>GD</v>
      </c>
      <c r="K106" s="109">
        <f t="shared" si="14"/>
        <v>12</v>
      </c>
      <c r="L106" s="142">
        <f>+CNGPricing!$H$79</f>
        <v>5.8</v>
      </c>
      <c r="M106" s="109">
        <f t="shared" si="15"/>
        <v>13</v>
      </c>
      <c r="O106" s="155">
        <v>0</v>
      </c>
      <c r="P106" s="63">
        <f t="shared" si="16"/>
        <v>5.8</v>
      </c>
      <c r="Q106" s="64">
        <f t="shared" si="17"/>
        <v>75.399999999999991</v>
      </c>
      <c r="R106" s="216"/>
      <c r="S106" s="61">
        <f t="shared" si="18"/>
        <v>2</v>
      </c>
      <c r="T106" s="96">
        <f t="shared" si="19"/>
        <v>11.6</v>
      </c>
      <c r="U106" s="61">
        <f t="shared" si="23"/>
        <v>11</v>
      </c>
      <c r="V106" s="96">
        <f t="shared" si="20"/>
        <v>63.8</v>
      </c>
      <c r="W106" s="209">
        <f t="shared" si="21"/>
        <v>37256</v>
      </c>
      <c r="X106" s="115">
        <f t="shared" si="22"/>
        <v>0</v>
      </c>
    </row>
    <row r="107" spans="1:24" ht="15" customHeight="1" thickBot="1" x14ac:dyDescent="0.25">
      <c r="A107" s="3" t="s">
        <v>141</v>
      </c>
      <c r="B107" s="83" t="s">
        <v>222</v>
      </c>
      <c r="C107" s="3">
        <v>3050201</v>
      </c>
      <c r="D107" s="192" t="s">
        <v>644</v>
      </c>
      <c r="E107" s="193">
        <v>37255</v>
      </c>
      <c r="F107" s="3"/>
      <c r="G107" s="1">
        <v>20934</v>
      </c>
      <c r="H107" s="1" t="s">
        <v>645</v>
      </c>
      <c r="I107" s="1" t="s">
        <v>611</v>
      </c>
      <c r="J107" s="61" t="str">
        <f t="shared" si="13"/>
        <v>GW</v>
      </c>
      <c r="K107" s="61">
        <f t="shared" si="14"/>
        <v>33</v>
      </c>
      <c r="L107" s="65">
        <f>L$3*99%</f>
        <v>2.3759999999999999</v>
      </c>
      <c r="M107" s="61">
        <f t="shared" si="15"/>
        <v>48</v>
      </c>
      <c r="O107" s="155">
        <v>0</v>
      </c>
      <c r="P107" s="63">
        <f t="shared" si="16"/>
        <v>2.3759999999999999</v>
      </c>
      <c r="Q107" s="64">
        <f t="shared" si="17"/>
        <v>114.048</v>
      </c>
      <c r="R107" s="216"/>
      <c r="S107" s="61">
        <f t="shared" si="18"/>
        <v>23</v>
      </c>
      <c r="T107" s="96">
        <f t="shared" si="19"/>
        <v>54.647999999999996</v>
      </c>
      <c r="U107" s="61">
        <f t="shared" si="23"/>
        <v>25</v>
      </c>
      <c r="V107" s="96">
        <f t="shared" si="20"/>
        <v>59.4</v>
      </c>
      <c r="W107" s="209">
        <f t="shared" si="21"/>
        <v>37255</v>
      </c>
      <c r="X107" s="115">
        <f t="shared" si="22"/>
        <v>0</v>
      </c>
    </row>
    <row r="108" spans="1:24" ht="15" customHeight="1" thickBot="1" x14ac:dyDescent="0.25">
      <c r="A108" s="3" t="s">
        <v>141</v>
      </c>
      <c r="B108" s="83" t="s">
        <v>224</v>
      </c>
      <c r="C108" s="3">
        <v>3053201</v>
      </c>
      <c r="D108" s="192" t="s">
        <v>644</v>
      </c>
      <c r="E108" s="193">
        <v>37255</v>
      </c>
      <c r="F108" s="3"/>
      <c r="G108" s="1">
        <v>20934</v>
      </c>
      <c r="H108" s="1" t="s">
        <v>645</v>
      </c>
      <c r="I108" s="1" t="s">
        <v>611</v>
      </c>
      <c r="J108" s="61" t="str">
        <f t="shared" si="13"/>
        <v>GW</v>
      </c>
      <c r="K108" s="61">
        <f t="shared" si="14"/>
        <v>141</v>
      </c>
      <c r="L108" s="65">
        <f>L$3*99%</f>
        <v>2.3759999999999999</v>
      </c>
      <c r="M108" s="61">
        <f t="shared" si="15"/>
        <v>213</v>
      </c>
      <c r="O108" s="155">
        <v>0</v>
      </c>
      <c r="P108" s="63">
        <f t="shared" si="16"/>
        <v>2.3759999999999999</v>
      </c>
      <c r="Q108" s="64">
        <f t="shared" si="17"/>
        <v>506.08799999999997</v>
      </c>
      <c r="R108" s="216"/>
      <c r="S108" s="61">
        <f t="shared" si="18"/>
        <v>26</v>
      </c>
      <c r="T108" s="96">
        <f t="shared" si="19"/>
        <v>61.775999999999996</v>
      </c>
      <c r="U108" s="61">
        <f t="shared" si="23"/>
        <v>187</v>
      </c>
      <c r="V108" s="96">
        <f t="shared" si="20"/>
        <v>444.31199999999995</v>
      </c>
      <c r="W108" s="209">
        <f t="shared" si="21"/>
        <v>37255</v>
      </c>
      <c r="X108" s="115">
        <f t="shared" si="22"/>
        <v>0</v>
      </c>
    </row>
    <row r="109" spans="1:24" ht="15" customHeight="1" thickBot="1" x14ac:dyDescent="0.25">
      <c r="A109" s="3" t="s">
        <v>141</v>
      </c>
      <c r="B109" s="83" t="s">
        <v>225</v>
      </c>
      <c r="C109" s="3">
        <v>3329801</v>
      </c>
      <c r="D109" s="192" t="s">
        <v>646</v>
      </c>
      <c r="E109" s="193">
        <v>37255</v>
      </c>
      <c r="F109" s="3"/>
      <c r="G109" s="1">
        <v>20934</v>
      </c>
      <c r="H109" s="1" t="s">
        <v>645</v>
      </c>
      <c r="I109" s="1" t="s">
        <v>611</v>
      </c>
      <c r="J109" s="61" t="str">
        <f t="shared" si="13"/>
        <v>GW</v>
      </c>
      <c r="K109" s="61">
        <f t="shared" si="14"/>
        <v>215</v>
      </c>
      <c r="L109" s="65">
        <f>L$3*99%</f>
        <v>2.3759999999999999</v>
      </c>
      <c r="M109" s="61">
        <f t="shared" si="15"/>
        <v>288</v>
      </c>
      <c r="O109" s="155">
        <v>0</v>
      </c>
      <c r="P109" s="63">
        <f t="shared" si="16"/>
        <v>2.3759999999999999</v>
      </c>
      <c r="Q109" s="64">
        <f t="shared" si="17"/>
        <v>684.28800000000001</v>
      </c>
      <c r="R109" s="216"/>
      <c r="S109" s="61">
        <f t="shared" si="18"/>
        <v>144</v>
      </c>
      <c r="T109" s="96">
        <f t="shared" si="19"/>
        <v>342.14400000000001</v>
      </c>
      <c r="U109" s="61">
        <f t="shared" si="23"/>
        <v>144</v>
      </c>
      <c r="V109" s="96">
        <f t="shared" si="20"/>
        <v>342.14400000000001</v>
      </c>
      <c r="W109" s="209">
        <f t="shared" si="21"/>
        <v>37255</v>
      </c>
      <c r="X109" s="115">
        <f t="shared" si="22"/>
        <v>0</v>
      </c>
    </row>
    <row r="110" spans="1:24" ht="15" customHeight="1" thickBot="1" x14ac:dyDescent="0.25">
      <c r="A110" s="3" t="s">
        <v>629</v>
      </c>
      <c r="B110" s="83" t="s">
        <v>647</v>
      </c>
      <c r="C110" s="3" t="s">
        <v>629</v>
      </c>
      <c r="D110" s="3" t="s">
        <v>648</v>
      </c>
      <c r="E110" s="189" t="s">
        <v>317</v>
      </c>
      <c r="F110" s="3"/>
      <c r="G110" s="1">
        <v>21579</v>
      </c>
      <c r="H110" s="1" t="s">
        <v>649</v>
      </c>
      <c r="I110" s="1" t="s">
        <v>585</v>
      </c>
      <c r="J110" s="61" t="str">
        <f t="shared" si="13"/>
        <v>na</v>
      </c>
      <c r="K110" s="61" t="str">
        <f t="shared" si="14"/>
        <v>na</v>
      </c>
      <c r="L110" s="65">
        <f>L$2-0.08</f>
        <v>2.34</v>
      </c>
      <c r="M110" s="61">
        <f t="shared" si="15"/>
        <v>0</v>
      </c>
      <c r="O110" s="155">
        <v>0</v>
      </c>
      <c r="P110" s="63">
        <f t="shared" si="16"/>
        <v>2.34</v>
      </c>
      <c r="Q110" s="64">
        <f t="shared" si="17"/>
        <v>0</v>
      </c>
      <c r="R110" s="216"/>
      <c r="S110" s="61">
        <f t="shared" si="18"/>
        <v>0</v>
      </c>
      <c r="T110" s="96">
        <f t="shared" si="19"/>
        <v>0</v>
      </c>
      <c r="U110" s="61">
        <f t="shared" si="23"/>
        <v>0</v>
      </c>
      <c r="V110" s="96">
        <f t="shared" si="20"/>
        <v>0</v>
      </c>
      <c r="W110" s="209" t="str">
        <f t="shared" si="21"/>
        <v>na</v>
      </c>
      <c r="X110" s="115">
        <f t="shared" si="22"/>
        <v>0</v>
      </c>
    </row>
    <row r="111" spans="1:24" ht="15" customHeight="1" thickBot="1" x14ac:dyDescent="0.25">
      <c r="A111" s="3" t="s">
        <v>629</v>
      </c>
      <c r="B111" s="83" t="s">
        <v>650</v>
      </c>
      <c r="C111" s="3" t="s">
        <v>629</v>
      </c>
      <c r="D111" s="3" t="s">
        <v>648</v>
      </c>
      <c r="E111" s="189" t="s">
        <v>317</v>
      </c>
      <c r="F111" s="3"/>
      <c r="G111" s="1">
        <v>21579</v>
      </c>
      <c r="H111" s="1" t="s">
        <v>649</v>
      </c>
      <c r="I111" s="1" t="s">
        <v>585</v>
      </c>
      <c r="J111" s="61" t="str">
        <f t="shared" si="13"/>
        <v>na</v>
      </c>
      <c r="K111" s="61" t="str">
        <f t="shared" si="14"/>
        <v>na</v>
      </c>
      <c r="L111" s="65">
        <f>L$2-0.08</f>
        <v>2.34</v>
      </c>
      <c r="M111" s="61">
        <f t="shared" si="15"/>
        <v>0</v>
      </c>
      <c r="O111" s="155">
        <v>0</v>
      </c>
      <c r="P111" s="63">
        <f t="shared" si="16"/>
        <v>2.34</v>
      </c>
      <c r="Q111" s="64">
        <f t="shared" si="17"/>
        <v>0</v>
      </c>
      <c r="R111" s="216"/>
      <c r="S111" s="61">
        <f t="shared" si="18"/>
        <v>0</v>
      </c>
      <c r="T111" s="96">
        <f t="shared" si="19"/>
        <v>0</v>
      </c>
      <c r="U111" s="61">
        <f t="shared" si="23"/>
        <v>0</v>
      </c>
      <c r="V111" s="96">
        <f t="shared" si="20"/>
        <v>0</v>
      </c>
      <c r="W111" s="209" t="str">
        <f t="shared" si="21"/>
        <v>na</v>
      </c>
      <c r="X111" s="115">
        <f t="shared" si="22"/>
        <v>0</v>
      </c>
    </row>
    <row r="112" spans="1:24" ht="15" customHeight="1" thickBot="1" x14ac:dyDescent="0.25">
      <c r="A112" s="3" t="s">
        <v>141</v>
      </c>
      <c r="B112" s="83" t="s">
        <v>195</v>
      </c>
      <c r="C112" s="3" t="s">
        <v>196</v>
      </c>
      <c r="D112" s="3" t="s">
        <v>651</v>
      </c>
      <c r="E112" s="189" t="s">
        <v>317</v>
      </c>
      <c r="F112" s="3"/>
      <c r="G112" s="1">
        <v>22956</v>
      </c>
      <c r="H112" s="1" t="s">
        <v>595</v>
      </c>
      <c r="I112" s="1" t="s">
        <v>325</v>
      </c>
      <c r="J112" s="61" t="str">
        <f t="shared" si="13"/>
        <v>GW</v>
      </c>
      <c r="K112" s="61">
        <f t="shared" si="14"/>
        <v>62</v>
      </c>
      <c r="L112" s="65">
        <f>L$2*98%</f>
        <v>2.3715999999999999</v>
      </c>
      <c r="M112" s="61">
        <f t="shared" si="15"/>
        <v>70</v>
      </c>
      <c r="O112" s="155">
        <v>0</v>
      </c>
      <c r="P112" s="63">
        <f t="shared" si="16"/>
        <v>2.3715999999999999</v>
      </c>
      <c r="Q112" s="64">
        <f t="shared" si="17"/>
        <v>166.012</v>
      </c>
      <c r="R112" s="216"/>
      <c r="S112" s="61">
        <f t="shared" si="18"/>
        <v>5</v>
      </c>
      <c r="T112" s="96">
        <f t="shared" si="19"/>
        <v>11.858000000000001</v>
      </c>
      <c r="U112" s="61">
        <f t="shared" si="23"/>
        <v>65</v>
      </c>
      <c r="V112" s="96">
        <f t="shared" si="20"/>
        <v>154.154</v>
      </c>
      <c r="W112" s="209">
        <f t="shared" si="21"/>
        <v>37256</v>
      </c>
      <c r="X112" s="115">
        <f t="shared" si="22"/>
        <v>0</v>
      </c>
    </row>
    <row r="113" spans="1:24" ht="15" customHeight="1" thickBot="1" x14ac:dyDescent="0.25">
      <c r="A113" s="1" t="s">
        <v>530</v>
      </c>
      <c r="B113" s="1" t="s">
        <v>533</v>
      </c>
      <c r="C113" s="42">
        <v>5105901</v>
      </c>
      <c r="D113" s="3" t="s">
        <v>532</v>
      </c>
      <c r="E113" s="189" t="s">
        <v>317</v>
      </c>
      <c r="F113" s="66" t="s">
        <v>532</v>
      </c>
      <c r="G113" s="33">
        <v>226742</v>
      </c>
      <c r="H113" s="33"/>
      <c r="I113" s="33" t="s">
        <v>558</v>
      </c>
      <c r="J113" s="109" t="str">
        <f t="shared" si="13"/>
        <v>na</v>
      </c>
      <c r="K113" s="61" t="str">
        <f t="shared" si="14"/>
        <v>na</v>
      </c>
      <c r="L113" s="103">
        <f>+CNGPricing!$H$88</f>
        <v>3.03</v>
      </c>
      <c r="M113" s="61">
        <f t="shared" si="15"/>
        <v>0</v>
      </c>
      <c r="O113" s="155">
        <v>0</v>
      </c>
      <c r="P113" s="63">
        <f t="shared" si="16"/>
        <v>3.03</v>
      </c>
      <c r="Q113" s="64">
        <f t="shared" si="17"/>
        <v>0</v>
      </c>
      <c r="R113" s="216"/>
      <c r="S113" s="61">
        <f t="shared" si="18"/>
        <v>0</v>
      </c>
      <c r="T113" s="96">
        <f t="shared" si="19"/>
        <v>0</v>
      </c>
      <c r="U113" s="61">
        <f t="shared" si="23"/>
        <v>0</v>
      </c>
      <c r="V113" s="96">
        <f t="shared" si="20"/>
        <v>0</v>
      </c>
      <c r="W113" s="209" t="str">
        <f t="shared" si="21"/>
        <v>na</v>
      </c>
      <c r="X113" s="115">
        <f t="shared" si="22"/>
        <v>0</v>
      </c>
    </row>
    <row r="114" spans="1:24" ht="15" customHeight="1" thickBot="1" x14ac:dyDescent="0.25">
      <c r="A114" s="1" t="s">
        <v>530</v>
      </c>
      <c r="B114" s="1" t="s">
        <v>534</v>
      </c>
      <c r="C114" s="42">
        <v>5118301</v>
      </c>
      <c r="D114" s="3" t="s">
        <v>532</v>
      </c>
      <c r="E114" s="189" t="s">
        <v>317</v>
      </c>
      <c r="F114" s="66" t="s">
        <v>532</v>
      </c>
      <c r="G114" s="33">
        <v>226742</v>
      </c>
      <c r="H114" s="33"/>
      <c r="I114" s="33" t="s">
        <v>558</v>
      </c>
      <c r="J114" s="109" t="str">
        <f t="shared" si="13"/>
        <v>na</v>
      </c>
      <c r="K114" s="61" t="str">
        <f t="shared" si="14"/>
        <v>na</v>
      </c>
      <c r="L114" s="103">
        <f>+CNGPricing!$H$88</f>
        <v>3.03</v>
      </c>
      <c r="M114" s="61">
        <f t="shared" si="15"/>
        <v>0</v>
      </c>
      <c r="O114" s="155">
        <v>0</v>
      </c>
      <c r="P114" s="63">
        <f t="shared" si="16"/>
        <v>3.03</v>
      </c>
      <c r="Q114" s="64">
        <f t="shared" si="17"/>
        <v>0</v>
      </c>
      <c r="R114" s="216"/>
      <c r="S114" s="61">
        <f t="shared" si="18"/>
        <v>0</v>
      </c>
      <c r="T114" s="96">
        <f t="shared" si="19"/>
        <v>0</v>
      </c>
      <c r="U114" s="61">
        <f t="shared" si="23"/>
        <v>0</v>
      </c>
      <c r="V114" s="96">
        <f t="shared" si="20"/>
        <v>0</v>
      </c>
      <c r="W114" s="209" t="str">
        <f t="shared" si="21"/>
        <v>na</v>
      </c>
      <c r="X114" s="115">
        <f t="shared" si="22"/>
        <v>0</v>
      </c>
    </row>
    <row r="115" spans="1:24" ht="15" customHeight="1" thickBot="1" x14ac:dyDescent="0.25">
      <c r="A115" s="1" t="s">
        <v>530</v>
      </c>
      <c r="B115" s="1" t="s">
        <v>531</v>
      </c>
      <c r="C115" s="42">
        <v>5089201</v>
      </c>
      <c r="D115" s="3" t="s">
        <v>532</v>
      </c>
      <c r="E115" s="189" t="s">
        <v>317</v>
      </c>
      <c r="F115" s="66" t="s">
        <v>532</v>
      </c>
      <c r="G115" s="33">
        <v>226742</v>
      </c>
      <c r="H115" s="33"/>
      <c r="I115" s="33" t="s">
        <v>558</v>
      </c>
      <c r="J115" s="109" t="str">
        <f t="shared" si="13"/>
        <v>na</v>
      </c>
      <c r="K115" s="61" t="str">
        <f t="shared" si="14"/>
        <v>na</v>
      </c>
      <c r="L115" s="103">
        <f>+CNGPricing!$H$88</f>
        <v>3.03</v>
      </c>
      <c r="M115" s="61">
        <f t="shared" si="15"/>
        <v>0</v>
      </c>
      <c r="O115" s="155">
        <v>0</v>
      </c>
      <c r="P115" s="63">
        <f t="shared" si="16"/>
        <v>3.03</v>
      </c>
      <c r="Q115" s="64">
        <f t="shared" si="17"/>
        <v>0</v>
      </c>
      <c r="R115" s="216"/>
      <c r="S115" s="61">
        <f t="shared" si="18"/>
        <v>0</v>
      </c>
      <c r="T115" s="96">
        <f t="shared" si="19"/>
        <v>0</v>
      </c>
      <c r="U115" s="61">
        <f t="shared" si="23"/>
        <v>0</v>
      </c>
      <c r="V115" s="96">
        <f t="shared" si="20"/>
        <v>0</v>
      </c>
      <c r="W115" s="209" t="str">
        <f t="shared" si="21"/>
        <v>na</v>
      </c>
      <c r="X115" s="115">
        <f t="shared" si="22"/>
        <v>0</v>
      </c>
    </row>
    <row r="116" spans="1:24" ht="15" customHeight="1" thickBot="1" x14ac:dyDescent="0.25">
      <c r="A116" s="3" t="s">
        <v>139</v>
      </c>
      <c r="B116" s="83" t="s">
        <v>140</v>
      </c>
      <c r="C116" s="3">
        <v>5100601</v>
      </c>
      <c r="D116" s="3" t="s">
        <v>532</v>
      </c>
      <c r="E116" s="189" t="s">
        <v>317</v>
      </c>
      <c r="F116" s="3"/>
      <c r="G116" s="1">
        <v>22991</v>
      </c>
      <c r="H116" s="1" t="s">
        <v>652</v>
      </c>
      <c r="I116" s="1" t="s">
        <v>653</v>
      </c>
      <c r="J116" s="61" t="str">
        <f t="shared" si="13"/>
        <v>na</v>
      </c>
      <c r="K116" s="61" t="str">
        <f t="shared" si="14"/>
        <v>na</v>
      </c>
      <c r="L116" s="65">
        <f>L$2*99%</f>
        <v>2.3957999999999999</v>
      </c>
      <c r="M116" s="61">
        <f t="shared" si="15"/>
        <v>0</v>
      </c>
      <c r="O116" s="155">
        <v>0</v>
      </c>
      <c r="P116" s="63">
        <f t="shared" si="16"/>
        <v>2.3957999999999999</v>
      </c>
      <c r="Q116" s="64">
        <f t="shared" si="17"/>
        <v>0</v>
      </c>
      <c r="R116" s="216"/>
      <c r="S116" s="61">
        <f t="shared" si="18"/>
        <v>0</v>
      </c>
      <c r="T116" s="96">
        <f t="shared" si="19"/>
        <v>0</v>
      </c>
      <c r="U116" s="61">
        <f t="shared" si="23"/>
        <v>0</v>
      </c>
      <c r="V116" s="96">
        <f t="shared" si="20"/>
        <v>0</v>
      </c>
      <c r="W116" s="209" t="str">
        <f t="shared" si="21"/>
        <v>na</v>
      </c>
      <c r="X116" s="115">
        <f t="shared" si="22"/>
        <v>0</v>
      </c>
    </row>
    <row r="117" spans="1:24" ht="15" customHeight="1" thickBot="1" x14ac:dyDescent="0.25">
      <c r="A117" s="3" t="s">
        <v>629</v>
      </c>
      <c r="B117" s="83" t="s">
        <v>654</v>
      </c>
      <c r="C117" s="3" t="s">
        <v>629</v>
      </c>
      <c r="D117" s="3" t="s">
        <v>532</v>
      </c>
      <c r="E117" s="189" t="s">
        <v>317</v>
      </c>
      <c r="F117" s="3"/>
      <c r="G117" s="1">
        <v>22991</v>
      </c>
      <c r="H117" s="1" t="s">
        <v>652</v>
      </c>
      <c r="I117" s="1" t="s">
        <v>653</v>
      </c>
      <c r="J117" s="61" t="str">
        <f t="shared" si="13"/>
        <v>na</v>
      </c>
      <c r="K117" s="61" t="str">
        <f t="shared" si="14"/>
        <v>na</v>
      </c>
      <c r="L117" s="65">
        <f>L$2*99%</f>
        <v>2.3957999999999999</v>
      </c>
      <c r="M117" s="61">
        <f t="shared" si="15"/>
        <v>0</v>
      </c>
      <c r="O117" s="155">
        <v>0</v>
      </c>
      <c r="P117" s="63">
        <f t="shared" si="16"/>
        <v>2.3957999999999999</v>
      </c>
      <c r="Q117" s="64">
        <f t="shared" si="17"/>
        <v>0</v>
      </c>
      <c r="R117" s="216"/>
      <c r="S117" s="61">
        <f t="shared" si="18"/>
        <v>0</v>
      </c>
      <c r="T117" s="96">
        <f t="shared" si="19"/>
        <v>0</v>
      </c>
      <c r="U117" s="61">
        <f t="shared" si="23"/>
        <v>0</v>
      </c>
      <c r="V117" s="96">
        <f t="shared" si="20"/>
        <v>0</v>
      </c>
      <c r="W117" s="209" t="str">
        <f t="shared" si="21"/>
        <v>na</v>
      </c>
      <c r="X117" s="115">
        <f t="shared" si="22"/>
        <v>0</v>
      </c>
    </row>
    <row r="118" spans="1:24" ht="15" customHeight="1" thickBot="1" x14ac:dyDescent="0.25">
      <c r="A118" s="3" t="s">
        <v>629</v>
      </c>
      <c r="B118" s="83" t="s">
        <v>655</v>
      </c>
      <c r="C118" s="3" t="s">
        <v>629</v>
      </c>
      <c r="D118" s="3" t="s">
        <v>532</v>
      </c>
      <c r="E118" s="189" t="s">
        <v>317</v>
      </c>
      <c r="F118" s="3"/>
      <c r="G118" s="1">
        <v>22991</v>
      </c>
      <c r="H118" s="1" t="s">
        <v>652</v>
      </c>
      <c r="I118" s="1" t="s">
        <v>653</v>
      </c>
      <c r="J118" s="61" t="str">
        <f t="shared" si="13"/>
        <v>na</v>
      </c>
      <c r="K118" s="61" t="str">
        <f t="shared" si="14"/>
        <v>na</v>
      </c>
      <c r="L118" s="65">
        <f>L$2*99%</f>
        <v>2.3957999999999999</v>
      </c>
      <c r="M118" s="61">
        <f t="shared" si="15"/>
        <v>0</v>
      </c>
      <c r="O118" s="155">
        <v>0</v>
      </c>
      <c r="P118" s="63">
        <f t="shared" si="16"/>
        <v>2.3957999999999999</v>
      </c>
      <c r="Q118" s="64">
        <f t="shared" si="17"/>
        <v>0</v>
      </c>
      <c r="R118" s="216"/>
      <c r="S118" s="61">
        <f t="shared" si="18"/>
        <v>0</v>
      </c>
      <c r="T118" s="96">
        <f t="shared" si="19"/>
        <v>0</v>
      </c>
      <c r="U118" s="61">
        <f t="shared" si="23"/>
        <v>0</v>
      </c>
      <c r="V118" s="96">
        <f t="shared" si="20"/>
        <v>0</v>
      </c>
      <c r="W118" s="209" t="str">
        <f t="shared" si="21"/>
        <v>na</v>
      </c>
      <c r="X118" s="115">
        <f t="shared" si="22"/>
        <v>0</v>
      </c>
    </row>
    <row r="119" spans="1:24" ht="15" customHeight="1" thickBot="1" x14ac:dyDescent="0.25">
      <c r="A119" s="3" t="s">
        <v>141</v>
      </c>
      <c r="B119" s="83" t="s">
        <v>253</v>
      </c>
      <c r="C119" s="3">
        <v>3120601</v>
      </c>
      <c r="D119" s="3" t="s">
        <v>254</v>
      </c>
      <c r="E119" s="189" t="s">
        <v>317</v>
      </c>
      <c r="F119" s="3"/>
      <c r="G119" s="1">
        <v>23124</v>
      </c>
      <c r="H119" s="1" t="s">
        <v>656</v>
      </c>
      <c r="I119" s="1" t="s">
        <v>325</v>
      </c>
      <c r="J119" s="61" t="str">
        <f t="shared" si="13"/>
        <v>GW</v>
      </c>
      <c r="K119" s="61">
        <f t="shared" si="14"/>
        <v>5</v>
      </c>
      <c r="L119" s="65">
        <f>L$2*98%</f>
        <v>2.3715999999999999</v>
      </c>
      <c r="M119" s="61">
        <f t="shared" si="15"/>
        <v>9</v>
      </c>
      <c r="O119" s="155">
        <v>0</v>
      </c>
      <c r="P119" s="63">
        <f t="shared" si="16"/>
        <v>2.3715999999999999</v>
      </c>
      <c r="Q119" s="64">
        <f t="shared" si="17"/>
        <v>21.3444</v>
      </c>
      <c r="R119" s="216"/>
      <c r="S119" s="61">
        <f t="shared" si="18"/>
        <v>9</v>
      </c>
      <c r="T119" s="96">
        <f t="shared" si="19"/>
        <v>21.3444</v>
      </c>
      <c r="U119" s="61">
        <f t="shared" si="23"/>
        <v>0</v>
      </c>
      <c r="V119" s="96">
        <f t="shared" si="20"/>
        <v>0</v>
      </c>
      <c r="W119" s="209">
        <f t="shared" si="21"/>
        <v>37228</v>
      </c>
      <c r="X119" s="115">
        <f t="shared" si="22"/>
        <v>0</v>
      </c>
    </row>
    <row r="120" spans="1:24" ht="15" customHeight="1" thickBot="1" x14ac:dyDescent="0.25">
      <c r="A120" s="1" t="s">
        <v>537</v>
      </c>
      <c r="B120" s="1" t="s">
        <v>538</v>
      </c>
      <c r="C120" s="42" t="s">
        <v>539</v>
      </c>
      <c r="D120" s="3" t="s">
        <v>617</v>
      </c>
      <c r="E120" s="189" t="s">
        <v>317</v>
      </c>
      <c r="F120" s="34" t="s">
        <v>540</v>
      </c>
      <c r="G120" s="42">
        <v>211284</v>
      </c>
      <c r="H120" s="42"/>
      <c r="I120" s="68" t="s">
        <v>550</v>
      </c>
      <c r="J120" s="61" t="str">
        <f t="shared" si="13"/>
        <v>na</v>
      </c>
      <c r="K120" s="61" t="str">
        <f t="shared" si="14"/>
        <v>na</v>
      </c>
      <c r="L120" s="65">
        <f>$L$2</f>
        <v>2.42</v>
      </c>
      <c r="M120" s="61">
        <f t="shared" si="15"/>
        <v>0</v>
      </c>
      <c r="O120" s="155">
        <v>0</v>
      </c>
      <c r="P120" s="63">
        <f t="shared" si="16"/>
        <v>2.42</v>
      </c>
      <c r="Q120" s="64">
        <f t="shared" si="17"/>
        <v>0</v>
      </c>
      <c r="R120" s="216"/>
      <c r="S120" s="61">
        <f t="shared" si="18"/>
        <v>0</v>
      </c>
      <c r="T120" s="96">
        <f t="shared" si="19"/>
        <v>0</v>
      </c>
      <c r="U120" s="61">
        <f t="shared" si="23"/>
        <v>0</v>
      </c>
      <c r="V120" s="96">
        <f t="shared" si="20"/>
        <v>0</v>
      </c>
      <c r="W120" s="209" t="str">
        <f t="shared" si="21"/>
        <v>na</v>
      </c>
      <c r="X120" s="115">
        <f t="shared" si="22"/>
        <v>0</v>
      </c>
    </row>
    <row r="121" spans="1:24" ht="15" customHeight="1" thickBot="1" x14ac:dyDescent="0.25">
      <c r="A121" s="1" t="s">
        <v>438</v>
      </c>
      <c r="B121" s="1" t="s">
        <v>541</v>
      </c>
      <c r="C121" s="42" t="s">
        <v>542</v>
      </c>
      <c r="D121" s="3" t="s">
        <v>617</v>
      </c>
      <c r="E121" s="189" t="s">
        <v>317</v>
      </c>
      <c r="F121" s="34" t="s">
        <v>540</v>
      </c>
      <c r="G121" s="42">
        <v>211284</v>
      </c>
      <c r="H121" s="42"/>
      <c r="I121" s="68" t="s">
        <v>550</v>
      </c>
      <c r="J121" s="61" t="str">
        <f t="shared" si="13"/>
        <v>na</v>
      </c>
      <c r="K121" s="61" t="str">
        <f t="shared" si="14"/>
        <v>na</v>
      </c>
      <c r="L121" s="65">
        <f>$L$2</f>
        <v>2.42</v>
      </c>
      <c r="M121" s="61">
        <f t="shared" si="15"/>
        <v>0</v>
      </c>
      <c r="O121" s="155">
        <v>0</v>
      </c>
      <c r="P121" s="63">
        <f t="shared" si="16"/>
        <v>2.42</v>
      </c>
      <c r="Q121" s="64">
        <f t="shared" si="17"/>
        <v>0</v>
      </c>
      <c r="R121" s="216"/>
      <c r="S121" s="61">
        <f t="shared" si="18"/>
        <v>0</v>
      </c>
      <c r="T121" s="96">
        <f t="shared" si="19"/>
        <v>0</v>
      </c>
      <c r="U121" s="61">
        <f t="shared" si="23"/>
        <v>0</v>
      </c>
      <c r="V121" s="96">
        <f t="shared" si="20"/>
        <v>0</v>
      </c>
      <c r="W121" s="209" t="str">
        <f t="shared" si="21"/>
        <v>na</v>
      </c>
      <c r="X121" s="115">
        <f t="shared" si="22"/>
        <v>0</v>
      </c>
    </row>
    <row r="122" spans="1:24" ht="15" customHeight="1" thickBot="1" x14ac:dyDescent="0.25">
      <c r="A122" s="3" t="s">
        <v>141</v>
      </c>
      <c r="B122" s="83" t="s">
        <v>209</v>
      </c>
      <c r="C122" s="3">
        <v>3294701</v>
      </c>
      <c r="D122" s="3" t="s">
        <v>210</v>
      </c>
      <c r="E122" s="189" t="s">
        <v>317</v>
      </c>
      <c r="F122" s="3"/>
      <c r="G122" s="1">
        <v>26784</v>
      </c>
      <c r="H122" s="1" t="s">
        <v>657</v>
      </c>
      <c r="I122" s="1" t="s">
        <v>332</v>
      </c>
      <c r="J122" s="61" t="str">
        <f t="shared" si="13"/>
        <v>GW</v>
      </c>
      <c r="K122" s="61">
        <f t="shared" si="14"/>
        <v>95</v>
      </c>
      <c r="L122" s="65">
        <f>L$2*95%</f>
        <v>2.2989999999999999</v>
      </c>
      <c r="M122" s="61">
        <f t="shared" si="15"/>
        <v>110</v>
      </c>
      <c r="O122" s="155">
        <v>0</v>
      </c>
      <c r="P122" s="63">
        <f t="shared" si="16"/>
        <v>2.2989999999999999</v>
      </c>
      <c r="Q122" s="64">
        <f t="shared" si="17"/>
        <v>252.89</v>
      </c>
      <c r="R122" s="216"/>
      <c r="S122" s="61">
        <f t="shared" si="18"/>
        <v>9</v>
      </c>
      <c r="T122" s="96">
        <f t="shared" si="19"/>
        <v>20.690999999999999</v>
      </c>
      <c r="U122" s="61">
        <f t="shared" si="23"/>
        <v>101</v>
      </c>
      <c r="V122" s="96">
        <f t="shared" si="20"/>
        <v>232.19899999999998</v>
      </c>
      <c r="W122" s="209">
        <f t="shared" si="21"/>
        <v>37228</v>
      </c>
      <c r="X122" s="115">
        <f t="shared" si="22"/>
        <v>0</v>
      </c>
    </row>
    <row r="123" spans="1:24" ht="15" customHeight="1" thickBot="1" x14ac:dyDescent="0.25">
      <c r="A123" s="3" t="s">
        <v>141</v>
      </c>
      <c r="B123" s="83" t="s">
        <v>285</v>
      </c>
      <c r="C123" s="3">
        <v>2041001</v>
      </c>
      <c r="D123" s="3" t="s">
        <v>210</v>
      </c>
      <c r="E123" s="189" t="s">
        <v>317</v>
      </c>
      <c r="F123" s="3"/>
      <c r="G123" s="1">
        <v>26784</v>
      </c>
      <c r="H123" s="1" t="s">
        <v>657</v>
      </c>
      <c r="I123" s="1" t="s">
        <v>332</v>
      </c>
      <c r="J123" s="61" t="str">
        <f t="shared" si="13"/>
        <v>GW</v>
      </c>
      <c r="K123" s="61">
        <f t="shared" si="14"/>
        <v>0</v>
      </c>
      <c r="L123" s="65">
        <f>L$2*95%</f>
        <v>2.2989999999999999</v>
      </c>
      <c r="M123" s="61">
        <f t="shared" si="15"/>
        <v>554</v>
      </c>
      <c r="O123" s="155">
        <v>0</v>
      </c>
      <c r="P123" s="63">
        <f t="shared" si="16"/>
        <v>2.2989999999999999</v>
      </c>
      <c r="Q123" s="64">
        <f t="shared" si="17"/>
        <v>1273.646</v>
      </c>
      <c r="R123" s="216"/>
      <c r="S123" s="61">
        <f t="shared" si="18"/>
        <v>35</v>
      </c>
      <c r="T123" s="96">
        <f t="shared" si="19"/>
        <v>80.465000000000003</v>
      </c>
      <c r="U123" s="61">
        <f>IF(ISNA(VLOOKUP(B123,SplitVol,6,FALSE)),0,VLOOKUP(B123,SplitVol,6,FALSE))-1</f>
        <v>519</v>
      </c>
      <c r="V123" s="96">
        <f t="shared" si="20"/>
        <v>1193.181</v>
      </c>
      <c r="W123" s="209">
        <f t="shared" si="21"/>
        <v>37228</v>
      </c>
      <c r="X123" s="115">
        <f t="shared" si="22"/>
        <v>0</v>
      </c>
    </row>
    <row r="124" spans="1:24" ht="15" customHeight="1" thickBot="1" x14ac:dyDescent="0.25">
      <c r="A124" s="1" t="s">
        <v>113</v>
      </c>
      <c r="B124" s="1" t="s">
        <v>371</v>
      </c>
      <c r="C124" s="1">
        <v>4281001</v>
      </c>
      <c r="D124" s="196" t="s">
        <v>372</v>
      </c>
      <c r="E124" s="189">
        <v>37288</v>
      </c>
      <c r="F124" s="145"/>
      <c r="G124" s="146"/>
      <c r="H124" s="1"/>
      <c r="I124" s="68" t="s">
        <v>344</v>
      </c>
      <c r="J124" s="61" t="str">
        <f>IF(ISNA(VLOOKUP(B124,cngdata,7,FALSE)),"na",VLOOKUP(B124,cngdata,7,FALSE))</f>
        <v>GD</v>
      </c>
      <c r="K124" s="61">
        <f>IF(ISNA(VLOOKUP(B124,cngdata,13,FALSE)),"na",VLOOKUP(B124,cngdata,13,FALSE))</f>
        <v>0</v>
      </c>
      <c r="L124" s="65">
        <f>L$2-0.02</f>
        <v>2.4</v>
      </c>
      <c r="M124" s="61">
        <f>IF(ISNA(VLOOKUP(B124,cngdata,14,FALSE)),0,VLOOKUP(B124,cngdata,14,FALSE))</f>
        <v>0</v>
      </c>
      <c r="O124" s="155">
        <v>0</v>
      </c>
      <c r="P124" s="63">
        <f t="shared" si="16"/>
        <v>2.4</v>
      </c>
      <c r="Q124" s="64">
        <f t="shared" si="17"/>
        <v>0</v>
      </c>
      <c r="R124" s="216"/>
      <c r="S124" s="61">
        <f t="shared" si="18"/>
        <v>0</v>
      </c>
      <c r="T124" s="96">
        <f t="shared" si="19"/>
        <v>0</v>
      </c>
      <c r="U124" s="61">
        <f t="shared" si="23"/>
        <v>0</v>
      </c>
      <c r="V124" s="96">
        <f t="shared" si="20"/>
        <v>0</v>
      </c>
      <c r="W124" s="209">
        <f t="shared" si="21"/>
        <v>37228</v>
      </c>
      <c r="X124" s="115">
        <f t="shared" si="22"/>
        <v>0</v>
      </c>
    </row>
    <row r="125" spans="1:24" ht="15" customHeight="1" thickBot="1" x14ac:dyDescent="0.25">
      <c r="A125" s="1" t="s">
        <v>388</v>
      </c>
      <c r="B125" s="1" t="s">
        <v>614</v>
      </c>
      <c r="C125" s="1">
        <v>4371101</v>
      </c>
      <c r="D125" s="196" t="s">
        <v>372</v>
      </c>
      <c r="E125" s="195">
        <v>37288</v>
      </c>
      <c r="F125" s="145"/>
      <c r="G125" s="146"/>
      <c r="H125" s="1"/>
      <c r="I125" s="68" t="s">
        <v>344</v>
      </c>
      <c r="J125" s="61" t="str">
        <f t="shared" si="13"/>
        <v>GD</v>
      </c>
      <c r="K125" s="61">
        <f t="shared" si="14"/>
        <v>132</v>
      </c>
      <c r="L125" s="65">
        <f>L$2-0.02</f>
        <v>2.4</v>
      </c>
      <c r="M125" s="61">
        <f t="shared" si="15"/>
        <v>141</v>
      </c>
      <c r="O125" s="155">
        <v>0</v>
      </c>
      <c r="P125" s="63">
        <f t="shared" si="16"/>
        <v>2.4</v>
      </c>
      <c r="Q125" s="64">
        <f t="shared" si="17"/>
        <v>338.4</v>
      </c>
      <c r="R125" s="216"/>
      <c r="S125" s="61">
        <f t="shared" si="18"/>
        <v>9</v>
      </c>
      <c r="T125" s="96">
        <f t="shared" si="19"/>
        <v>21.599999999999998</v>
      </c>
      <c r="U125" s="61">
        <f>IF(ISNA(VLOOKUP(B125,SplitVol,6,FALSE)),0,VLOOKUP(B125,SplitVol,6,FALSE))+1</f>
        <v>132</v>
      </c>
      <c r="V125" s="96">
        <f t="shared" si="20"/>
        <v>316.8</v>
      </c>
      <c r="W125" s="209">
        <f t="shared" si="21"/>
        <v>37228</v>
      </c>
      <c r="X125" s="115">
        <f t="shared" si="22"/>
        <v>0</v>
      </c>
    </row>
    <row r="126" spans="1:24" ht="15" customHeight="1" thickBot="1" x14ac:dyDescent="0.25">
      <c r="A126" s="79" t="s">
        <v>388</v>
      </c>
      <c r="B126" s="79" t="s">
        <v>391</v>
      </c>
      <c r="C126" s="79">
        <v>1062901</v>
      </c>
      <c r="D126" s="3" t="s">
        <v>392</v>
      </c>
      <c r="E126" s="189" t="s">
        <v>317</v>
      </c>
      <c r="F126" s="79"/>
      <c r="G126" s="79"/>
      <c r="H126" s="79"/>
      <c r="I126" s="154" t="s">
        <v>324</v>
      </c>
      <c r="J126" s="137" t="str">
        <f>IF(ISNA(VLOOKUP(B126,cngdata,7,FALSE)),"na",VLOOKUP(B126,cngdata,7,FALSE))</f>
        <v>GD</v>
      </c>
      <c r="K126" s="61">
        <f t="shared" si="14"/>
        <v>119</v>
      </c>
      <c r="L126" s="103">
        <f>$L$2</f>
        <v>2.42</v>
      </c>
      <c r="M126" s="61">
        <f t="shared" si="15"/>
        <v>121</v>
      </c>
      <c r="O126" s="155">
        <v>0</v>
      </c>
      <c r="P126" s="63">
        <f t="shared" si="16"/>
        <v>2.42</v>
      </c>
      <c r="Q126" s="64">
        <f t="shared" si="17"/>
        <v>292.82</v>
      </c>
      <c r="R126" s="216"/>
      <c r="S126" s="61">
        <f t="shared" si="18"/>
        <v>121</v>
      </c>
      <c r="T126" s="96">
        <f t="shared" si="19"/>
        <v>292.82</v>
      </c>
      <c r="U126" s="61">
        <f t="shared" si="23"/>
        <v>0</v>
      </c>
      <c r="V126" s="96">
        <f t="shared" si="20"/>
        <v>0</v>
      </c>
      <c r="W126" s="209" t="str">
        <f t="shared" si="21"/>
        <v>na</v>
      </c>
      <c r="X126" s="115">
        <f t="shared" si="22"/>
        <v>0</v>
      </c>
    </row>
    <row r="127" spans="1:24" ht="15" customHeight="1" thickBot="1" x14ac:dyDescent="0.25">
      <c r="A127" s="79" t="s">
        <v>388</v>
      </c>
      <c r="B127" s="79" t="s">
        <v>393</v>
      </c>
      <c r="C127" s="79">
        <v>1063001</v>
      </c>
      <c r="D127" s="3" t="s">
        <v>392</v>
      </c>
      <c r="E127" s="189" t="s">
        <v>317</v>
      </c>
      <c r="F127" s="79"/>
      <c r="G127" s="79"/>
      <c r="H127" s="79"/>
      <c r="I127" s="154" t="s">
        <v>324</v>
      </c>
      <c r="J127" s="137" t="str">
        <f>IF(ISNA(VLOOKUP(B127,cngdata,7,FALSE)),"na",VLOOKUP(B127,cngdata,7,FALSE))</f>
        <v>GD</v>
      </c>
      <c r="K127" s="61">
        <f t="shared" si="14"/>
        <v>24</v>
      </c>
      <c r="L127" s="103">
        <f>$L$2</f>
        <v>2.42</v>
      </c>
      <c r="M127" s="61">
        <f t="shared" si="15"/>
        <v>24</v>
      </c>
      <c r="O127" s="155">
        <v>0</v>
      </c>
      <c r="P127" s="63">
        <f t="shared" si="16"/>
        <v>2.42</v>
      </c>
      <c r="Q127" s="64">
        <f t="shared" si="17"/>
        <v>58.08</v>
      </c>
      <c r="R127" s="216"/>
      <c r="S127" s="61">
        <f t="shared" si="18"/>
        <v>24</v>
      </c>
      <c r="T127" s="96">
        <f t="shared" si="19"/>
        <v>58.08</v>
      </c>
      <c r="U127" s="61">
        <f t="shared" si="23"/>
        <v>0</v>
      </c>
      <c r="V127" s="96">
        <f t="shared" si="20"/>
        <v>0</v>
      </c>
      <c r="W127" s="209" t="str">
        <f t="shared" si="21"/>
        <v>na</v>
      </c>
      <c r="X127" s="115">
        <f t="shared" si="22"/>
        <v>0</v>
      </c>
    </row>
    <row r="128" spans="1:24" ht="15" customHeight="1" thickBot="1" x14ac:dyDescent="0.25">
      <c r="A128" s="79" t="s">
        <v>388</v>
      </c>
      <c r="B128" s="79" t="s">
        <v>394</v>
      </c>
      <c r="C128" s="79">
        <v>2151401</v>
      </c>
      <c r="D128" s="3" t="s">
        <v>392</v>
      </c>
      <c r="E128" s="189" t="s">
        <v>317</v>
      </c>
      <c r="F128" s="79"/>
      <c r="G128" s="79"/>
      <c r="H128" s="79"/>
      <c r="I128" s="154" t="s">
        <v>324</v>
      </c>
      <c r="J128" s="137" t="str">
        <f>IF(ISNA(VLOOKUP(B128,cngdata,7,FALSE)),"na",VLOOKUP(B128,cngdata,7,FALSE))</f>
        <v>GD</v>
      </c>
      <c r="K128" s="61">
        <f t="shared" si="14"/>
        <v>0</v>
      </c>
      <c r="L128" s="103">
        <f>$L$2</f>
        <v>2.42</v>
      </c>
      <c r="M128" s="61">
        <f t="shared" si="15"/>
        <v>568</v>
      </c>
      <c r="O128" s="155">
        <v>0</v>
      </c>
      <c r="P128" s="63">
        <f t="shared" si="16"/>
        <v>2.42</v>
      </c>
      <c r="Q128" s="64">
        <f t="shared" si="17"/>
        <v>1374.56</v>
      </c>
      <c r="R128" s="216"/>
      <c r="S128" s="61">
        <f t="shared" si="18"/>
        <v>568</v>
      </c>
      <c r="T128" s="96">
        <f t="shared" si="19"/>
        <v>1374.56</v>
      </c>
      <c r="U128" s="61">
        <f t="shared" si="23"/>
        <v>0</v>
      </c>
      <c r="V128" s="96">
        <f t="shared" si="20"/>
        <v>0</v>
      </c>
      <c r="W128" s="209" t="str">
        <f t="shared" si="21"/>
        <v>na</v>
      </c>
      <c r="X128" s="115">
        <f t="shared" si="22"/>
        <v>0</v>
      </c>
    </row>
    <row r="129" spans="1:24" ht="15" customHeight="1" thickBot="1" x14ac:dyDescent="0.25">
      <c r="A129" s="79" t="s">
        <v>388</v>
      </c>
      <c r="B129" s="79" t="s">
        <v>395</v>
      </c>
      <c r="C129" s="79">
        <v>2053201</v>
      </c>
      <c r="D129" s="3" t="s">
        <v>392</v>
      </c>
      <c r="E129" s="189" t="s">
        <v>317</v>
      </c>
      <c r="F129" s="79"/>
      <c r="G129" s="79"/>
      <c r="H129" s="79"/>
      <c r="I129" s="154" t="s">
        <v>324</v>
      </c>
      <c r="J129" s="137" t="str">
        <f>IF(ISNA(VLOOKUP(B129,cngdata,7,FALSE)),"na",VLOOKUP(B129,cngdata,7,FALSE))</f>
        <v>GD</v>
      </c>
      <c r="K129" s="61">
        <f t="shared" si="14"/>
        <v>0</v>
      </c>
      <c r="L129" s="103">
        <f>$L$2</f>
        <v>2.42</v>
      </c>
      <c r="M129" s="61">
        <f t="shared" si="15"/>
        <v>0</v>
      </c>
      <c r="O129" s="155">
        <v>0</v>
      </c>
      <c r="P129" s="63">
        <f t="shared" si="16"/>
        <v>2.42</v>
      </c>
      <c r="Q129" s="64">
        <f t="shared" si="17"/>
        <v>0</v>
      </c>
      <c r="R129" s="216"/>
      <c r="S129" s="61">
        <f t="shared" si="18"/>
        <v>0</v>
      </c>
      <c r="T129" s="96">
        <f t="shared" si="19"/>
        <v>0</v>
      </c>
      <c r="U129" s="61">
        <f t="shared" si="23"/>
        <v>0</v>
      </c>
      <c r="V129" s="96">
        <f t="shared" si="20"/>
        <v>0</v>
      </c>
      <c r="W129" s="209" t="str">
        <f t="shared" si="21"/>
        <v>na</v>
      </c>
      <c r="X129" s="115">
        <f t="shared" si="22"/>
        <v>0</v>
      </c>
    </row>
    <row r="130" spans="1:24" ht="15" customHeight="1" thickBot="1" x14ac:dyDescent="0.25">
      <c r="A130" s="79" t="s">
        <v>388</v>
      </c>
      <c r="B130" s="79" t="s">
        <v>396</v>
      </c>
      <c r="C130" s="79">
        <v>2052901</v>
      </c>
      <c r="D130" s="3" t="s">
        <v>392</v>
      </c>
      <c r="E130" s="189" t="s">
        <v>317</v>
      </c>
      <c r="F130" s="79"/>
      <c r="G130" s="79"/>
      <c r="H130" s="79"/>
      <c r="I130" s="154" t="s">
        <v>324</v>
      </c>
      <c r="J130" s="137" t="str">
        <f>IF(ISNA(VLOOKUP(B130,cngdata,7,FALSE)),"na",VLOOKUP(B130,cngdata,7,FALSE))</f>
        <v>GD</v>
      </c>
      <c r="K130" s="61">
        <f t="shared" ref="K130:K154" si="25">IF(ISNA(VLOOKUP(B130,cngdata,13,FALSE)),"na",VLOOKUP(B130,cngdata,13,FALSE))</f>
        <v>0</v>
      </c>
      <c r="L130" s="103">
        <f>$L$2</f>
        <v>2.42</v>
      </c>
      <c r="M130" s="61">
        <f t="shared" ref="M130:M154" si="26">IF(ISNA(VLOOKUP(B130,cngdata,14,FALSE)),0,VLOOKUP(B130,cngdata,14,FALSE))</f>
        <v>0</v>
      </c>
      <c r="O130" s="155">
        <v>0</v>
      </c>
      <c r="P130" s="63">
        <f t="shared" si="16"/>
        <v>2.42</v>
      </c>
      <c r="Q130" s="64">
        <f t="shared" si="17"/>
        <v>0</v>
      </c>
      <c r="R130" s="216"/>
      <c r="S130" s="61">
        <f t="shared" si="18"/>
        <v>0</v>
      </c>
      <c r="T130" s="96">
        <f t="shared" si="19"/>
        <v>0</v>
      </c>
      <c r="U130" s="61">
        <f t="shared" si="23"/>
        <v>0</v>
      </c>
      <c r="V130" s="96">
        <f t="shared" si="20"/>
        <v>0</v>
      </c>
      <c r="W130" s="209" t="str">
        <f t="shared" si="21"/>
        <v>na</v>
      </c>
      <c r="X130" s="115">
        <f t="shared" si="22"/>
        <v>0</v>
      </c>
    </row>
    <row r="131" spans="1:24" ht="15" customHeight="1" thickBot="1" x14ac:dyDescent="0.25">
      <c r="A131" s="3" t="s">
        <v>296</v>
      </c>
      <c r="B131" s="83" t="s">
        <v>297</v>
      </c>
      <c r="C131" s="3" t="s">
        <v>298</v>
      </c>
      <c r="D131" s="3" t="s">
        <v>138</v>
      </c>
      <c r="E131" s="189" t="s">
        <v>317</v>
      </c>
      <c r="F131" s="3"/>
      <c r="G131" s="1"/>
      <c r="H131" s="1"/>
      <c r="I131" s="1"/>
      <c r="J131" s="61" t="str">
        <f t="shared" si="13"/>
        <v>TW</v>
      </c>
      <c r="K131" s="61">
        <f t="shared" si="25"/>
        <v>1239</v>
      </c>
      <c r="L131" s="65"/>
      <c r="M131" s="61">
        <f t="shared" si="26"/>
        <v>1507</v>
      </c>
      <c r="O131" s="155">
        <v>0</v>
      </c>
      <c r="P131" s="63">
        <f t="shared" si="16"/>
        <v>0</v>
      </c>
      <c r="Q131" s="64">
        <f t="shared" si="17"/>
        <v>0</v>
      </c>
      <c r="R131" s="216"/>
      <c r="S131" s="61">
        <f t="shared" si="18"/>
        <v>98</v>
      </c>
      <c r="T131" s="96">
        <f t="shared" si="19"/>
        <v>0</v>
      </c>
      <c r="U131" s="61">
        <f t="shared" si="23"/>
        <v>1409</v>
      </c>
      <c r="V131" s="96">
        <f t="shared" si="20"/>
        <v>0</v>
      </c>
      <c r="W131" s="209" t="str">
        <f t="shared" si="21"/>
        <v>na</v>
      </c>
      <c r="X131" s="115">
        <f t="shared" si="22"/>
        <v>0</v>
      </c>
    </row>
    <row r="132" spans="1:24" ht="15" customHeight="1" thickBot="1" x14ac:dyDescent="0.25">
      <c r="A132" s="3" t="s">
        <v>133</v>
      </c>
      <c r="B132" s="83" t="s">
        <v>134</v>
      </c>
      <c r="C132" s="3" t="s">
        <v>135</v>
      </c>
      <c r="D132" s="3" t="s">
        <v>138</v>
      </c>
      <c r="E132" s="189" t="s">
        <v>317</v>
      </c>
      <c r="F132" s="3"/>
      <c r="G132" s="1"/>
      <c r="H132" s="1"/>
      <c r="I132" s="1"/>
      <c r="J132" s="61" t="str">
        <f t="shared" si="13"/>
        <v>TD</v>
      </c>
      <c r="K132" s="61">
        <f t="shared" si="25"/>
        <v>85</v>
      </c>
      <c r="L132" s="65"/>
      <c r="M132" s="61">
        <f t="shared" si="26"/>
        <v>94</v>
      </c>
      <c r="O132" s="155">
        <v>0</v>
      </c>
      <c r="P132" s="63">
        <f t="shared" si="16"/>
        <v>0</v>
      </c>
      <c r="Q132" s="64">
        <f t="shared" si="17"/>
        <v>0</v>
      </c>
      <c r="R132" s="216"/>
      <c r="S132" s="61">
        <f t="shared" si="18"/>
        <v>7</v>
      </c>
      <c r="T132" s="96">
        <f t="shared" si="19"/>
        <v>0</v>
      </c>
      <c r="U132" s="61">
        <f t="shared" si="23"/>
        <v>87</v>
      </c>
      <c r="V132" s="96">
        <f t="shared" si="20"/>
        <v>0</v>
      </c>
      <c r="W132" s="209" t="str">
        <f t="shared" si="21"/>
        <v>na</v>
      </c>
      <c r="X132" s="115">
        <f t="shared" si="22"/>
        <v>0</v>
      </c>
    </row>
    <row r="133" spans="1:24" ht="15" customHeight="1" thickBot="1" x14ac:dyDescent="0.25">
      <c r="A133" s="3" t="s">
        <v>629</v>
      </c>
      <c r="B133" s="83" t="s">
        <v>658</v>
      </c>
      <c r="C133" s="3" t="s">
        <v>629</v>
      </c>
      <c r="D133" s="3" t="s">
        <v>138</v>
      </c>
      <c r="E133" s="189" t="s">
        <v>317</v>
      </c>
      <c r="F133" s="3"/>
      <c r="G133" s="1"/>
      <c r="H133" s="1"/>
      <c r="I133" s="1"/>
      <c r="J133" s="61" t="str">
        <f t="shared" si="13"/>
        <v>na</v>
      </c>
      <c r="K133" s="61" t="str">
        <f t="shared" si="25"/>
        <v>na</v>
      </c>
      <c r="L133" s="65"/>
      <c r="M133" s="61">
        <f t="shared" si="26"/>
        <v>0</v>
      </c>
      <c r="O133" s="155">
        <v>0</v>
      </c>
      <c r="P133" s="63">
        <f t="shared" ref="P133:P196" si="27">L133-O133</f>
        <v>0</v>
      </c>
      <c r="Q133" s="64">
        <f t="shared" ref="Q133:Q196" si="28">M133*P133</f>
        <v>0</v>
      </c>
      <c r="R133" s="216"/>
      <c r="S133" s="61">
        <f t="shared" si="18"/>
        <v>0</v>
      </c>
      <c r="T133" s="96">
        <f t="shared" si="19"/>
        <v>0</v>
      </c>
      <c r="U133" s="61">
        <f t="shared" si="23"/>
        <v>0</v>
      </c>
      <c r="V133" s="96">
        <f t="shared" si="20"/>
        <v>0</v>
      </c>
      <c r="W133" s="209" t="str">
        <f t="shared" si="21"/>
        <v>na</v>
      </c>
      <c r="X133" s="115">
        <f t="shared" si="22"/>
        <v>0</v>
      </c>
    </row>
    <row r="134" spans="1:24" ht="15" customHeight="1" thickBot="1" x14ac:dyDescent="0.25">
      <c r="A134" s="3" t="s">
        <v>629</v>
      </c>
      <c r="B134" s="83" t="s">
        <v>408</v>
      </c>
      <c r="C134" s="3" t="s">
        <v>629</v>
      </c>
      <c r="D134" s="3" t="s">
        <v>659</v>
      </c>
      <c r="E134" s="189" t="s">
        <v>317</v>
      </c>
      <c r="F134" s="3"/>
      <c r="G134" s="1"/>
      <c r="H134" s="1"/>
      <c r="I134" s="1"/>
      <c r="J134" s="61" t="str">
        <f t="shared" si="13"/>
        <v>TW</v>
      </c>
      <c r="K134" s="61">
        <f t="shared" si="25"/>
        <v>135</v>
      </c>
      <c r="L134" s="65"/>
      <c r="M134" s="61">
        <f t="shared" si="26"/>
        <v>156</v>
      </c>
      <c r="O134" s="155">
        <v>0</v>
      </c>
      <c r="P134" s="63">
        <f t="shared" si="27"/>
        <v>0</v>
      </c>
      <c r="Q134" s="64">
        <f t="shared" si="28"/>
        <v>0</v>
      </c>
      <c r="R134" s="216"/>
      <c r="S134" s="61">
        <f t="shared" ref="S134:S197" si="29">IF(ISNA(VLOOKUP(B134,SplitVol,5,FALSE)),0,VLOOKUP(B134,SplitVol,5,FALSE))</f>
        <v>12</v>
      </c>
      <c r="T134" s="96">
        <f t="shared" ref="T134:T197" si="30">+S134*L134</f>
        <v>0</v>
      </c>
      <c r="U134" s="61">
        <f t="shared" ref="U134:U197" si="31">IF(ISNA(VLOOKUP(B134,SplitVol,6,FALSE)),0,VLOOKUP(B134,SplitVol,6,FALSE))</f>
        <v>144</v>
      </c>
      <c r="V134" s="96">
        <f t="shared" ref="V134:V197" si="32">+U134*L134</f>
        <v>0</v>
      </c>
      <c r="W134" s="209" t="str">
        <f t="shared" ref="W134:W197" si="33">IF(ISBLANK(VLOOKUP(B134,EffDate,4,FALSE)),"na",VLOOKUP(B134,EffDate,4,FALSE))</f>
        <v>na</v>
      </c>
      <c r="X134" s="115">
        <f t="shared" ref="X134:X197" si="34">+M134-S134-U134</f>
        <v>0</v>
      </c>
    </row>
    <row r="135" spans="1:24" ht="15" customHeight="1" thickBot="1" x14ac:dyDescent="0.25">
      <c r="A135" s="3" t="s">
        <v>629</v>
      </c>
      <c r="B135" s="6" t="s">
        <v>660</v>
      </c>
      <c r="C135" s="3" t="s">
        <v>629</v>
      </c>
      <c r="D135" s="6" t="s">
        <v>661</v>
      </c>
      <c r="E135" s="189" t="s">
        <v>317</v>
      </c>
      <c r="F135" s="6"/>
      <c r="G135" s="6">
        <v>27274</v>
      </c>
      <c r="H135" s="6" t="s">
        <v>662</v>
      </c>
      <c r="I135" s="6" t="s">
        <v>663</v>
      </c>
      <c r="J135" s="61" t="str">
        <f t="shared" si="13"/>
        <v>na</v>
      </c>
      <c r="K135" s="61" t="str">
        <f t="shared" si="25"/>
        <v>na</v>
      </c>
      <c r="L135" s="65">
        <f>L$2</f>
        <v>2.42</v>
      </c>
      <c r="M135" s="61">
        <f t="shared" si="26"/>
        <v>0</v>
      </c>
      <c r="O135" s="155">
        <v>0</v>
      </c>
      <c r="P135" s="7">
        <f t="shared" si="27"/>
        <v>2.42</v>
      </c>
      <c r="Q135" s="87">
        <f t="shared" si="28"/>
        <v>0</v>
      </c>
      <c r="R135" s="217"/>
      <c r="S135" s="61">
        <f t="shared" si="29"/>
        <v>0</v>
      </c>
      <c r="T135" s="96">
        <f t="shared" si="30"/>
        <v>0</v>
      </c>
      <c r="U135" s="61">
        <f t="shared" si="31"/>
        <v>0</v>
      </c>
      <c r="V135" s="96">
        <f t="shared" si="32"/>
        <v>0</v>
      </c>
      <c r="W135" s="209" t="str">
        <f t="shared" si="33"/>
        <v>na</v>
      </c>
      <c r="X135" s="115">
        <f t="shared" si="34"/>
        <v>0</v>
      </c>
    </row>
    <row r="136" spans="1:24" ht="15" customHeight="1" thickBot="1" x14ac:dyDescent="0.25">
      <c r="A136" s="3" t="s">
        <v>629</v>
      </c>
      <c r="B136" s="6" t="s">
        <v>664</v>
      </c>
      <c r="C136" s="3" t="s">
        <v>629</v>
      </c>
      <c r="D136" s="6" t="s">
        <v>661</v>
      </c>
      <c r="E136" s="189" t="s">
        <v>317</v>
      </c>
      <c r="F136" s="6"/>
      <c r="G136" s="6">
        <v>27274</v>
      </c>
      <c r="H136" s="6" t="s">
        <v>662</v>
      </c>
      <c r="I136" s="6" t="s">
        <v>663</v>
      </c>
      <c r="J136" s="61" t="str">
        <f t="shared" si="13"/>
        <v>na</v>
      </c>
      <c r="K136" s="61" t="str">
        <f t="shared" si="25"/>
        <v>na</v>
      </c>
      <c r="L136" s="65">
        <f>L$2</f>
        <v>2.42</v>
      </c>
      <c r="M136" s="61">
        <f t="shared" si="26"/>
        <v>0</v>
      </c>
      <c r="O136" s="155">
        <v>0</v>
      </c>
      <c r="P136" s="7">
        <f t="shared" si="27"/>
        <v>2.42</v>
      </c>
      <c r="Q136" s="87">
        <f t="shared" si="28"/>
        <v>0</v>
      </c>
      <c r="R136" s="217"/>
      <c r="S136" s="61">
        <f t="shared" si="29"/>
        <v>0</v>
      </c>
      <c r="T136" s="96">
        <f t="shared" si="30"/>
        <v>0</v>
      </c>
      <c r="U136" s="61">
        <f t="shared" si="31"/>
        <v>0</v>
      </c>
      <c r="V136" s="96">
        <f t="shared" si="32"/>
        <v>0</v>
      </c>
      <c r="W136" s="209" t="str">
        <f t="shared" si="33"/>
        <v>na</v>
      </c>
      <c r="X136" s="115">
        <f t="shared" si="34"/>
        <v>0</v>
      </c>
    </row>
    <row r="137" spans="1:24" ht="15" customHeight="1" thickBot="1" x14ac:dyDescent="0.25">
      <c r="A137" s="3" t="s">
        <v>141</v>
      </c>
      <c r="B137" s="83" t="s">
        <v>190</v>
      </c>
      <c r="C137" s="3">
        <v>4362901</v>
      </c>
      <c r="D137" s="181" t="s">
        <v>665</v>
      </c>
      <c r="E137" s="193">
        <v>37254</v>
      </c>
      <c r="F137" s="85"/>
      <c r="G137" s="66">
        <v>27292</v>
      </c>
      <c r="H137" s="66" t="s">
        <v>666</v>
      </c>
      <c r="I137" s="138" t="s">
        <v>663</v>
      </c>
      <c r="J137" s="109" t="str">
        <f t="shared" si="13"/>
        <v>GW</v>
      </c>
      <c r="K137" s="61">
        <f t="shared" si="25"/>
        <v>164</v>
      </c>
      <c r="L137" s="91">
        <f>+CNGPricing!$H$102</f>
        <v>2.42</v>
      </c>
      <c r="M137" s="61">
        <f t="shared" si="26"/>
        <v>190</v>
      </c>
      <c r="O137" s="155">
        <v>0</v>
      </c>
      <c r="P137" s="63">
        <f t="shared" si="27"/>
        <v>2.42</v>
      </c>
      <c r="Q137" s="76">
        <f t="shared" si="28"/>
        <v>459.8</v>
      </c>
      <c r="R137" s="216"/>
      <c r="S137" s="61">
        <f t="shared" si="29"/>
        <v>0</v>
      </c>
      <c r="T137" s="96">
        <f t="shared" si="30"/>
        <v>0</v>
      </c>
      <c r="U137" s="61">
        <f t="shared" si="31"/>
        <v>190</v>
      </c>
      <c r="V137" s="96">
        <f t="shared" si="32"/>
        <v>459.8</v>
      </c>
      <c r="W137" s="209">
        <f t="shared" si="33"/>
        <v>37254</v>
      </c>
      <c r="X137" s="115">
        <f t="shared" si="34"/>
        <v>0</v>
      </c>
    </row>
    <row r="138" spans="1:24" ht="15" customHeight="1" thickBot="1" x14ac:dyDescent="0.25">
      <c r="A138" s="3" t="s">
        <v>141</v>
      </c>
      <c r="B138" s="83" t="s">
        <v>169</v>
      </c>
      <c r="C138" s="3">
        <v>3553701</v>
      </c>
      <c r="D138" s="181" t="s">
        <v>665</v>
      </c>
      <c r="E138" s="193">
        <v>37254</v>
      </c>
      <c r="F138" s="85"/>
      <c r="G138" s="66">
        <v>27292</v>
      </c>
      <c r="H138" s="66" t="s">
        <v>635</v>
      </c>
      <c r="I138" s="138" t="s">
        <v>663</v>
      </c>
      <c r="J138" s="109" t="str">
        <f t="shared" si="13"/>
        <v>GW</v>
      </c>
      <c r="K138" s="61">
        <f t="shared" si="25"/>
        <v>0</v>
      </c>
      <c r="L138" s="91">
        <f>+CNGPricing!$H$102</f>
        <v>2.42</v>
      </c>
      <c r="M138" s="61">
        <f t="shared" si="26"/>
        <v>0</v>
      </c>
      <c r="O138" s="155">
        <v>0</v>
      </c>
      <c r="P138" s="63">
        <f t="shared" si="27"/>
        <v>2.42</v>
      </c>
      <c r="Q138" s="76">
        <f t="shared" si="28"/>
        <v>0</v>
      </c>
      <c r="R138" s="216"/>
      <c r="S138" s="61">
        <f t="shared" si="29"/>
        <v>0</v>
      </c>
      <c r="T138" s="96">
        <f t="shared" si="30"/>
        <v>0</v>
      </c>
      <c r="U138" s="61">
        <f t="shared" si="31"/>
        <v>0</v>
      </c>
      <c r="V138" s="96">
        <f t="shared" si="32"/>
        <v>0</v>
      </c>
      <c r="W138" s="209">
        <f t="shared" si="33"/>
        <v>37254</v>
      </c>
      <c r="X138" s="115">
        <f t="shared" si="34"/>
        <v>0</v>
      </c>
    </row>
    <row r="139" spans="1:24" ht="15" customHeight="1" thickBot="1" x14ac:dyDescent="0.25">
      <c r="A139" s="3" t="s">
        <v>141</v>
      </c>
      <c r="B139" s="83" t="s">
        <v>170</v>
      </c>
      <c r="C139" s="3">
        <v>3558301</v>
      </c>
      <c r="D139" s="181" t="s">
        <v>665</v>
      </c>
      <c r="E139" s="193">
        <v>37254</v>
      </c>
      <c r="F139" s="85"/>
      <c r="G139" s="66">
        <v>27292</v>
      </c>
      <c r="H139" s="66" t="s">
        <v>635</v>
      </c>
      <c r="I139" s="138" t="s">
        <v>663</v>
      </c>
      <c r="J139" s="109" t="str">
        <f t="shared" si="13"/>
        <v>GW</v>
      </c>
      <c r="K139" s="61">
        <f t="shared" si="25"/>
        <v>224</v>
      </c>
      <c r="L139" s="91">
        <f>+CNGPricing!$H$102</f>
        <v>2.42</v>
      </c>
      <c r="M139" s="61">
        <f t="shared" si="26"/>
        <v>248</v>
      </c>
      <c r="O139" s="155">
        <v>0</v>
      </c>
      <c r="P139" s="63">
        <f t="shared" si="27"/>
        <v>2.42</v>
      </c>
      <c r="Q139" s="76">
        <f t="shared" si="28"/>
        <v>600.16</v>
      </c>
      <c r="R139" s="216"/>
      <c r="S139" s="61">
        <f t="shared" si="29"/>
        <v>0</v>
      </c>
      <c r="T139" s="96">
        <f t="shared" si="30"/>
        <v>0</v>
      </c>
      <c r="U139" s="61">
        <f t="shared" si="31"/>
        <v>248</v>
      </c>
      <c r="V139" s="96">
        <f t="shared" si="32"/>
        <v>600.16</v>
      </c>
      <c r="W139" s="209">
        <f t="shared" si="33"/>
        <v>37254</v>
      </c>
      <c r="X139" s="115">
        <f t="shared" si="34"/>
        <v>0</v>
      </c>
    </row>
    <row r="140" spans="1:24" ht="15" customHeight="1" thickBot="1" x14ac:dyDescent="0.25">
      <c r="A140" s="3" t="s">
        <v>141</v>
      </c>
      <c r="B140" s="83" t="s">
        <v>177</v>
      </c>
      <c r="C140" s="3">
        <v>4333501</v>
      </c>
      <c r="D140" s="181" t="s">
        <v>665</v>
      </c>
      <c r="E140" s="193">
        <v>37254</v>
      </c>
      <c r="F140" s="85"/>
      <c r="G140" s="66">
        <v>27292</v>
      </c>
      <c r="H140" s="66" t="s">
        <v>635</v>
      </c>
      <c r="I140" s="138" t="s">
        <v>663</v>
      </c>
      <c r="J140" s="109" t="str">
        <f t="shared" ref="J140:J203" si="35">IF(ISNA(VLOOKUP(B140,cngdata,7,FALSE)),"na",VLOOKUP(B140,cngdata,7,FALSE))</f>
        <v>GW</v>
      </c>
      <c r="K140" s="61">
        <f t="shared" si="25"/>
        <v>0</v>
      </c>
      <c r="L140" s="91">
        <f>+CNGPricing!$H$102</f>
        <v>2.42</v>
      </c>
      <c r="M140" s="61">
        <f t="shared" si="26"/>
        <v>0</v>
      </c>
      <c r="O140" s="155">
        <v>0</v>
      </c>
      <c r="P140" s="63">
        <f t="shared" si="27"/>
        <v>2.42</v>
      </c>
      <c r="Q140" s="76">
        <f t="shared" si="28"/>
        <v>0</v>
      </c>
      <c r="R140" s="216"/>
      <c r="S140" s="61">
        <f t="shared" si="29"/>
        <v>0</v>
      </c>
      <c r="T140" s="96">
        <f t="shared" si="30"/>
        <v>0</v>
      </c>
      <c r="U140" s="61">
        <f t="shared" si="31"/>
        <v>0</v>
      </c>
      <c r="V140" s="96">
        <f t="shared" si="32"/>
        <v>0</v>
      </c>
      <c r="W140" s="209">
        <f t="shared" si="33"/>
        <v>37254</v>
      </c>
      <c r="X140" s="115">
        <f t="shared" si="34"/>
        <v>0</v>
      </c>
    </row>
    <row r="141" spans="1:24" ht="15" customHeight="1" thickBot="1" x14ac:dyDescent="0.25">
      <c r="A141" s="3" t="s">
        <v>141</v>
      </c>
      <c r="B141" s="83" t="s">
        <v>178</v>
      </c>
      <c r="C141" s="3">
        <v>4336901</v>
      </c>
      <c r="D141" s="181" t="s">
        <v>665</v>
      </c>
      <c r="E141" s="193">
        <v>37254</v>
      </c>
      <c r="F141" s="85"/>
      <c r="G141" s="66">
        <v>27292</v>
      </c>
      <c r="H141" s="66" t="s">
        <v>635</v>
      </c>
      <c r="I141" s="138" t="s">
        <v>663</v>
      </c>
      <c r="J141" s="109" t="str">
        <f t="shared" si="35"/>
        <v>GW</v>
      </c>
      <c r="K141" s="61">
        <f t="shared" si="25"/>
        <v>92</v>
      </c>
      <c r="L141" s="91">
        <f>+CNGPricing!$H$102</f>
        <v>2.42</v>
      </c>
      <c r="M141" s="61">
        <f t="shared" si="26"/>
        <v>104</v>
      </c>
      <c r="O141" s="155">
        <v>0</v>
      </c>
      <c r="P141" s="63">
        <f t="shared" si="27"/>
        <v>2.42</v>
      </c>
      <c r="Q141" s="76">
        <f t="shared" si="28"/>
        <v>251.68</v>
      </c>
      <c r="R141" s="216"/>
      <c r="S141" s="61">
        <f t="shared" si="29"/>
        <v>0</v>
      </c>
      <c r="T141" s="96">
        <f t="shared" si="30"/>
        <v>0</v>
      </c>
      <c r="U141" s="61">
        <f t="shared" si="31"/>
        <v>104</v>
      </c>
      <c r="V141" s="96">
        <f t="shared" si="32"/>
        <v>251.68</v>
      </c>
      <c r="W141" s="209">
        <f t="shared" si="33"/>
        <v>37254</v>
      </c>
      <c r="X141" s="115">
        <f t="shared" si="34"/>
        <v>0</v>
      </c>
    </row>
    <row r="142" spans="1:24" ht="15" customHeight="1" thickBot="1" x14ac:dyDescent="0.25">
      <c r="A142" s="3" t="s">
        <v>141</v>
      </c>
      <c r="B142" s="83" t="s">
        <v>179</v>
      </c>
      <c r="C142" s="3">
        <v>4341201</v>
      </c>
      <c r="D142" s="181" t="s">
        <v>665</v>
      </c>
      <c r="E142" s="193">
        <v>37254</v>
      </c>
      <c r="F142" s="85"/>
      <c r="G142" s="66">
        <v>27292</v>
      </c>
      <c r="H142" s="66" t="s">
        <v>635</v>
      </c>
      <c r="I142" s="138" t="s">
        <v>663</v>
      </c>
      <c r="J142" s="109" t="str">
        <f t="shared" si="35"/>
        <v>GW</v>
      </c>
      <c r="K142" s="61">
        <f t="shared" si="25"/>
        <v>38</v>
      </c>
      <c r="L142" s="91">
        <f>+CNGPricing!$H$102</f>
        <v>2.42</v>
      </c>
      <c r="M142" s="61">
        <f t="shared" si="26"/>
        <v>43</v>
      </c>
      <c r="O142" s="155">
        <v>0</v>
      </c>
      <c r="P142" s="63">
        <f t="shared" si="27"/>
        <v>2.42</v>
      </c>
      <c r="Q142" s="76">
        <f t="shared" si="28"/>
        <v>104.06</v>
      </c>
      <c r="R142" s="216"/>
      <c r="S142" s="61">
        <f t="shared" si="29"/>
        <v>0</v>
      </c>
      <c r="T142" s="96">
        <f t="shared" si="30"/>
        <v>0</v>
      </c>
      <c r="U142" s="61">
        <f t="shared" si="31"/>
        <v>43</v>
      </c>
      <c r="V142" s="96">
        <f t="shared" si="32"/>
        <v>104.06</v>
      </c>
      <c r="W142" s="209">
        <f t="shared" si="33"/>
        <v>37254</v>
      </c>
      <c r="X142" s="115">
        <f t="shared" si="34"/>
        <v>0</v>
      </c>
    </row>
    <row r="143" spans="1:24" ht="15" customHeight="1" thickBot="1" x14ac:dyDescent="0.25">
      <c r="A143" s="3" t="s">
        <v>141</v>
      </c>
      <c r="B143" s="83" t="s">
        <v>182</v>
      </c>
      <c r="C143" s="3">
        <v>4343301</v>
      </c>
      <c r="D143" s="181" t="s">
        <v>665</v>
      </c>
      <c r="E143" s="193">
        <v>37254</v>
      </c>
      <c r="F143" s="85"/>
      <c r="G143" s="66">
        <v>27292</v>
      </c>
      <c r="H143" s="66" t="s">
        <v>635</v>
      </c>
      <c r="I143" s="138" t="s">
        <v>663</v>
      </c>
      <c r="J143" s="109" t="str">
        <f t="shared" si="35"/>
        <v>GW</v>
      </c>
      <c r="K143" s="61">
        <f t="shared" si="25"/>
        <v>191</v>
      </c>
      <c r="L143" s="91">
        <f>+CNGPricing!$H$102</f>
        <v>2.42</v>
      </c>
      <c r="M143" s="61">
        <f t="shared" si="26"/>
        <v>238</v>
      </c>
      <c r="O143" s="155">
        <v>0</v>
      </c>
      <c r="P143" s="63">
        <f t="shared" si="27"/>
        <v>2.42</v>
      </c>
      <c r="Q143" s="76">
        <f t="shared" si="28"/>
        <v>575.96</v>
      </c>
      <c r="R143" s="216"/>
      <c r="S143" s="61">
        <f t="shared" si="29"/>
        <v>0</v>
      </c>
      <c r="T143" s="96">
        <f t="shared" si="30"/>
        <v>0</v>
      </c>
      <c r="U143" s="61">
        <f t="shared" si="31"/>
        <v>238</v>
      </c>
      <c r="V143" s="96">
        <f t="shared" si="32"/>
        <v>575.96</v>
      </c>
      <c r="W143" s="209">
        <f t="shared" si="33"/>
        <v>37254</v>
      </c>
      <c r="X143" s="115">
        <f t="shared" si="34"/>
        <v>0</v>
      </c>
    </row>
    <row r="144" spans="1:24" ht="15" customHeight="1" thickBot="1" x14ac:dyDescent="0.25">
      <c r="A144" s="3" t="s">
        <v>141</v>
      </c>
      <c r="B144" s="83" t="s">
        <v>183</v>
      </c>
      <c r="C144" s="3">
        <v>4345701</v>
      </c>
      <c r="D144" s="181" t="s">
        <v>665</v>
      </c>
      <c r="E144" s="193">
        <v>37254</v>
      </c>
      <c r="F144" s="85"/>
      <c r="G144" s="66">
        <v>27292</v>
      </c>
      <c r="H144" s="66" t="s">
        <v>635</v>
      </c>
      <c r="I144" s="138" t="s">
        <v>663</v>
      </c>
      <c r="J144" s="109" t="str">
        <f t="shared" si="35"/>
        <v>GW</v>
      </c>
      <c r="K144" s="61">
        <f t="shared" si="25"/>
        <v>136</v>
      </c>
      <c r="L144" s="91">
        <f>+CNGPricing!$H$102</f>
        <v>2.42</v>
      </c>
      <c r="M144" s="61">
        <f t="shared" si="26"/>
        <v>151</v>
      </c>
      <c r="O144" s="155">
        <v>0</v>
      </c>
      <c r="P144" s="63">
        <f t="shared" si="27"/>
        <v>2.42</v>
      </c>
      <c r="Q144" s="76">
        <f t="shared" si="28"/>
        <v>365.42</v>
      </c>
      <c r="R144" s="216"/>
      <c r="S144" s="61">
        <f t="shared" si="29"/>
        <v>0</v>
      </c>
      <c r="T144" s="96">
        <f t="shared" si="30"/>
        <v>0</v>
      </c>
      <c r="U144" s="61">
        <f t="shared" si="31"/>
        <v>151</v>
      </c>
      <c r="V144" s="96">
        <f t="shared" si="32"/>
        <v>365.42</v>
      </c>
      <c r="W144" s="209">
        <f t="shared" si="33"/>
        <v>37254</v>
      </c>
      <c r="X144" s="115">
        <f t="shared" si="34"/>
        <v>0</v>
      </c>
    </row>
    <row r="145" spans="1:24" ht="15" customHeight="1" thickBot="1" x14ac:dyDescent="0.25">
      <c r="A145" s="3" t="s">
        <v>141</v>
      </c>
      <c r="B145" s="83" t="s">
        <v>184</v>
      </c>
      <c r="C145" s="3">
        <v>4345801</v>
      </c>
      <c r="D145" s="181" t="s">
        <v>665</v>
      </c>
      <c r="E145" s="193">
        <v>37254</v>
      </c>
      <c r="F145" s="85"/>
      <c r="G145" s="66">
        <v>27292</v>
      </c>
      <c r="H145" s="66" t="s">
        <v>635</v>
      </c>
      <c r="I145" s="138" t="s">
        <v>663</v>
      </c>
      <c r="J145" s="109" t="str">
        <f t="shared" si="35"/>
        <v>GW</v>
      </c>
      <c r="K145" s="61">
        <f t="shared" si="25"/>
        <v>20</v>
      </c>
      <c r="L145" s="91">
        <f>+CNGPricing!$H$102</f>
        <v>2.42</v>
      </c>
      <c r="M145" s="61">
        <f t="shared" si="26"/>
        <v>23</v>
      </c>
      <c r="O145" s="155">
        <v>0</v>
      </c>
      <c r="P145" s="63">
        <f t="shared" si="27"/>
        <v>2.42</v>
      </c>
      <c r="Q145" s="76">
        <f t="shared" si="28"/>
        <v>55.66</v>
      </c>
      <c r="R145" s="216"/>
      <c r="S145" s="61">
        <f t="shared" si="29"/>
        <v>0</v>
      </c>
      <c r="T145" s="96">
        <f t="shared" si="30"/>
        <v>0</v>
      </c>
      <c r="U145" s="61">
        <f t="shared" si="31"/>
        <v>23</v>
      </c>
      <c r="V145" s="96">
        <f t="shared" si="32"/>
        <v>55.66</v>
      </c>
      <c r="W145" s="209">
        <f t="shared" si="33"/>
        <v>37254</v>
      </c>
      <c r="X145" s="115">
        <f t="shared" si="34"/>
        <v>0</v>
      </c>
    </row>
    <row r="146" spans="1:24" ht="15" customHeight="1" thickBot="1" x14ac:dyDescent="0.25">
      <c r="A146" s="3" t="s">
        <v>141</v>
      </c>
      <c r="B146" s="83" t="s">
        <v>185</v>
      </c>
      <c r="C146" s="3">
        <v>4349401</v>
      </c>
      <c r="D146" s="181" t="s">
        <v>665</v>
      </c>
      <c r="E146" s="193">
        <v>37254</v>
      </c>
      <c r="F146" s="85"/>
      <c r="G146" s="66">
        <v>27292</v>
      </c>
      <c r="H146" s="66" t="s">
        <v>635</v>
      </c>
      <c r="I146" s="138" t="s">
        <v>663</v>
      </c>
      <c r="J146" s="109" t="str">
        <f t="shared" si="35"/>
        <v>GW</v>
      </c>
      <c r="K146" s="61">
        <f t="shared" si="25"/>
        <v>176</v>
      </c>
      <c r="L146" s="91">
        <f>+CNGPricing!$H$102</f>
        <v>2.42</v>
      </c>
      <c r="M146" s="61">
        <f t="shared" si="26"/>
        <v>204</v>
      </c>
      <c r="O146" s="155">
        <v>0</v>
      </c>
      <c r="P146" s="63">
        <f t="shared" si="27"/>
        <v>2.42</v>
      </c>
      <c r="Q146" s="76">
        <f t="shared" si="28"/>
        <v>493.68</v>
      </c>
      <c r="R146" s="216"/>
      <c r="S146" s="61">
        <f t="shared" si="29"/>
        <v>0</v>
      </c>
      <c r="T146" s="96">
        <f t="shared" si="30"/>
        <v>0</v>
      </c>
      <c r="U146" s="61">
        <f t="shared" si="31"/>
        <v>204</v>
      </c>
      <c r="V146" s="96">
        <f t="shared" si="32"/>
        <v>493.68</v>
      </c>
      <c r="W146" s="209">
        <f t="shared" si="33"/>
        <v>37254</v>
      </c>
      <c r="X146" s="115">
        <f t="shared" si="34"/>
        <v>0</v>
      </c>
    </row>
    <row r="147" spans="1:24" ht="15" customHeight="1" thickBot="1" x14ac:dyDescent="0.25">
      <c r="A147" s="3" t="s">
        <v>141</v>
      </c>
      <c r="B147" s="83" t="s">
        <v>189</v>
      </c>
      <c r="C147" s="3">
        <v>4362801</v>
      </c>
      <c r="D147" s="181" t="s">
        <v>665</v>
      </c>
      <c r="E147" s="193">
        <v>37254</v>
      </c>
      <c r="F147" s="85"/>
      <c r="G147" s="66">
        <v>27292</v>
      </c>
      <c r="H147" s="66" t="s">
        <v>635</v>
      </c>
      <c r="I147" s="138" t="s">
        <v>663</v>
      </c>
      <c r="J147" s="109" t="str">
        <f t="shared" si="35"/>
        <v>GW</v>
      </c>
      <c r="K147" s="61">
        <f t="shared" si="25"/>
        <v>174</v>
      </c>
      <c r="L147" s="91">
        <f>+CNGPricing!$H$102</f>
        <v>2.42</v>
      </c>
      <c r="M147" s="61">
        <f t="shared" si="26"/>
        <v>201</v>
      </c>
      <c r="O147" s="155">
        <v>0</v>
      </c>
      <c r="P147" s="63">
        <f t="shared" si="27"/>
        <v>2.42</v>
      </c>
      <c r="Q147" s="76">
        <f t="shared" si="28"/>
        <v>486.41999999999996</v>
      </c>
      <c r="R147" s="216"/>
      <c r="S147" s="61">
        <f t="shared" si="29"/>
        <v>0</v>
      </c>
      <c r="T147" s="96">
        <f t="shared" si="30"/>
        <v>0</v>
      </c>
      <c r="U147" s="61">
        <f t="shared" si="31"/>
        <v>201</v>
      </c>
      <c r="V147" s="96">
        <f t="shared" si="32"/>
        <v>486.41999999999996</v>
      </c>
      <c r="W147" s="209">
        <f t="shared" si="33"/>
        <v>37254</v>
      </c>
      <c r="X147" s="115">
        <f t="shared" si="34"/>
        <v>0</v>
      </c>
    </row>
    <row r="148" spans="1:24" ht="15" customHeight="1" thickBot="1" x14ac:dyDescent="0.25">
      <c r="A148" s="3" t="s">
        <v>141</v>
      </c>
      <c r="B148" s="6" t="s">
        <v>191</v>
      </c>
      <c r="C148" s="3">
        <v>4364001</v>
      </c>
      <c r="D148" s="181" t="s">
        <v>665</v>
      </c>
      <c r="E148" s="193">
        <v>37254</v>
      </c>
      <c r="F148" s="85"/>
      <c r="G148" s="66">
        <v>27292</v>
      </c>
      <c r="H148" s="66" t="s">
        <v>666</v>
      </c>
      <c r="I148" s="138" t="s">
        <v>663</v>
      </c>
      <c r="J148" s="109" t="str">
        <f t="shared" si="35"/>
        <v>GW</v>
      </c>
      <c r="K148" s="61">
        <f t="shared" si="25"/>
        <v>348</v>
      </c>
      <c r="L148" s="91">
        <f>+CNGPricing!$H$102</f>
        <v>2.42</v>
      </c>
      <c r="M148" s="61">
        <f t="shared" si="26"/>
        <v>386</v>
      </c>
      <c r="O148" s="155">
        <v>0</v>
      </c>
      <c r="P148" s="75">
        <f t="shared" si="27"/>
        <v>2.42</v>
      </c>
      <c r="Q148" s="76">
        <f t="shared" si="28"/>
        <v>934.12</v>
      </c>
      <c r="R148" s="216"/>
      <c r="S148" s="61">
        <f t="shared" si="29"/>
        <v>0</v>
      </c>
      <c r="T148" s="96">
        <f t="shared" si="30"/>
        <v>0</v>
      </c>
      <c r="U148" s="61">
        <f t="shared" si="31"/>
        <v>386</v>
      </c>
      <c r="V148" s="96">
        <f t="shared" si="32"/>
        <v>934.12</v>
      </c>
      <c r="W148" s="209">
        <f t="shared" si="33"/>
        <v>37254</v>
      </c>
      <c r="X148" s="115">
        <f t="shared" si="34"/>
        <v>0</v>
      </c>
    </row>
    <row r="149" spans="1:24" ht="15" customHeight="1" thickBot="1" x14ac:dyDescent="0.25">
      <c r="A149" s="3" t="s">
        <v>141</v>
      </c>
      <c r="B149" s="83" t="s">
        <v>245</v>
      </c>
      <c r="C149" s="3">
        <v>4023601</v>
      </c>
      <c r="D149" s="181" t="s">
        <v>665</v>
      </c>
      <c r="E149" s="193">
        <v>37254</v>
      </c>
      <c r="F149" s="85"/>
      <c r="G149" s="66">
        <v>27292</v>
      </c>
      <c r="H149" s="66" t="s">
        <v>635</v>
      </c>
      <c r="I149" s="138" t="s">
        <v>663</v>
      </c>
      <c r="J149" s="109" t="str">
        <f t="shared" si="35"/>
        <v>GW</v>
      </c>
      <c r="K149" s="61">
        <f t="shared" si="25"/>
        <v>52</v>
      </c>
      <c r="L149" s="91">
        <f>+CNGPricing!$H$102</f>
        <v>2.42</v>
      </c>
      <c r="M149" s="61">
        <f t="shared" si="26"/>
        <v>60</v>
      </c>
      <c r="O149" s="155">
        <v>0</v>
      </c>
      <c r="P149" s="63">
        <f t="shared" si="27"/>
        <v>2.42</v>
      </c>
      <c r="Q149" s="76">
        <f t="shared" si="28"/>
        <v>145.19999999999999</v>
      </c>
      <c r="R149" s="216"/>
      <c r="S149" s="61">
        <f t="shared" si="29"/>
        <v>7</v>
      </c>
      <c r="T149" s="96">
        <f t="shared" si="30"/>
        <v>16.939999999999998</v>
      </c>
      <c r="U149" s="61">
        <f t="shared" si="31"/>
        <v>53</v>
      </c>
      <c r="V149" s="96">
        <f t="shared" si="32"/>
        <v>128.26</v>
      </c>
      <c r="W149" s="209">
        <f t="shared" si="33"/>
        <v>37254</v>
      </c>
      <c r="X149" s="115">
        <f t="shared" si="34"/>
        <v>0</v>
      </c>
    </row>
    <row r="150" spans="1:24" ht="15" customHeight="1" thickBot="1" x14ac:dyDescent="0.25">
      <c r="A150" s="3" t="s">
        <v>141</v>
      </c>
      <c r="B150" s="83" t="s">
        <v>255</v>
      </c>
      <c r="C150" s="3">
        <v>4336801</v>
      </c>
      <c r="D150" s="181" t="s">
        <v>665</v>
      </c>
      <c r="E150" s="193">
        <v>37254</v>
      </c>
      <c r="F150" s="85"/>
      <c r="G150" s="66">
        <v>27292</v>
      </c>
      <c r="H150" s="66" t="s">
        <v>635</v>
      </c>
      <c r="I150" s="138" t="s">
        <v>663</v>
      </c>
      <c r="J150" s="109" t="str">
        <f t="shared" si="35"/>
        <v>GW</v>
      </c>
      <c r="K150" s="61">
        <f t="shared" si="25"/>
        <v>382</v>
      </c>
      <c r="L150" s="91">
        <f>+CNGPricing!$H$102</f>
        <v>2.42</v>
      </c>
      <c r="M150" s="61">
        <f t="shared" si="26"/>
        <v>456</v>
      </c>
      <c r="O150" s="155">
        <v>0</v>
      </c>
      <c r="P150" s="63">
        <f t="shared" si="27"/>
        <v>2.42</v>
      </c>
      <c r="Q150" s="76">
        <f t="shared" si="28"/>
        <v>1103.52</v>
      </c>
      <c r="R150" s="216"/>
      <c r="S150" s="61">
        <f t="shared" si="29"/>
        <v>0</v>
      </c>
      <c r="T150" s="96">
        <f t="shared" si="30"/>
        <v>0</v>
      </c>
      <c r="U150" s="61">
        <f t="shared" si="31"/>
        <v>456</v>
      </c>
      <c r="V150" s="96">
        <f t="shared" si="32"/>
        <v>1103.52</v>
      </c>
      <c r="W150" s="209">
        <f t="shared" si="33"/>
        <v>37254</v>
      </c>
      <c r="X150" s="115">
        <f t="shared" si="34"/>
        <v>0</v>
      </c>
    </row>
    <row r="151" spans="1:24" ht="15" customHeight="1" thickBot="1" x14ac:dyDescent="0.25">
      <c r="A151" s="3" t="s">
        <v>141</v>
      </c>
      <c r="B151" s="83" t="s">
        <v>167</v>
      </c>
      <c r="C151" s="3">
        <v>3552801</v>
      </c>
      <c r="D151" s="181" t="s">
        <v>665</v>
      </c>
      <c r="E151" s="193">
        <v>37254</v>
      </c>
      <c r="F151" s="85"/>
      <c r="G151" s="66">
        <v>27292</v>
      </c>
      <c r="H151" s="66" t="s">
        <v>666</v>
      </c>
      <c r="I151" s="138" t="s">
        <v>663</v>
      </c>
      <c r="J151" s="109" t="str">
        <f t="shared" si="35"/>
        <v>GW</v>
      </c>
      <c r="K151" s="61">
        <f t="shared" si="25"/>
        <v>0</v>
      </c>
      <c r="L151" s="91">
        <f>+CNGPricing!$H$102</f>
        <v>2.42</v>
      </c>
      <c r="M151" s="61">
        <f t="shared" si="26"/>
        <v>0</v>
      </c>
      <c r="O151" s="155">
        <v>0</v>
      </c>
      <c r="P151" s="63">
        <f t="shared" si="27"/>
        <v>2.42</v>
      </c>
      <c r="Q151" s="76">
        <f t="shared" si="28"/>
        <v>0</v>
      </c>
      <c r="R151" s="216"/>
      <c r="S151" s="61">
        <f t="shared" si="29"/>
        <v>0</v>
      </c>
      <c r="T151" s="96">
        <f t="shared" si="30"/>
        <v>0</v>
      </c>
      <c r="U151" s="61">
        <f t="shared" si="31"/>
        <v>0</v>
      </c>
      <c r="V151" s="96">
        <f t="shared" si="32"/>
        <v>0</v>
      </c>
      <c r="W151" s="209">
        <f t="shared" si="33"/>
        <v>37254</v>
      </c>
      <c r="X151" s="115">
        <f t="shared" si="34"/>
        <v>0</v>
      </c>
    </row>
    <row r="152" spans="1:24" ht="15" customHeight="1" thickBot="1" x14ac:dyDescent="0.25">
      <c r="A152" s="3" t="s">
        <v>141</v>
      </c>
      <c r="B152" s="83" t="s">
        <v>290</v>
      </c>
      <c r="C152" s="3">
        <v>1091301</v>
      </c>
      <c r="D152" s="181" t="s">
        <v>665</v>
      </c>
      <c r="E152" s="193">
        <v>37254</v>
      </c>
      <c r="F152" s="85"/>
      <c r="G152" s="66">
        <v>27292</v>
      </c>
      <c r="H152" s="66" t="s">
        <v>666</v>
      </c>
      <c r="I152" s="138" t="s">
        <v>663</v>
      </c>
      <c r="J152" s="109" t="str">
        <f t="shared" si="35"/>
        <v>GW</v>
      </c>
      <c r="K152" s="61">
        <f t="shared" si="25"/>
        <v>0</v>
      </c>
      <c r="L152" s="91">
        <f>+CNGPricing!$H$102</f>
        <v>2.42</v>
      </c>
      <c r="M152" s="61">
        <f t="shared" si="26"/>
        <v>4</v>
      </c>
      <c r="O152" s="155">
        <v>0</v>
      </c>
      <c r="P152" s="63">
        <f t="shared" si="27"/>
        <v>2.42</v>
      </c>
      <c r="Q152" s="76">
        <f t="shared" si="28"/>
        <v>9.68</v>
      </c>
      <c r="R152" s="216"/>
      <c r="S152" s="61">
        <f t="shared" si="29"/>
        <v>0</v>
      </c>
      <c r="T152" s="96">
        <f t="shared" si="30"/>
        <v>0</v>
      </c>
      <c r="U152" s="61">
        <f t="shared" si="31"/>
        <v>4</v>
      </c>
      <c r="V152" s="96">
        <f t="shared" si="32"/>
        <v>9.68</v>
      </c>
      <c r="W152" s="209">
        <f t="shared" si="33"/>
        <v>37254</v>
      </c>
      <c r="X152" s="115">
        <f t="shared" si="34"/>
        <v>0</v>
      </c>
    </row>
    <row r="153" spans="1:24" ht="15" customHeight="1" thickBot="1" x14ac:dyDescent="0.25">
      <c r="A153" s="3" t="s">
        <v>141</v>
      </c>
      <c r="B153" s="83" t="s">
        <v>291</v>
      </c>
      <c r="C153" s="3">
        <v>1078001</v>
      </c>
      <c r="D153" s="181" t="s">
        <v>665</v>
      </c>
      <c r="E153" s="193">
        <v>37254</v>
      </c>
      <c r="F153" s="85"/>
      <c r="G153" s="66">
        <v>27292</v>
      </c>
      <c r="H153" s="66" t="s">
        <v>666</v>
      </c>
      <c r="I153" s="138" t="s">
        <v>663</v>
      </c>
      <c r="J153" s="109" t="str">
        <f t="shared" si="35"/>
        <v>GW</v>
      </c>
      <c r="K153" s="61">
        <f t="shared" si="25"/>
        <v>0</v>
      </c>
      <c r="L153" s="91">
        <f>+CNGPricing!$H$102</f>
        <v>2.42</v>
      </c>
      <c r="M153" s="61">
        <f t="shared" si="26"/>
        <v>0</v>
      </c>
      <c r="O153" s="155">
        <v>0</v>
      </c>
      <c r="P153" s="63">
        <f t="shared" si="27"/>
        <v>2.42</v>
      </c>
      <c r="Q153" s="76">
        <f t="shared" si="28"/>
        <v>0</v>
      </c>
      <c r="R153" s="216"/>
      <c r="S153" s="61">
        <f t="shared" si="29"/>
        <v>0</v>
      </c>
      <c r="T153" s="96">
        <f t="shared" si="30"/>
        <v>0</v>
      </c>
      <c r="U153" s="61">
        <f t="shared" si="31"/>
        <v>0</v>
      </c>
      <c r="V153" s="96">
        <f t="shared" si="32"/>
        <v>0</v>
      </c>
      <c r="W153" s="209">
        <f t="shared" si="33"/>
        <v>37254</v>
      </c>
      <c r="X153" s="115">
        <f t="shared" si="34"/>
        <v>0</v>
      </c>
    </row>
    <row r="154" spans="1:24" ht="15" customHeight="1" thickBot="1" x14ac:dyDescent="0.25">
      <c r="A154" s="3" t="s">
        <v>141</v>
      </c>
      <c r="B154" s="83" t="s">
        <v>293</v>
      </c>
      <c r="C154" s="3">
        <v>4354501</v>
      </c>
      <c r="D154" s="181" t="s">
        <v>665</v>
      </c>
      <c r="E154" s="193">
        <v>37254</v>
      </c>
      <c r="F154" s="85"/>
      <c r="G154" s="66">
        <v>27292</v>
      </c>
      <c r="H154" s="66" t="s">
        <v>666</v>
      </c>
      <c r="I154" s="138" t="s">
        <v>663</v>
      </c>
      <c r="J154" s="109" t="str">
        <f t="shared" si="35"/>
        <v>GW</v>
      </c>
      <c r="K154" s="61">
        <f t="shared" si="25"/>
        <v>272</v>
      </c>
      <c r="L154" s="91">
        <f>+CNGPricing!$H$102</f>
        <v>2.42</v>
      </c>
      <c r="M154" s="61">
        <f t="shared" si="26"/>
        <v>304</v>
      </c>
      <c r="O154" s="155">
        <v>0</v>
      </c>
      <c r="P154" s="63">
        <f t="shared" si="27"/>
        <v>2.42</v>
      </c>
      <c r="Q154" s="76">
        <f t="shared" si="28"/>
        <v>735.68</v>
      </c>
      <c r="R154" s="216"/>
      <c r="S154" s="61">
        <f t="shared" si="29"/>
        <v>0</v>
      </c>
      <c r="T154" s="96">
        <f t="shared" si="30"/>
        <v>0</v>
      </c>
      <c r="U154" s="61">
        <f t="shared" si="31"/>
        <v>304</v>
      </c>
      <c r="V154" s="96">
        <f t="shared" si="32"/>
        <v>735.68</v>
      </c>
      <c r="W154" s="209">
        <f t="shared" si="33"/>
        <v>37257</v>
      </c>
      <c r="X154" s="115">
        <f t="shared" si="34"/>
        <v>0</v>
      </c>
    </row>
    <row r="155" spans="1:24" ht="15" customHeight="1" thickBot="1" x14ac:dyDescent="0.25">
      <c r="A155" s="3" t="s">
        <v>141</v>
      </c>
      <c r="B155" s="83" t="s">
        <v>256</v>
      </c>
      <c r="C155" s="3">
        <v>3129101</v>
      </c>
      <c r="D155" s="181" t="s">
        <v>665</v>
      </c>
      <c r="E155" s="193">
        <v>37254</v>
      </c>
      <c r="F155" s="3"/>
      <c r="G155" s="1">
        <v>31420</v>
      </c>
      <c r="H155" s="1" t="s">
        <v>667</v>
      </c>
      <c r="I155" s="138" t="s">
        <v>668</v>
      </c>
      <c r="J155" s="61" t="str">
        <f t="shared" si="35"/>
        <v>GW</v>
      </c>
      <c r="K155" s="61">
        <f>IF(ISNA(VLOOKUP(B155,cngdata,13,FALSE)),"na",VLOOKUP(B155,cngdata,13,FALSE))</f>
        <v>54</v>
      </c>
      <c r="L155" s="139">
        <f>L$2</f>
        <v>2.42</v>
      </c>
      <c r="M155" s="61">
        <f>IF(ISNA(VLOOKUP(B155,cngdata,14,FALSE)),0,VLOOKUP(B155,cngdata,14,FALSE))</f>
        <v>75</v>
      </c>
      <c r="O155" s="155">
        <v>0</v>
      </c>
      <c r="P155" s="63">
        <f t="shared" si="27"/>
        <v>2.42</v>
      </c>
      <c r="Q155" s="64">
        <f t="shared" si="28"/>
        <v>181.5</v>
      </c>
      <c r="R155" s="216"/>
      <c r="S155" s="61">
        <f t="shared" si="29"/>
        <v>75</v>
      </c>
      <c r="T155" s="96">
        <f t="shared" si="30"/>
        <v>181.5</v>
      </c>
      <c r="U155" s="61">
        <f t="shared" si="31"/>
        <v>0</v>
      </c>
      <c r="V155" s="96">
        <f t="shared" si="32"/>
        <v>0</v>
      </c>
      <c r="W155" s="209" t="str">
        <f t="shared" si="33"/>
        <v>na</v>
      </c>
      <c r="X155" s="115">
        <f t="shared" si="34"/>
        <v>0</v>
      </c>
    </row>
    <row r="156" spans="1:24" ht="15" customHeight="1" thickBot="1" x14ac:dyDescent="0.25">
      <c r="A156" s="3" t="s">
        <v>124</v>
      </c>
      <c r="B156" s="83" t="s">
        <v>127</v>
      </c>
      <c r="C156" s="3">
        <v>2026901</v>
      </c>
      <c r="D156" s="138" t="s">
        <v>128</v>
      </c>
      <c r="E156" s="191">
        <v>37228</v>
      </c>
      <c r="F156" s="3"/>
      <c r="G156" s="1">
        <v>35823</v>
      </c>
      <c r="H156" s="1" t="s">
        <v>670</v>
      </c>
      <c r="I156" s="1" t="s">
        <v>671</v>
      </c>
      <c r="J156" s="61" t="str">
        <f t="shared" si="35"/>
        <v>GD</v>
      </c>
      <c r="K156" s="61">
        <f t="shared" ref="K156:K217" si="36">IF(ISNA(VLOOKUP(B156,cngdata,13,FALSE)),"na",VLOOKUP(B156,cngdata,13,FALSE))</f>
        <v>0</v>
      </c>
      <c r="L156" s="65">
        <v>2</v>
      </c>
      <c r="M156" s="61">
        <f t="shared" ref="M156:M217" si="37">IF(ISNA(VLOOKUP(B156,cngdata,14,FALSE)),0,VLOOKUP(B156,cngdata,14,FALSE))</f>
        <v>427</v>
      </c>
      <c r="O156" s="155">
        <v>0</v>
      </c>
      <c r="P156" s="63">
        <f t="shared" si="27"/>
        <v>2</v>
      </c>
      <c r="Q156" s="64">
        <f t="shared" si="28"/>
        <v>854</v>
      </c>
      <c r="R156" s="216"/>
      <c r="S156" s="61">
        <f t="shared" si="29"/>
        <v>29</v>
      </c>
      <c r="T156" s="96">
        <f t="shared" si="30"/>
        <v>58</v>
      </c>
      <c r="U156" s="61">
        <f t="shared" si="31"/>
        <v>398</v>
      </c>
      <c r="V156" s="96">
        <f t="shared" si="32"/>
        <v>796</v>
      </c>
      <c r="W156" s="209">
        <f t="shared" si="33"/>
        <v>37228</v>
      </c>
      <c r="X156" s="115">
        <f t="shared" si="34"/>
        <v>0</v>
      </c>
    </row>
    <row r="157" spans="1:24" ht="15" customHeight="1" thickBot="1" x14ac:dyDescent="0.25">
      <c r="A157" s="3" t="s">
        <v>141</v>
      </c>
      <c r="B157" s="83" t="s">
        <v>264</v>
      </c>
      <c r="C157" s="3">
        <v>3512101</v>
      </c>
      <c r="D157" s="192" t="s">
        <v>608</v>
      </c>
      <c r="E157" s="193">
        <v>37256</v>
      </c>
      <c r="F157" s="3"/>
      <c r="G157" s="3">
        <v>37148</v>
      </c>
      <c r="H157" s="3" t="s">
        <v>595</v>
      </c>
      <c r="I157" s="80" t="s">
        <v>324</v>
      </c>
      <c r="J157" s="61" t="str">
        <f t="shared" si="35"/>
        <v>GW</v>
      </c>
      <c r="K157" s="61">
        <f t="shared" si="36"/>
        <v>0</v>
      </c>
      <c r="L157" s="74">
        <f t="shared" ref="L157:L170" si="38">L$2*100%</f>
        <v>2.42</v>
      </c>
      <c r="M157" s="61">
        <f t="shared" si="37"/>
        <v>0</v>
      </c>
      <c r="O157" s="155">
        <v>0</v>
      </c>
      <c r="P157" s="63">
        <f t="shared" si="27"/>
        <v>2.42</v>
      </c>
      <c r="Q157" s="64">
        <f t="shared" si="28"/>
        <v>0</v>
      </c>
      <c r="R157" s="216"/>
      <c r="S157" s="61">
        <f t="shared" si="29"/>
        <v>0</v>
      </c>
      <c r="T157" s="96">
        <f t="shared" si="30"/>
        <v>0</v>
      </c>
      <c r="U157" s="61">
        <f t="shared" si="31"/>
        <v>0</v>
      </c>
      <c r="V157" s="96">
        <f t="shared" si="32"/>
        <v>0</v>
      </c>
      <c r="W157" s="209">
        <f t="shared" si="33"/>
        <v>37256</v>
      </c>
      <c r="X157" s="115">
        <f t="shared" si="34"/>
        <v>0</v>
      </c>
    </row>
    <row r="158" spans="1:24" ht="15" customHeight="1" thickBot="1" x14ac:dyDescent="0.25">
      <c r="A158" s="3" t="s">
        <v>141</v>
      </c>
      <c r="B158" s="83" t="s">
        <v>265</v>
      </c>
      <c r="C158" s="3">
        <v>3524201</v>
      </c>
      <c r="D158" s="192" t="s">
        <v>608</v>
      </c>
      <c r="E158" s="193">
        <v>37256</v>
      </c>
      <c r="F158" s="3"/>
      <c r="G158" s="3">
        <v>37148</v>
      </c>
      <c r="H158" s="3" t="s">
        <v>595</v>
      </c>
      <c r="I158" s="80" t="s">
        <v>324</v>
      </c>
      <c r="J158" s="61" t="str">
        <f t="shared" si="35"/>
        <v>GW</v>
      </c>
      <c r="K158" s="61">
        <f t="shared" si="36"/>
        <v>49</v>
      </c>
      <c r="L158" s="74">
        <f t="shared" si="38"/>
        <v>2.42</v>
      </c>
      <c r="M158" s="61">
        <f t="shared" si="37"/>
        <v>57</v>
      </c>
      <c r="O158" s="155">
        <v>0</v>
      </c>
      <c r="P158" s="63">
        <f t="shared" si="27"/>
        <v>2.42</v>
      </c>
      <c r="Q158" s="64">
        <f t="shared" si="28"/>
        <v>137.94</v>
      </c>
      <c r="R158" s="216"/>
      <c r="S158" s="61">
        <f t="shared" si="29"/>
        <v>50</v>
      </c>
      <c r="T158" s="96">
        <f t="shared" si="30"/>
        <v>121</v>
      </c>
      <c r="U158" s="61">
        <f t="shared" si="31"/>
        <v>7</v>
      </c>
      <c r="V158" s="96">
        <f t="shared" si="32"/>
        <v>16.939999999999998</v>
      </c>
      <c r="W158" s="209">
        <f t="shared" si="33"/>
        <v>37256</v>
      </c>
      <c r="X158" s="115">
        <f t="shared" si="34"/>
        <v>0</v>
      </c>
    </row>
    <row r="159" spans="1:24" ht="15" customHeight="1" thickBot="1" x14ac:dyDescent="0.25">
      <c r="A159" s="3" t="s">
        <v>141</v>
      </c>
      <c r="B159" s="83" t="s">
        <v>266</v>
      </c>
      <c r="C159" s="3">
        <v>3541601</v>
      </c>
      <c r="D159" s="192" t="s">
        <v>608</v>
      </c>
      <c r="E159" s="193">
        <v>37256</v>
      </c>
      <c r="F159" s="3"/>
      <c r="G159" s="3">
        <v>37148</v>
      </c>
      <c r="H159" s="3" t="s">
        <v>595</v>
      </c>
      <c r="I159" s="80" t="s">
        <v>324</v>
      </c>
      <c r="J159" s="61" t="str">
        <f t="shared" si="35"/>
        <v>GW</v>
      </c>
      <c r="K159" s="61">
        <f t="shared" si="36"/>
        <v>45</v>
      </c>
      <c r="L159" s="74">
        <f t="shared" si="38"/>
        <v>2.42</v>
      </c>
      <c r="M159" s="61">
        <f t="shared" si="37"/>
        <v>53</v>
      </c>
      <c r="O159" s="155">
        <v>0</v>
      </c>
      <c r="P159" s="63">
        <f t="shared" si="27"/>
        <v>2.42</v>
      </c>
      <c r="Q159" s="64">
        <f t="shared" si="28"/>
        <v>128.26</v>
      </c>
      <c r="R159" s="216"/>
      <c r="S159" s="61">
        <f t="shared" si="29"/>
        <v>35</v>
      </c>
      <c r="T159" s="96">
        <f t="shared" si="30"/>
        <v>84.7</v>
      </c>
      <c r="U159" s="61">
        <f t="shared" si="31"/>
        <v>18</v>
      </c>
      <c r="V159" s="96">
        <f t="shared" si="32"/>
        <v>43.56</v>
      </c>
      <c r="W159" s="209">
        <f t="shared" si="33"/>
        <v>37256</v>
      </c>
      <c r="X159" s="115">
        <f t="shared" si="34"/>
        <v>0</v>
      </c>
    </row>
    <row r="160" spans="1:24" ht="15" customHeight="1" thickBot="1" x14ac:dyDescent="0.25">
      <c r="A160" s="3" t="s">
        <v>141</v>
      </c>
      <c r="B160" s="83" t="s">
        <v>274</v>
      </c>
      <c r="C160" s="3">
        <v>3178601</v>
      </c>
      <c r="D160" s="192" t="s">
        <v>608</v>
      </c>
      <c r="E160" s="193">
        <v>37256</v>
      </c>
      <c r="F160" s="3"/>
      <c r="G160" s="3">
        <v>37148</v>
      </c>
      <c r="H160" s="3" t="s">
        <v>595</v>
      </c>
      <c r="I160" s="80" t="s">
        <v>324</v>
      </c>
      <c r="J160" s="61" t="str">
        <f t="shared" si="35"/>
        <v>GW</v>
      </c>
      <c r="K160" s="61">
        <f t="shared" si="36"/>
        <v>917</v>
      </c>
      <c r="L160" s="74">
        <f t="shared" si="38"/>
        <v>2.42</v>
      </c>
      <c r="M160" s="61">
        <f t="shared" si="37"/>
        <v>1111</v>
      </c>
      <c r="O160" s="155">
        <v>0</v>
      </c>
      <c r="P160" s="63">
        <f t="shared" si="27"/>
        <v>2.42</v>
      </c>
      <c r="Q160" s="64">
        <f t="shared" si="28"/>
        <v>2688.62</v>
      </c>
      <c r="R160" s="216"/>
      <c r="S160" s="61">
        <f t="shared" si="29"/>
        <v>210</v>
      </c>
      <c r="T160" s="96">
        <f t="shared" si="30"/>
        <v>508.2</v>
      </c>
      <c r="U160" s="61">
        <f t="shared" si="31"/>
        <v>901</v>
      </c>
      <c r="V160" s="96">
        <f t="shared" si="32"/>
        <v>2180.42</v>
      </c>
      <c r="W160" s="209">
        <f t="shared" si="33"/>
        <v>37256</v>
      </c>
      <c r="X160" s="115">
        <f t="shared" si="34"/>
        <v>0</v>
      </c>
    </row>
    <row r="161" spans="1:24" ht="15" customHeight="1" thickBot="1" x14ac:dyDescent="0.25">
      <c r="A161" s="3" t="s">
        <v>141</v>
      </c>
      <c r="B161" s="83" t="s">
        <v>275</v>
      </c>
      <c r="C161" s="3">
        <v>3405301</v>
      </c>
      <c r="D161" s="192" t="s">
        <v>608</v>
      </c>
      <c r="E161" s="193">
        <v>37256</v>
      </c>
      <c r="F161" s="3"/>
      <c r="G161" s="3">
        <v>37148</v>
      </c>
      <c r="H161" s="3" t="s">
        <v>595</v>
      </c>
      <c r="I161" s="80" t="s">
        <v>324</v>
      </c>
      <c r="J161" s="61" t="str">
        <f t="shared" si="35"/>
        <v>GW</v>
      </c>
      <c r="K161" s="61">
        <f t="shared" si="36"/>
        <v>235</v>
      </c>
      <c r="L161" s="74">
        <f t="shared" si="38"/>
        <v>2.42</v>
      </c>
      <c r="M161" s="61">
        <f t="shared" si="37"/>
        <v>248</v>
      </c>
      <c r="O161" s="155">
        <v>0</v>
      </c>
      <c r="P161" s="63">
        <f t="shared" si="27"/>
        <v>2.42</v>
      </c>
      <c r="Q161" s="64">
        <f t="shared" si="28"/>
        <v>600.16</v>
      </c>
      <c r="R161" s="216"/>
      <c r="S161" s="61">
        <f t="shared" si="29"/>
        <v>24</v>
      </c>
      <c r="T161" s="96">
        <f t="shared" si="30"/>
        <v>58.08</v>
      </c>
      <c r="U161" s="61">
        <f t="shared" si="31"/>
        <v>224</v>
      </c>
      <c r="V161" s="96">
        <f t="shared" si="32"/>
        <v>542.07999999999993</v>
      </c>
      <c r="W161" s="209">
        <f t="shared" si="33"/>
        <v>37256</v>
      </c>
      <c r="X161" s="115">
        <f t="shared" si="34"/>
        <v>0</v>
      </c>
    </row>
    <row r="162" spans="1:24" ht="15" customHeight="1" thickBot="1" x14ac:dyDescent="0.25">
      <c r="A162" s="3" t="s">
        <v>141</v>
      </c>
      <c r="B162" s="83" t="s">
        <v>277</v>
      </c>
      <c r="C162" s="3">
        <v>3422901</v>
      </c>
      <c r="D162" s="192" t="s">
        <v>608</v>
      </c>
      <c r="E162" s="193">
        <v>37256</v>
      </c>
      <c r="F162" s="3"/>
      <c r="G162" s="3">
        <v>37148</v>
      </c>
      <c r="H162" s="3" t="s">
        <v>595</v>
      </c>
      <c r="I162" s="80" t="s">
        <v>324</v>
      </c>
      <c r="J162" s="61" t="str">
        <f t="shared" si="35"/>
        <v>GW</v>
      </c>
      <c r="K162" s="61">
        <f t="shared" si="36"/>
        <v>99</v>
      </c>
      <c r="L162" s="74">
        <f t="shared" si="38"/>
        <v>2.42</v>
      </c>
      <c r="M162" s="61">
        <f t="shared" si="37"/>
        <v>110</v>
      </c>
      <c r="O162" s="155">
        <v>0</v>
      </c>
      <c r="P162" s="63">
        <f t="shared" si="27"/>
        <v>2.42</v>
      </c>
      <c r="Q162" s="64">
        <f t="shared" si="28"/>
        <v>266.2</v>
      </c>
      <c r="R162" s="216"/>
      <c r="S162" s="61">
        <f t="shared" si="29"/>
        <v>19</v>
      </c>
      <c r="T162" s="96">
        <f t="shared" si="30"/>
        <v>45.98</v>
      </c>
      <c r="U162" s="61">
        <f t="shared" si="31"/>
        <v>91</v>
      </c>
      <c r="V162" s="96">
        <f t="shared" si="32"/>
        <v>220.22</v>
      </c>
      <c r="W162" s="209">
        <f t="shared" si="33"/>
        <v>37256</v>
      </c>
      <c r="X162" s="115">
        <f t="shared" si="34"/>
        <v>0</v>
      </c>
    </row>
    <row r="163" spans="1:24" ht="15" customHeight="1" thickBot="1" x14ac:dyDescent="0.25">
      <c r="A163" s="3" t="s">
        <v>141</v>
      </c>
      <c r="B163" s="83" t="s">
        <v>278</v>
      </c>
      <c r="C163" s="3">
        <v>3510601</v>
      </c>
      <c r="D163" s="192" t="s">
        <v>608</v>
      </c>
      <c r="E163" s="193">
        <v>37256</v>
      </c>
      <c r="F163" s="3"/>
      <c r="G163" s="3">
        <v>37148</v>
      </c>
      <c r="H163" s="3" t="s">
        <v>595</v>
      </c>
      <c r="I163" s="80" t="s">
        <v>324</v>
      </c>
      <c r="J163" s="61" t="str">
        <f t="shared" si="35"/>
        <v>GW</v>
      </c>
      <c r="K163" s="61">
        <f t="shared" si="36"/>
        <v>28</v>
      </c>
      <c r="L163" s="74">
        <f t="shared" si="38"/>
        <v>2.42</v>
      </c>
      <c r="M163" s="61">
        <f t="shared" si="37"/>
        <v>30</v>
      </c>
      <c r="O163" s="155">
        <v>0</v>
      </c>
      <c r="P163" s="63">
        <f t="shared" si="27"/>
        <v>2.42</v>
      </c>
      <c r="Q163" s="64">
        <f t="shared" si="28"/>
        <v>72.599999999999994</v>
      </c>
      <c r="R163" s="216"/>
      <c r="S163" s="61">
        <f t="shared" si="29"/>
        <v>19</v>
      </c>
      <c r="T163" s="96">
        <f t="shared" si="30"/>
        <v>45.98</v>
      </c>
      <c r="U163" s="61">
        <f t="shared" si="31"/>
        <v>11</v>
      </c>
      <c r="V163" s="96">
        <f t="shared" si="32"/>
        <v>26.619999999999997</v>
      </c>
      <c r="W163" s="209">
        <f t="shared" si="33"/>
        <v>37256</v>
      </c>
      <c r="X163" s="115">
        <f t="shared" si="34"/>
        <v>0</v>
      </c>
    </row>
    <row r="164" spans="1:24" ht="15" customHeight="1" thickBot="1" x14ac:dyDescent="0.25">
      <c r="A164" s="3" t="s">
        <v>141</v>
      </c>
      <c r="B164" s="83" t="s">
        <v>279</v>
      </c>
      <c r="C164" s="3">
        <v>3513301</v>
      </c>
      <c r="D164" s="192" t="s">
        <v>608</v>
      </c>
      <c r="E164" s="193">
        <v>37256</v>
      </c>
      <c r="F164" s="3"/>
      <c r="G164" s="3">
        <v>37148</v>
      </c>
      <c r="H164" s="3" t="s">
        <v>595</v>
      </c>
      <c r="I164" s="80" t="s">
        <v>324</v>
      </c>
      <c r="J164" s="61" t="str">
        <f t="shared" si="35"/>
        <v>GW</v>
      </c>
      <c r="K164" s="61">
        <f t="shared" si="36"/>
        <v>248</v>
      </c>
      <c r="L164" s="74">
        <f t="shared" si="38"/>
        <v>2.42</v>
      </c>
      <c r="M164" s="61">
        <f t="shared" si="37"/>
        <v>282</v>
      </c>
      <c r="O164" s="155">
        <v>0</v>
      </c>
      <c r="P164" s="63">
        <f t="shared" si="27"/>
        <v>2.42</v>
      </c>
      <c r="Q164" s="64">
        <f t="shared" si="28"/>
        <v>682.43999999999994</v>
      </c>
      <c r="R164" s="216"/>
      <c r="S164" s="61">
        <f t="shared" si="29"/>
        <v>21</v>
      </c>
      <c r="T164" s="96">
        <f t="shared" si="30"/>
        <v>50.82</v>
      </c>
      <c r="U164" s="61">
        <f t="shared" si="31"/>
        <v>261</v>
      </c>
      <c r="V164" s="96">
        <f t="shared" si="32"/>
        <v>631.62</v>
      </c>
      <c r="W164" s="209">
        <f t="shared" si="33"/>
        <v>37256</v>
      </c>
      <c r="X164" s="115">
        <f t="shared" si="34"/>
        <v>0</v>
      </c>
    </row>
    <row r="165" spans="1:24" ht="15" customHeight="1" thickBot="1" x14ac:dyDescent="0.25">
      <c r="A165" s="3" t="s">
        <v>141</v>
      </c>
      <c r="B165" s="83" t="s">
        <v>280</v>
      </c>
      <c r="C165" s="3">
        <v>3510801</v>
      </c>
      <c r="D165" s="192" t="s">
        <v>608</v>
      </c>
      <c r="E165" s="193">
        <v>37256</v>
      </c>
      <c r="F165" s="3"/>
      <c r="G165" s="3">
        <v>37148</v>
      </c>
      <c r="H165" s="3" t="s">
        <v>595</v>
      </c>
      <c r="I165" s="80" t="s">
        <v>324</v>
      </c>
      <c r="J165" s="61" t="str">
        <f t="shared" si="35"/>
        <v>GW</v>
      </c>
      <c r="K165" s="61">
        <f t="shared" si="36"/>
        <v>0</v>
      </c>
      <c r="L165" s="74">
        <f t="shared" si="38"/>
        <v>2.42</v>
      </c>
      <c r="M165" s="61">
        <f t="shared" si="37"/>
        <v>0</v>
      </c>
      <c r="O165" s="155">
        <v>0</v>
      </c>
      <c r="P165" s="63">
        <f t="shared" si="27"/>
        <v>2.42</v>
      </c>
      <c r="Q165" s="64">
        <f t="shared" si="28"/>
        <v>0</v>
      </c>
      <c r="R165" s="216"/>
      <c r="S165" s="61">
        <f t="shared" si="29"/>
        <v>0</v>
      </c>
      <c r="T165" s="96">
        <f t="shared" si="30"/>
        <v>0</v>
      </c>
      <c r="U165" s="61">
        <f t="shared" si="31"/>
        <v>0</v>
      </c>
      <c r="V165" s="96">
        <f t="shared" si="32"/>
        <v>0</v>
      </c>
      <c r="W165" s="209">
        <f t="shared" si="33"/>
        <v>37256</v>
      </c>
      <c r="X165" s="115">
        <f t="shared" si="34"/>
        <v>0</v>
      </c>
    </row>
    <row r="166" spans="1:24" ht="15" customHeight="1" thickBot="1" x14ac:dyDescent="0.25">
      <c r="A166" s="3" t="s">
        <v>141</v>
      </c>
      <c r="B166" s="83" t="s">
        <v>281</v>
      </c>
      <c r="C166" s="3">
        <v>3526101</v>
      </c>
      <c r="D166" s="192" t="s">
        <v>608</v>
      </c>
      <c r="E166" s="193">
        <v>37256</v>
      </c>
      <c r="F166" s="3"/>
      <c r="G166" s="3">
        <v>37148</v>
      </c>
      <c r="H166" s="3" t="s">
        <v>595</v>
      </c>
      <c r="I166" s="80" t="s">
        <v>324</v>
      </c>
      <c r="J166" s="61" t="str">
        <f t="shared" si="35"/>
        <v>GW</v>
      </c>
      <c r="K166" s="61">
        <f t="shared" si="36"/>
        <v>232</v>
      </c>
      <c r="L166" s="74">
        <f t="shared" si="38"/>
        <v>2.42</v>
      </c>
      <c r="M166" s="61">
        <f t="shared" si="37"/>
        <v>265</v>
      </c>
      <c r="O166" s="155">
        <v>0</v>
      </c>
      <c r="P166" s="63">
        <f t="shared" si="27"/>
        <v>2.42</v>
      </c>
      <c r="Q166" s="64">
        <f t="shared" si="28"/>
        <v>641.29999999999995</v>
      </c>
      <c r="R166" s="216"/>
      <c r="S166" s="61">
        <f t="shared" si="29"/>
        <v>40</v>
      </c>
      <c r="T166" s="96">
        <f t="shared" si="30"/>
        <v>96.8</v>
      </c>
      <c r="U166" s="61">
        <f>IF(ISNA(VLOOKUP(B166,SplitVol,6,FALSE)),0,VLOOKUP(B166,SplitVol,6,FALSE))-1</f>
        <v>225</v>
      </c>
      <c r="V166" s="96">
        <f t="shared" si="32"/>
        <v>544.5</v>
      </c>
      <c r="W166" s="209">
        <f t="shared" si="33"/>
        <v>37256</v>
      </c>
      <c r="X166" s="115">
        <f t="shared" si="34"/>
        <v>0</v>
      </c>
    </row>
    <row r="167" spans="1:24" ht="15" customHeight="1" thickBot="1" x14ac:dyDescent="0.25">
      <c r="A167" s="3" t="s">
        <v>141</v>
      </c>
      <c r="B167" s="83" t="s">
        <v>284</v>
      </c>
      <c r="C167" s="3">
        <v>4334701</v>
      </c>
      <c r="D167" s="192" t="s">
        <v>608</v>
      </c>
      <c r="E167" s="193">
        <v>37256</v>
      </c>
      <c r="F167" s="3"/>
      <c r="G167" s="3">
        <v>37148</v>
      </c>
      <c r="H167" s="3" t="s">
        <v>595</v>
      </c>
      <c r="I167" s="80" t="s">
        <v>324</v>
      </c>
      <c r="J167" s="61" t="str">
        <f t="shared" si="35"/>
        <v>GW</v>
      </c>
      <c r="K167" s="61">
        <f t="shared" si="36"/>
        <v>0</v>
      </c>
      <c r="L167" s="74">
        <f t="shared" si="38"/>
        <v>2.42</v>
      </c>
      <c r="M167" s="61">
        <f t="shared" si="37"/>
        <v>0</v>
      </c>
      <c r="O167" s="155">
        <v>0</v>
      </c>
      <c r="P167" s="63">
        <f t="shared" si="27"/>
        <v>2.42</v>
      </c>
      <c r="Q167" s="64">
        <f t="shared" si="28"/>
        <v>0</v>
      </c>
      <c r="R167" s="216"/>
      <c r="S167" s="61">
        <f t="shared" si="29"/>
        <v>0</v>
      </c>
      <c r="T167" s="96">
        <f t="shared" si="30"/>
        <v>0</v>
      </c>
      <c r="U167" s="61">
        <f t="shared" si="31"/>
        <v>0</v>
      </c>
      <c r="V167" s="96">
        <f t="shared" si="32"/>
        <v>0</v>
      </c>
      <c r="W167" s="209">
        <f t="shared" si="33"/>
        <v>37256</v>
      </c>
      <c r="X167" s="115">
        <f t="shared" si="34"/>
        <v>0</v>
      </c>
    </row>
    <row r="168" spans="1:24" ht="15" customHeight="1" thickBot="1" x14ac:dyDescent="0.25">
      <c r="A168" s="3" t="s">
        <v>308</v>
      </c>
      <c r="B168" s="83" t="s">
        <v>309</v>
      </c>
      <c r="C168" s="3">
        <v>3525501</v>
      </c>
      <c r="D168" s="192" t="s">
        <v>608</v>
      </c>
      <c r="E168" s="193">
        <v>37256</v>
      </c>
      <c r="F168" s="3"/>
      <c r="G168" s="3">
        <v>37148</v>
      </c>
      <c r="H168" s="3" t="s">
        <v>595</v>
      </c>
      <c r="I168" s="80" t="s">
        <v>324</v>
      </c>
      <c r="J168" s="61" t="str">
        <f t="shared" si="35"/>
        <v>GD</v>
      </c>
      <c r="K168" s="61">
        <f t="shared" si="36"/>
        <v>213</v>
      </c>
      <c r="L168" s="74">
        <f t="shared" si="38"/>
        <v>2.42</v>
      </c>
      <c r="M168" s="61">
        <f t="shared" si="37"/>
        <v>308</v>
      </c>
      <c r="O168" s="155">
        <v>0</v>
      </c>
      <c r="P168" s="63">
        <f t="shared" si="27"/>
        <v>2.42</v>
      </c>
      <c r="Q168" s="64">
        <f t="shared" si="28"/>
        <v>745.36</v>
      </c>
      <c r="R168" s="216"/>
      <c r="S168" s="61">
        <f t="shared" si="29"/>
        <v>152</v>
      </c>
      <c r="T168" s="96">
        <f t="shared" si="30"/>
        <v>367.84</v>
      </c>
      <c r="U168" s="61">
        <f t="shared" si="31"/>
        <v>156</v>
      </c>
      <c r="V168" s="96">
        <f t="shared" si="32"/>
        <v>377.52</v>
      </c>
      <c r="W168" s="209">
        <f t="shared" si="33"/>
        <v>37256</v>
      </c>
      <c r="X168" s="115">
        <f t="shared" si="34"/>
        <v>0</v>
      </c>
    </row>
    <row r="169" spans="1:24" ht="15" customHeight="1" thickBot="1" x14ac:dyDescent="0.25">
      <c r="A169" s="3" t="s">
        <v>141</v>
      </c>
      <c r="B169" s="83" t="s">
        <v>144</v>
      </c>
      <c r="C169" s="3">
        <v>2152501</v>
      </c>
      <c r="D169" s="192" t="s">
        <v>608</v>
      </c>
      <c r="E169" s="193">
        <v>37256</v>
      </c>
      <c r="F169" s="3"/>
      <c r="G169" s="3">
        <v>37148</v>
      </c>
      <c r="H169" s="3" t="s">
        <v>595</v>
      </c>
      <c r="I169" s="80" t="s">
        <v>324</v>
      </c>
      <c r="J169" s="61" t="str">
        <f t="shared" si="35"/>
        <v>GW</v>
      </c>
      <c r="K169" s="61">
        <f t="shared" si="36"/>
        <v>0</v>
      </c>
      <c r="L169" s="74">
        <f t="shared" si="38"/>
        <v>2.42</v>
      </c>
      <c r="M169" s="61">
        <f t="shared" si="37"/>
        <v>20</v>
      </c>
      <c r="O169" s="155">
        <v>0</v>
      </c>
      <c r="P169" s="63">
        <f t="shared" si="27"/>
        <v>2.42</v>
      </c>
      <c r="Q169" s="64">
        <f t="shared" si="28"/>
        <v>48.4</v>
      </c>
      <c r="R169" s="216"/>
      <c r="S169" s="61">
        <f t="shared" si="29"/>
        <v>0</v>
      </c>
      <c r="T169" s="96">
        <f t="shared" si="30"/>
        <v>0</v>
      </c>
      <c r="U169" s="61">
        <f t="shared" si="31"/>
        <v>20</v>
      </c>
      <c r="V169" s="96">
        <f t="shared" si="32"/>
        <v>48.4</v>
      </c>
      <c r="W169" s="209">
        <f t="shared" si="33"/>
        <v>37256</v>
      </c>
      <c r="X169" s="115">
        <f t="shared" si="34"/>
        <v>0</v>
      </c>
    </row>
    <row r="170" spans="1:24" ht="15" customHeight="1" thickBot="1" x14ac:dyDescent="0.25">
      <c r="A170" s="3" t="s">
        <v>124</v>
      </c>
      <c r="B170" s="83" t="s">
        <v>129</v>
      </c>
      <c r="C170" s="3">
        <v>2075601</v>
      </c>
      <c r="D170" s="192" t="s">
        <v>608</v>
      </c>
      <c r="E170" s="193">
        <v>37256</v>
      </c>
      <c r="F170" s="3"/>
      <c r="G170" s="3">
        <v>37148</v>
      </c>
      <c r="H170" s="3" t="s">
        <v>595</v>
      </c>
      <c r="I170" s="80" t="s">
        <v>324</v>
      </c>
      <c r="J170" s="61" t="str">
        <f t="shared" si="35"/>
        <v>GD</v>
      </c>
      <c r="K170" s="61">
        <f t="shared" si="36"/>
        <v>0</v>
      </c>
      <c r="L170" s="74">
        <f t="shared" si="38"/>
        <v>2.42</v>
      </c>
      <c r="M170" s="61">
        <f t="shared" si="37"/>
        <v>662</v>
      </c>
      <c r="O170" s="155">
        <v>0</v>
      </c>
      <c r="P170" s="63">
        <f t="shared" si="27"/>
        <v>2.42</v>
      </c>
      <c r="Q170" s="64">
        <f t="shared" si="28"/>
        <v>1602.04</v>
      </c>
      <c r="R170" s="216"/>
      <c r="S170" s="61">
        <f t="shared" si="29"/>
        <v>121</v>
      </c>
      <c r="T170" s="96">
        <f t="shared" si="30"/>
        <v>292.82</v>
      </c>
      <c r="U170" s="61">
        <f>IF(ISNA(VLOOKUP(B170,SplitVol,6,FALSE)),0,VLOOKUP(B170,SplitVol,6,FALSE))+1</f>
        <v>541</v>
      </c>
      <c r="V170" s="96">
        <f t="shared" si="32"/>
        <v>1309.22</v>
      </c>
      <c r="W170" s="209">
        <f t="shared" si="33"/>
        <v>37256</v>
      </c>
      <c r="X170" s="115">
        <f t="shared" si="34"/>
        <v>0</v>
      </c>
    </row>
    <row r="171" spans="1:24" ht="15" customHeight="1" thickBot="1" x14ac:dyDescent="0.25">
      <c r="A171" s="3" t="s">
        <v>141</v>
      </c>
      <c r="B171" s="83" t="s">
        <v>159</v>
      </c>
      <c r="C171" s="3">
        <v>3507801</v>
      </c>
      <c r="D171" s="192" t="s">
        <v>160</v>
      </c>
      <c r="E171" s="193">
        <v>37257</v>
      </c>
      <c r="F171" s="3"/>
      <c r="G171" s="1">
        <v>38334</v>
      </c>
      <c r="H171" s="1" t="s">
        <v>673</v>
      </c>
      <c r="I171" s="1" t="s">
        <v>323</v>
      </c>
      <c r="J171" s="61" t="str">
        <f t="shared" si="35"/>
        <v>GW</v>
      </c>
      <c r="K171" s="61">
        <f t="shared" si="36"/>
        <v>480</v>
      </c>
      <c r="L171" s="65">
        <f>L$2*99%</f>
        <v>2.3957999999999999</v>
      </c>
      <c r="M171" s="61">
        <f t="shared" si="37"/>
        <v>600</v>
      </c>
      <c r="O171" s="155">
        <v>0</v>
      </c>
      <c r="P171" s="63">
        <f t="shared" si="27"/>
        <v>2.3957999999999999</v>
      </c>
      <c r="Q171" s="64">
        <f t="shared" si="28"/>
        <v>1437.48</v>
      </c>
      <c r="R171" s="216"/>
      <c r="S171" s="61">
        <f t="shared" si="29"/>
        <v>42</v>
      </c>
      <c r="T171" s="96">
        <f t="shared" si="30"/>
        <v>100.6236</v>
      </c>
      <c r="U171" s="61">
        <f>IF(ISNA(VLOOKUP(B171,SplitVol,6,FALSE)),0,VLOOKUP(B171,SplitVol,6,FALSE))-1</f>
        <v>558</v>
      </c>
      <c r="V171" s="96">
        <f t="shared" si="32"/>
        <v>1336.8563999999999</v>
      </c>
      <c r="W171" s="209">
        <f t="shared" si="33"/>
        <v>37257</v>
      </c>
      <c r="X171" s="115">
        <f t="shared" si="34"/>
        <v>0</v>
      </c>
    </row>
    <row r="172" spans="1:24" ht="15" customHeight="1" thickBot="1" x14ac:dyDescent="0.25">
      <c r="A172" s="3" t="s">
        <v>141</v>
      </c>
      <c r="B172" s="83" t="s">
        <v>161</v>
      </c>
      <c r="C172" s="3">
        <v>3507901</v>
      </c>
      <c r="D172" s="192" t="s">
        <v>160</v>
      </c>
      <c r="E172" s="193">
        <v>37257</v>
      </c>
      <c r="F172" s="3"/>
      <c r="G172" s="1">
        <v>38334</v>
      </c>
      <c r="H172" s="1" t="s">
        <v>673</v>
      </c>
      <c r="I172" s="1" t="s">
        <v>323</v>
      </c>
      <c r="J172" s="61" t="str">
        <f t="shared" si="35"/>
        <v>GW</v>
      </c>
      <c r="K172" s="61">
        <f t="shared" si="36"/>
        <v>298</v>
      </c>
      <c r="L172" s="65">
        <f>L$2*99%</f>
        <v>2.3957999999999999</v>
      </c>
      <c r="M172" s="61">
        <f t="shared" si="37"/>
        <v>358</v>
      </c>
      <c r="O172" s="155">
        <v>0</v>
      </c>
      <c r="P172" s="63">
        <f t="shared" si="27"/>
        <v>2.3957999999999999</v>
      </c>
      <c r="Q172" s="64">
        <f t="shared" si="28"/>
        <v>857.69639999999993</v>
      </c>
      <c r="R172" s="216"/>
      <c r="S172" s="61">
        <f t="shared" si="29"/>
        <v>26</v>
      </c>
      <c r="T172" s="96">
        <f t="shared" si="30"/>
        <v>62.290799999999997</v>
      </c>
      <c r="U172" s="61">
        <f t="shared" si="31"/>
        <v>332</v>
      </c>
      <c r="V172" s="96">
        <f t="shared" si="32"/>
        <v>795.40559999999994</v>
      </c>
      <c r="W172" s="209">
        <f t="shared" si="33"/>
        <v>37257</v>
      </c>
      <c r="X172" s="115">
        <f t="shared" si="34"/>
        <v>0</v>
      </c>
    </row>
    <row r="173" spans="1:24" ht="15" customHeight="1" thickBot="1" x14ac:dyDescent="0.25">
      <c r="A173" s="3" t="s">
        <v>141</v>
      </c>
      <c r="B173" s="83" t="s">
        <v>162</v>
      </c>
      <c r="C173" s="3">
        <v>3508401</v>
      </c>
      <c r="D173" s="192" t="s">
        <v>160</v>
      </c>
      <c r="E173" s="193">
        <v>37257</v>
      </c>
      <c r="F173" s="3"/>
      <c r="G173" s="1">
        <v>38334</v>
      </c>
      <c r="H173" s="1" t="s">
        <v>673</v>
      </c>
      <c r="I173" s="1" t="s">
        <v>323</v>
      </c>
      <c r="J173" s="61" t="str">
        <f t="shared" si="35"/>
        <v>GW</v>
      </c>
      <c r="K173" s="61">
        <f t="shared" si="36"/>
        <v>41</v>
      </c>
      <c r="L173" s="65">
        <f>L$2*99%</f>
        <v>2.3957999999999999</v>
      </c>
      <c r="M173" s="61">
        <f t="shared" si="37"/>
        <v>49</v>
      </c>
      <c r="O173" s="155">
        <v>0</v>
      </c>
      <c r="P173" s="63">
        <f t="shared" si="27"/>
        <v>2.3957999999999999</v>
      </c>
      <c r="Q173" s="64">
        <f t="shared" si="28"/>
        <v>117.3942</v>
      </c>
      <c r="R173" s="216"/>
      <c r="S173" s="61">
        <f t="shared" si="29"/>
        <v>3</v>
      </c>
      <c r="T173" s="96">
        <f t="shared" si="30"/>
        <v>7.1874000000000002</v>
      </c>
      <c r="U173" s="61">
        <f t="shared" si="31"/>
        <v>46</v>
      </c>
      <c r="V173" s="96">
        <f t="shared" si="32"/>
        <v>110.2068</v>
      </c>
      <c r="W173" s="209">
        <f t="shared" si="33"/>
        <v>37257</v>
      </c>
      <c r="X173" s="115">
        <f t="shared" si="34"/>
        <v>0</v>
      </c>
    </row>
    <row r="174" spans="1:24" ht="15" customHeight="1" thickBot="1" x14ac:dyDescent="0.25">
      <c r="A174" s="3" t="s">
        <v>141</v>
      </c>
      <c r="B174" s="83" t="s">
        <v>246</v>
      </c>
      <c r="C174" s="3">
        <v>3427001</v>
      </c>
      <c r="D174" s="192" t="s">
        <v>160</v>
      </c>
      <c r="E174" s="193">
        <v>37257</v>
      </c>
      <c r="F174" s="3"/>
      <c r="G174" s="1">
        <v>38334</v>
      </c>
      <c r="H174" s="1" t="s">
        <v>673</v>
      </c>
      <c r="I174" s="1" t="s">
        <v>323</v>
      </c>
      <c r="J174" s="61" t="str">
        <f t="shared" si="35"/>
        <v>GW</v>
      </c>
      <c r="K174" s="61">
        <f t="shared" si="36"/>
        <v>242</v>
      </c>
      <c r="L174" s="65">
        <f>L$2*99%</f>
        <v>2.3957999999999999</v>
      </c>
      <c r="M174" s="61">
        <f t="shared" si="37"/>
        <v>294</v>
      </c>
      <c r="O174" s="155">
        <v>0</v>
      </c>
      <c r="P174" s="63">
        <f t="shared" si="27"/>
        <v>2.3957999999999999</v>
      </c>
      <c r="Q174" s="64">
        <f t="shared" si="28"/>
        <v>704.36519999999996</v>
      </c>
      <c r="R174" s="216"/>
      <c r="S174" s="61">
        <f t="shared" si="29"/>
        <v>19</v>
      </c>
      <c r="T174" s="96">
        <f t="shared" si="30"/>
        <v>45.520199999999996</v>
      </c>
      <c r="U174" s="61">
        <f t="shared" si="31"/>
        <v>275</v>
      </c>
      <c r="V174" s="96">
        <f t="shared" si="32"/>
        <v>658.84500000000003</v>
      </c>
      <c r="W174" s="209">
        <f t="shared" si="33"/>
        <v>37257</v>
      </c>
      <c r="X174" s="115">
        <f t="shared" si="34"/>
        <v>0</v>
      </c>
    </row>
    <row r="175" spans="1:24" ht="15" customHeight="1" thickBot="1" x14ac:dyDescent="0.25">
      <c r="A175" s="1" t="s">
        <v>418</v>
      </c>
      <c r="B175" s="1" t="s">
        <v>461</v>
      </c>
      <c r="C175" s="42">
        <v>3153201</v>
      </c>
      <c r="D175" s="3" t="s">
        <v>462</v>
      </c>
      <c r="E175" s="189" t="s">
        <v>317</v>
      </c>
      <c r="F175" s="1" t="s">
        <v>462</v>
      </c>
      <c r="G175" s="42">
        <v>211568</v>
      </c>
      <c r="H175" s="42"/>
      <c r="I175" s="131" t="s">
        <v>324</v>
      </c>
      <c r="J175" s="61" t="str">
        <f t="shared" si="35"/>
        <v>na</v>
      </c>
      <c r="K175" s="61" t="str">
        <f t="shared" si="36"/>
        <v>na</v>
      </c>
      <c r="L175" s="65">
        <f>$L$2</f>
        <v>2.42</v>
      </c>
      <c r="M175" s="61">
        <f t="shared" si="37"/>
        <v>0</v>
      </c>
      <c r="O175" s="155">
        <v>0</v>
      </c>
      <c r="P175" s="63">
        <f t="shared" si="27"/>
        <v>2.42</v>
      </c>
      <c r="Q175" s="64">
        <f t="shared" si="28"/>
        <v>0</v>
      </c>
      <c r="R175" s="216"/>
      <c r="S175" s="61">
        <f t="shared" si="29"/>
        <v>0</v>
      </c>
      <c r="T175" s="96">
        <f t="shared" si="30"/>
        <v>0</v>
      </c>
      <c r="U175" s="61">
        <f t="shared" si="31"/>
        <v>0</v>
      </c>
      <c r="V175" s="96">
        <f t="shared" si="32"/>
        <v>0</v>
      </c>
      <c r="W175" s="209" t="str">
        <f t="shared" si="33"/>
        <v>na</v>
      </c>
      <c r="X175" s="115">
        <f t="shared" si="34"/>
        <v>0</v>
      </c>
    </row>
    <row r="176" spans="1:24" ht="15" customHeight="1" thickBot="1" x14ac:dyDescent="0.25">
      <c r="A176" s="3" t="s">
        <v>629</v>
      </c>
      <c r="B176" s="83" t="s">
        <v>675</v>
      </c>
      <c r="C176" s="3" t="s">
        <v>629</v>
      </c>
      <c r="D176" s="3" t="s">
        <v>676</v>
      </c>
      <c r="E176" s="189" t="s">
        <v>317</v>
      </c>
      <c r="F176" s="3"/>
      <c r="G176" s="1">
        <v>43001</v>
      </c>
      <c r="H176" s="1" t="s">
        <v>677</v>
      </c>
      <c r="I176" s="1" t="s">
        <v>610</v>
      </c>
      <c r="J176" s="61" t="str">
        <f t="shared" si="35"/>
        <v>na</v>
      </c>
      <c r="K176" s="61" t="str">
        <f t="shared" si="36"/>
        <v>na</v>
      </c>
      <c r="L176" s="65">
        <f>L$3*98%</f>
        <v>2.3519999999999999</v>
      </c>
      <c r="M176" s="61">
        <f t="shared" si="37"/>
        <v>0</v>
      </c>
      <c r="O176" s="155">
        <v>0</v>
      </c>
      <c r="P176" s="63">
        <f t="shared" si="27"/>
        <v>2.3519999999999999</v>
      </c>
      <c r="Q176" s="64">
        <f t="shared" si="28"/>
        <v>0</v>
      </c>
      <c r="R176" s="216"/>
      <c r="S176" s="61">
        <f t="shared" si="29"/>
        <v>0</v>
      </c>
      <c r="T176" s="96">
        <f t="shared" si="30"/>
        <v>0</v>
      </c>
      <c r="U176" s="61">
        <f t="shared" si="31"/>
        <v>0</v>
      </c>
      <c r="V176" s="96">
        <f t="shared" si="32"/>
        <v>0</v>
      </c>
      <c r="W176" s="209" t="str">
        <f t="shared" si="33"/>
        <v>na</v>
      </c>
      <c r="X176" s="115">
        <f t="shared" si="34"/>
        <v>0</v>
      </c>
    </row>
    <row r="177" spans="1:24" ht="15" customHeight="1" thickBot="1" x14ac:dyDescent="0.25">
      <c r="A177" s="3" t="s">
        <v>629</v>
      </c>
      <c r="B177" s="83" t="s">
        <v>678</v>
      </c>
      <c r="C177" s="3" t="s">
        <v>629</v>
      </c>
      <c r="D177" s="3" t="s">
        <v>676</v>
      </c>
      <c r="E177" s="189" t="s">
        <v>317</v>
      </c>
      <c r="F177" s="3"/>
      <c r="G177" s="1">
        <v>43001</v>
      </c>
      <c r="H177" s="1" t="s">
        <v>677</v>
      </c>
      <c r="I177" s="1" t="s">
        <v>610</v>
      </c>
      <c r="J177" s="61" t="str">
        <f t="shared" si="35"/>
        <v>na</v>
      </c>
      <c r="K177" s="61" t="str">
        <f t="shared" si="36"/>
        <v>na</v>
      </c>
      <c r="L177" s="65">
        <f>L$3*98%</f>
        <v>2.3519999999999999</v>
      </c>
      <c r="M177" s="61">
        <f t="shared" si="37"/>
        <v>0</v>
      </c>
      <c r="O177" s="155">
        <v>0</v>
      </c>
      <c r="P177" s="63">
        <f t="shared" si="27"/>
        <v>2.3519999999999999</v>
      </c>
      <c r="Q177" s="64">
        <f t="shared" si="28"/>
        <v>0</v>
      </c>
      <c r="R177" s="216"/>
      <c r="S177" s="61">
        <f t="shared" si="29"/>
        <v>0</v>
      </c>
      <c r="T177" s="96">
        <f t="shared" si="30"/>
        <v>0</v>
      </c>
      <c r="U177" s="61">
        <f t="shared" si="31"/>
        <v>0</v>
      </c>
      <c r="V177" s="96">
        <f t="shared" si="32"/>
        <v>0</v>
      </c>
      <c r="W177" s="209" t="str">
        <f t="shared" si="33"/>
        <v>na</v>
      </c>
      <c r="X177" s="115">
        <f t="shared" si="34"/>
        <v>0</v>
      </c>
    </row>
    <row r="178" spans="1:24" ht="15" customHeight="1" thickBot="1" x14ac:dyDescent="0.25">
      <c r="A178" s="3" t="s">
        <v>141</v>
      </c>
      <c r="B178" s="83" t="s">
        <v>214</v>
      </c>
      <c r="C178" s="3">
        <v>4058801</v>
      </c>
      <c r="D178" s="3" t="s">
        <v>569</v>
      </c>
      <c r="E178" s="189" t="s">
        <v>317</v>
      </c>
      <c r="F178" s="3"/>
      <c r="G178" s="1">
        <v>70649</v>
      </c>
      <c r="H178" s="1" t="s">
        <v>47</v>
      </c>
      <c r="I178" s="1" t="s">
        <v>18</v>
      </c>
      <c r="J178" s="61" t="str">
        <f t="shared" si="35"/>
        <v>GW</v>
      </c>
      <c r="K178" s="61">
        <f t="shared" si="36"/>
        <v>121</v>
      </c>
      <c r="L178" s="65">
        <f>$L$2*95%</f>
        <v>2.2989999999999999</v>
      </c>
      <c r="M178" s="61">
        <f t="shared" si="37"/>
        <v>147</v>
      </c>
      <c r="O178" s="155">
        <v>0</v>
      </c>
      <c r="P178" s="63">
        <f t="shared" si="27"/>
        <v>2.2989999999999999</v>
      </c>
      <c r="Q178" s="64">
        <f t="shared" si="28"/>
        <v>337.95299999999997</v>
      </c>
      <c r="R178" s="216"/>
      <c r="S178" s="61">
        <f t="shared" si="29"/>
        <v>17</v>
      </c>
      <c r="T178" s="96">
        <f t="shared" si="30"/>
        <v>39.082999999999998</v>
      </c>
      <c r="U178" s="61">
        <f>IF(ISNA(VLOOKUP(B178,SplitVol,6,FALSE)),0,VLOOKUP(B178,SplitVol,6,FALSE))+1</f>
        <v>130</v>
      </c>
      <c r="V178" s="96">
        <f t="shared" si="32"/>
        <v>298.87</v>
      </c>
      <c r="W178" s="209">
        <f t="shared" si="33"/>
        <v>37228</v>
      </c>
      <c r="X178" s="115">
        <f t="shared" si="34"/>
        <v>0</v>
      </c>
    </row>
    <row r="179" spans="1:24" ht="15" customHeight="1" thickBot="1" x14ac:dyDescent="0.25">
      <c r="A179" s="3" t="s">
        <v>141</v>
      </c>
      <c r="B179" s="83" t="s">
        <v>218</v>
      </c>
      <c r="C179" s="3">
        <v>4043501</v>
      </c>
      <c r="D179" s="3" t="s">
        <v>569</v>
      </c>
      <c r="E179" s="189" t="s">
        <v>317</v>
      </c>
      <c r="F179" s="3"/>
      <c r="G179" s="1">
        <v>70649</v>
      </c>
      <c r="H179" s="1" t="s">
        <v>47</v>
      </c>
      <c r="I179" s="1" t="s">
        <v>18</v>
      </c>
      <c r="J179" s="61" t="str">
        <f t="shared" si="35"/>
        <v>GW</v>
      </c>
      <c r="K179" s="61">
        <f t="shared" si="36"/>
        <v>61</v>
      </c>
      <c r="L179" s="65">
        <f>$L$2*95%</f>
        <v>2.2989999999999999</v>
      </c>
      <c r="M179" s="61">
        <f t="shared" si="37"/>
        <v>83</v>
      </c>
      <c r="O179" s="155">
        <v>0</v>
      </c>
      <c r="P179" s="63">
        <f t="shared" si="27"/>
        <v>2.2989999999999999</v>
      </c>
      <c r="Q179" s="64">
        <f t="shared" si="28"/>
        <v>190.81700000000001</v>
      </c>
      <c r="R179" s="216"/>
      <c r="S179" s="61">
        <f t="shared" si="29"/>
        <v>10</v>
      </c>
      <c r="T179" s="96">
        <f t="shared" si="30"/>
        <v>22.99</v>
      </c>
      <c r="U179" s="61">
        <f t="shared" si="31"/>
        <v>73</v>
      </c>
      <c r="V179" s="96">
        <f t="shared" si="32"/>
        <v>167.827</v>
      </c>
      <c r="W179" s="209">
        <f t="shared" si="33"/>
        <v>37228</v>
      </c>
      <c r="X179" s="115">
        <f t="shared" si="34"/>
        <v>0</v>
      </c>
    </row>
    <row r="180" spans="1:24" ht="15" customHeight="1" thickBot="1" x14ac:dyDescent="0.25">
      <c r="A180" s="3" t="s">
        <v>141</v>
      </c>
      <c r="B180" s="83" t="s">
        <v>294</v>
      </c>
      <c r="C180" s="66">
        <v>3046501</v>
      </c>
      <c r="D180" s="140" t="s">
        <v>679</v>
      </c>
      <c r="E180" s="191">
        <v>37228</v>
      </c>
      <c r="F180" s="85"/>
      <c r="G180" s="85">
        <v>224027</v>
      </c>
      <c r="H180" s="85" t="s">
        <v>680</v>
      </c>
      <c r="I180" s="85" t="s">
        <v>323</v>
      </c>
      <c r="J180" s="109" t="str">
        <f t="shared" si="35"/>
        <v>GW</v>
      </c>
      <c r="K180" s="61">
        <f t="shared" si="36"/>
        <v>130</v>
      </c>
      <c r="L180" s="142">
        <f>+CNGPricing!$H$115</f>
        <v>4.379124280282455</v>
      </c>
      <c r="M180" s="61">
        <f t="shared" si="37"/>
        <v>186</v>
      </c>
      <c r="O180" s="155">
        <v>0</v>
      </c>
      <c r="P180" s="89">
        <f t="shared" si="27"/>
        <v>4.379124280282455</v>
      </c>
      <c r="Q180" s="90">
        <f t="shared" si="28"/>
        <v>814.51711613253667</v>
      </c>
      <c r="R180" s="217"/>
      <c r="S180" s="61">
        <f t="shared" si="29"/>
        <v>10</v>
      </c>
      <c r="T180" s="96">
        <f t="shared" si="30"/>
        <v>43.791242802824549</v>
      </c>
      <c r="U180" s="61">
        <f>IF(ISNA(VLOOKUP(B180,SplitVol,6,FALSE)),0,VLOOKUP(B180,SplitVol,6,FALSE))+1</f>
        <v>176</v>
      </c>
      <c r="V180" s="96">
        <f t="shared" si="32"/>
        <v>770.72587332971204</v>
      </c>
      <c r="W180" s="209">
        <f t="shared" si="33"/>
        <v>37228</v>
      </c>
      <c r="X180" s="115">
        <f t="shared" si="34"/>
        <v>0</v>
      </c>
    </row>
    <row r="181" spans="1:24" ht="15" customHeight="1" thickBot="1" x14ac:dyDescent="0.25">
      <c r="A181" s="3" t="s">
        <v>141</v>
      </c>
      <c r="B181" s="83" t="s">
        <v>240</v>
      </c>
      <c r="C181" s="66">
        <v>3123401</v>
      </c>
      <c r="D181" s="140" t="s">
        <v>679</v>
      </c>
      <c r="E181" s="191">
        <v>37228</v>
      </c>
      <c r="F181" s="85"/>
      <c r="G181" s="85">
        <v>224027</v>
      </c>
      <c r="H181" s="85" t="s">
        <v>680</v>
      </c>
      <c r="I181" s="85" t="s">
        <v>323</v>
      </c>
      <c r="J181" s="109" t="str">
        <f t="shared" si="35"/>
        <v>GW</v>
      </c>
      <c r="K181" s="61">
        <f t="shared" si="36"/>
        <v>445</v>
      </c>
      <c r="L181" s="142">
        <f>+CNGPricing!$H$115</f>
        <v>4.379124280282455</v>
      </c>
      <c r="M181" s="61">
        <f t="shared" si="37"/>
        <v>624</v>
      </c>
      <c r="O181" s="155">
        <v>0</v>
      </c>
      <c r="P181" s="89">
        <f t="shared" si="27"/>
        <v>4.379124280282455</v>
      </c>
      <c r="Q181" s="90">
        <f t="shared" si="28"/>
        <v>2732.5735508962521</v>
      </c>
      <c r="R181" s="217"/>
      <c r="S181" s="61">
        <f t="shared" si="29"/>
        <v>26</v>
      </c>
      <c r="T181" s="96">
        <f t="shared" si="30"/>
        <v>113.85723128734384</v>
      </c>
      <c r="U181" s="61">
        <f t="shared" si="31"/>
        <v>598</v>
      </c>
      <c r="V181" s="96">
        <f t="shared" si="32"/>
        <v>2618.7163196089082</v>
      </c>
      <c r="W181" s="209">
        <f t="shared" si="33"/>
        <v>37228</v>
      </c>
      <c r="X181" s="115">
        <f t="shared" si="34"/>
        <v>0</v>
      </c>
    </row>
    <row r="182" spans="1:24" ht="15" customHeight="1" thickBot="1" x14ac:dyDescent="0.25">
      <c r="A182" s="3" t="s">
        <v>141</v>
      </c>
      <c r="B182" s="83" t="s">
        <v>306</v>
      </c>
      <c r="C182" s="66">
        <v>3136601</v>
      </c>
      <c r="D182" s="140" t="s">
        <v>679</v>
      </c>
      <c r="E182" s="191">
        <v>37228</v>
      </c>
      <c r="F182" s="85"/>
      <c r="G182" s="85">
        <v>224027</v>
      </c>
      <c r="H182" s="85" t="s">
        <v>680</v>
      </c>
      <c r="I182" s="85" t="s">
        <v>323</v>
      </c>
      <c r="J182" s="109" t="str">
        <f t="shared" si="35"/>
        <v>TW</v>
      </c>
      <c r="K182" s="61">
        <f t="shared" si="36"/>
        <v>205</v>
      </c>
      <c r="L182" s="142">
        <f>+CNGPricing!$H$115</f>
        <v>4.379124280282455</v>
      </c>
      <c r="M182" s="61">
        <f t="shared" si="37"/>
        <v>258</v>
      </c>
      <c r="O182" s="155">
        <v>0</v>
      </c>
      <c r="P182" s="89">
        <f t="shared" si="27"/>
        <v>4.379124280282455</v>
      </c>
      <c r="Q182" s="90">
        <f t="shared" si="28"/>
        <v>1129.8140643128734</v>
      </c>
      <c r="R182" s="217"/>
      <c r="S182" s="61">
        <f t="shared" si="29"/>
        <v>46</v>
      </c>
      <c r="T182" s="96">
        <f t="shared" si="30"/>
        <v>201.43971689299292</v>
      </c>
      <c r="U182" s="61">
        <f t="shared" si="31"/>
        <v>212</v>
      </c>
      <c r="V182" s="96">
        <f t="shared" si="32"/>
        <v>928.37434741988045</v>
      </c>
      <c r="W182" s="209">
        <f t="shared" si="33"/>
        <v>37228</v>
      </c>
      <c r="X182" s="115">
        <f t="shared" si="34"/>
        <v>0</v>
      </c>
    </row>
    <row r="183" spans="1:24" ht="15" customHeight="1" thickBot="1" x14ac:dyDescent="0.25">
      <c r="A183" s="3" t="s">
        <v>141</v>
      </c>
      <c r="B183" s="83" t="s">
        <v>236</v>
      </c>
      <c r="C183" s="66">
        <v>3219301</v>
      </c>
      <c r="D183" s="140" t="s">
        <v>679</v>
      </c>
      <c r="E183" s="191">
        <v>37228</v>
      </c>
      <c r="F183" s="85"/>
      <c r="G183" s="85">
        <v>224027</v>
      </c>
      <c r="H183" s="85" t="s">
        <v>680</v>
      </c>
      <c r="I183" s="85" t="s">
        <v>323</v>
      </c>
      <c r="J183" s="109" t="str">
        <f t="shared" si="35"/>
        <v>GW</v>
      </c>
      <c r="K183" s="61">
        <f t="shared" si="36"/>
        <v>0</v>
      </c>
      <c r="L183" s="142">
        <f>+CNGPricing!$H$115</f>
        <v>4.379124280282455</v>
      </c>
      <c r="M183" s="61">
        <f t="shared" si="37"/>
        <v>0</v>
      </c>
      <c r="O183" s="155">
        <v>0</v>
      </c>
      <c r="P183" s="89">
        <f t="shared" si="27"/>
        <v>4.379124280282455</v>
      </c>
      <c r="Q183" s="90">
        <f t="shared" si="28"/>
        <v>0</v>
      </c>
      <c r="R183" s="217"/>
      <c r="S183" s="61">
        <f t="shared" si="29"/>
        <v>0</v>
      </c>
      <c r="T183" s="96">
        <f t="shared" si="30"/>
        <v>0</v>
      </c>
      <c r="U183" s="61">
        <f t="shared" si="31"/>
        <v>0</v>
      </c>
      <c r="V183" s="96">
        <f t="shared" si="32"/>
        <v>0</v>
      </c>
      <c r="W183" s="209">
        <f t="shared" si="33"/>
        <v>37228</v>
      </c>
      <c r="X183" s="115">
        <f t="shared" si="34"/>
        <v>0</v>
      </c>
    </row>
    <row r="184" spans="1:24" ht="15" customHeight="1" thickBot="1" x14ac:dyDescent="0.25">
      <c r="A184" s="3" t="s">
        <v>141</v>
      </c>
      <c r="B184" s="83" t="s">
        <v>235</v>
      </c>
      <c r="C184" s="66">
        <v>3226701</v>
      </c>
      <c r="D184" s="140" t="s">
        <v>679</v>
      </c>
      <c r="E184" s="191">
        <v>37228</v>
      </c>
      <c r="F184" s="85"/>
      <c r="G184" s="85">
        <v>224027</v>
      </c>
      <c r="H184" s="85" t="s">
        <v>680</v>
      </c>
      <c r="I184" s="85" t="s">
        <v>323</v>
      </c>
      <c r="J184" s="109" t="str">
        <f t="shared" si="35"/>
        <v>GW</v>
      </c>
      <c r="K184" s="61">
        <f t="shared" si="36"/>
        <v>161</v>
      </c>
      <c r="L184" s="142">
        <f>+CNGPricing!$H$115</f>
        <v>4.379124280282455</v>
      </c>
      <c r="M184" s="61">
        <f t="shared" si="37"/>
        <v>199</v>
      </c>
      <c r="O184" s="155">
        <v>0</v>
      </c>
      <c r="P184" s="89">
        <f t="shared" si="27"/>
        <v>4.379124280282455</v>
      </c>
      <c r="Q184" s="90">
        <f t="shared" si="28"/>
        <v>871.4457317762085</v>
      </c>
      <c r="R184" s="217"/>
      <c r="S184" s="61">
        <f t="shared" si="29"/>
        <v>17</v>
      </c>
      <c r="T184" s="96">
        <f t="shared" si="30"/>
        <v>74.445112764801735</v>
      </c>
      <c r="U184" s="61">
        <f>IF(ISNA(VLOOKUP(B184,SplitVol,6,FALSE)),0,VLOOKUP(B184,SplitVol,6,FALSE))+1</f>
        <v>182</v>
      </c>
      <c r="V184" s="96">
        <f t="shared" si="32"/>
        <v>797.0006190114068</v>
      </c>
      <c r="W184" s="209">
        <f t="shared" si="33"/>
        <v>37228</v>
      </c>
      <c r="X184" s="115">
        <f t="shared" si="34"/>
        <v>0</v>
      </c>
    </row>
    <row r="185" spans="1:24" ht="15" customHeight="1" thickBot="1" x14ac:dyDescent="0.25">
      <c r="A185" s="3" t="s">
        <v>141</v>
      </c>
      <c r="B185" s="83" t="s">
        <v>239</v>
      </c>
      <c r="C185" s="66">
        <v>3290201</v>
      </c>
      <c r="D185" s="140" t="s">
        <v>679</v>
      </c>
      <c r="E185" s="191">
        <v>37228</v>
      </c>
      <c r="F185" s="85"/>
      <c r="G185" s="85">
        <v>224027</v>
      </c>
      <c r="H185" s="85" t="s">
        <v>680</v>
      </c>
      <c r="I185" s="85" t="s">
        <v>323</v>
      </c>
      <c r="J185" s="109" t="str">
        <f t="shared" si="35"/>
        <v>GW</v>
      </c>
      <c r="K185" s="61">
        <f t="shared" si="36"/>
        <v>966</v>
      </c>
      <c r="L185" s="142">
        <f>+CNGPricing!$H$115</f>
        <v>4.379124280282455</v>
      </c>
      <c r="M185" s="61">
        <f t="shared" si="37"/>
        <v>1157</v>
      </c>
      <c r="O185" s="155">
        <v>0</v>
      </c>
      <c r="P185" s="89">
        <f t="shared" si="27"/>
        <v>4.379124280282455</v>
      </c>
      <c r="Q185" s="90">
        <f t="shared" si="28"/>
        <v>5066.6467922868005</v>
      </c>
      <c r="R185" s="217"/>
      <c r="S185" s="61">
        <f t="shared" si="29"/>
        <v>80</v>
      </c>
      <c r="T185" s="96">
        <f t="shared" si="30"/>
        <v>350.32994242259639</v>
      </c>
      <c r="U185" s="61">
        <f t="shared" si="31"/>
        <v>1077</v>
      </c>
      <c r="V185" s="96">
        <f t="shared" si="32"/>
        <v>4716.3168498642044</v>
      </c>
      <c r="W185" s="209">
        <f t="shared" si="33"/>
        <v>37228</v>
      </c>
      <c r="X185" s="115">
        <f t="shared" si="34"/>
        <v>0</v>
      </c>
    </row>
    <row r="186" spans="1:24" ht="15" customHeight="1" thickBot="1" x14ac:dyDescent="0.25">
      <c r="A186" s="3" t="s">
        <v>141</v>
      </c>
      <c r="B186" s="83" t="s">
        <v>238</v>
      </c>
      <c r="C186" s="66">
        <v>3409901</v>
      </c>
      <c r="D186" s="140" t="s">
        <v>679</v>
      </c>
      <c r="E186" s="191">
        <v>37228</v>
      </c>
      <c r="F186" s="85"/>
      <c r="G186" s="85">
        <v>224027</v>
      </c>
      <c r="H186" s="85" t="s">
        <v>680</v>
      </c>
      <c r="I186" s="85" t="s">
        <v>323</v>
      </c>
      <c r="J186" s="109" t="str">
        <f t="shared" si="35"/>
        <v>GW</v>
      </c>
      <c r="K186" s="61">
        <f t="shared" si="36"/>
        <v>449</v>
      </c>
      <c r="L186" s="142">
        <f>+CNGPricing!$H$115</f>
        <v>4.379124280282455</v>
      </c>
      <c r="M186" s="61">
        <f t="shared" si="37"/>
        <v>563</v>
      </c>
      <c r="O186" s="155">
        <v>0</v>
      </c>
      <c r="P186" s="89">
        <f t="shared" si="27"/>
        <v>4.379124280282455</v>
      </c>
      <c r="Q186" s="90">
        <f t="shared" si="28"/>
        <v>2465.4469697990221</v>
      </c>
      <c r="R186" s="217"/>
      <c r="S186" s="61">
        <f t="shared" si="29"/>
        <v>43</v>
      </c>
      <c r="T186" s="96">
        <f t="shared" si="30"/>
        <v>188.30234405214557</v>
      </c>
      <c r="U186" s="61">
        <f t="shared" si="31"/>
        <v>520</v>
      </c>
      <c r="V186" s="96">
        <f t="shared" si="32"/>
        <v>2277.1446257468765</v>
      </c>
      <c r="W186" s="209">
        <f t="shared" si="33"/>
        <v>37228</v>
      </c>
      <c r="X186" s="115">
        <f t="shared" si="34"/>
        <v>0</v>
      </c>
    </row>
    <row r="187" spans="1:24" ht="15" customHeight="1" thickBot="1" x14ac:dyDescent="0.25">
      <c r="A187" s="3" t="s">
        <v>141</v>
      </c>
      <c r="B187" s="83" t="s">
        <v>237</v>
      </c>
      <c r="C187" s="66">
        <v>3551401</v>
      </c>
      <c r="D187" s="140" t="s">
        <v>679</v>
      </c>
      <c r="E187" s="191">
        <v>37228</v>
      </c>
      <c r="F187" s="85"/>
      <c r="G187" s="85">
        <v>224027</v>
      </c>
      <c r="H187" s="85" t="s">
        <v>680</v>
      </c>
      <c r="I187" s="85" t="s">
        <v>323</v>
      </c>
      <c r="J187" s="109" t="str">
        <f t="shared" si="35"/>
        <v>GW</v>
      </c>
      <c r="K187" s="61">
        <f t="shared" si="36"/>
        <v>68</v>
      </c>
      <c r="L187" s="142">
        <f>+CNGPricing!$H$115</f>
        <v>4.379124280282455</v>
      </c>
      <c r="M187" s="61">
        <f t="shared" si="37"/>
        <v>88</v>
      </c>
      <c r="O187" s="155">
        <v>0</v>
      </c>
      <c r="P187" s="89">
        <f t="shared" si="27"/>
        <v>4.379124280282455</v>
      </c>
      <c r="Q187" s="90">
        <f t="shared" si="28"/>
        <v>385.36293666485602</v>
      </c>
      <c r="R187" s="217"/>
      <c r="S187" s="61">
        <f t="shared" si="29"/>
        <v>7</v>
      </c>
      <c r="T187" s="96">
        <f t="shared" si="30"/>
        <v>30.653869961977186</v>
      </c>
      <c r="U187" s="61">
        <f t="shared" si="31"/>
        <v>81</v>
      </c>
      <c r="V187" s="96">
        <f t="shared" si="32"/>
        <v>354.70906670287889</v>
      </c>
      <c r="W187" s="209">
        <f t="shared" si="33"/>
        <v>37228</v>
      </c>
      <c r="X187" s="115">
        <f t="shared" si="34"/>
        <v>0</v>
      </c>
    </row>
    <row r="188" spans="1:24" ht="15" customHeight="1" thickBot="1" x14ac:dyDescent="0.25">
      <c r="A188" s="3" t="s">
        <v>296</v>
      </c>
      <c r="B188" s="83" t="s">
        <v>295</v>
      </c>
      <c r="C188" s="66">
        <v>3562001</v>
      </c>
      <c r="D188" s="140" t="s">
        <v>679</v>
      </c>
      <c r="E188" s="191">
        <v>37228</v>
      </c>
      <c r="F188" s="85"/>
      <c r="G188" s="85">
        <v>224027</v>
      </c>
      <c r="H188" s="85" t="s">
        <v>680</v>
      </c>
      <c r="I188" s="85" t="s">
        <v>323</v>
      </c>
      <c r="J188" s="109" t="str">
        <f t="shared" si="35"/>
        <v>GW</v>
      </c>
      <c r="K188" s="61">
        <f t="shared" si="36"/>
        <v>375</v>
      </c>
      <c r="L188" s="142">
        <f>+CNGPricing!$H$115</f>
        <v>4.379124280282455</v>
      </c>
      <c r="M188" s="61">
        <f t="shared" si="37"/>
        <v>459</v>
      </c>
      <c r="O188" s="155">
        <v>0</v>
      </c>
      <c r="P188" s="89">
        <f t="shared" si="27"/>
        <v>4.379124280282455</v>
      </c>
      <c r="Q188" s="90">
        <f t="shared" si="28"/>
        <v>2010.0180446496468</v>
      </c>
      <c r="R188" s="217"/>
      <c r="S188" s="61">
        <f t="shared" si="29"/>
        <v>75</v>
      </c>
      <c r="T188" s="96">
        <f t="shared" si="30"/>
        <v>328.43432102118413</v>
      </c>
      <c r="U188" s="61">
        <f t="shared" si="31"/>
        <v>384</v>
      </c>
      <c r="V188" s="96">
        <f t="shared" si="32"/>
        <v>1681.5837236284628</v>
      </c>
      <c r="W188" s="209">
        <f t="shared" si="33"/>
        <v>37228</v>
      </c>
      <c r="X188" s="115">
        <f t="shared" si="34"/>
        <v>0</v>
      </c>
    </row>
    <row r="189" spans="1:24" ht="15" customHeight="1" thickBot="1" x14ac:dyDescent="0.25">
      <c r="A189" s="3" t="s">
        <v>141</v>
      </c>
      <c r="B189" s="83" t="s">
        <v>174</v>
      </c>
      <c r="C189" s="66">
        <v>3565501</v>
      </c>
      <c r="D189" s="140" t="s">
        <v>679</v>
      </c>
      <c r="E189" s="191">
        <v>37228</v>
      </c>
      <c r="F189" s="85"/>
      <c r="G189" s="85">
        <v>224027</v>
      </c>
      <c r="H189" s="85" t="s">
        <v>680</v>
      </c>
      <c r="I189" s="85" t="s">
        <v>323</v>
      </c>
      <c r="J189" s="109" t="str">
        <f t="shared" si="35"/>
        <v>GW</v>
      </c>
      <c r="K189" s="61">
        <f t="shared" si="36"/>
        <v>89</v>
      </c>
      <c r="L189" s="142">
        <f>+CNGPricing!$H$115</f>
        <v>4.379124280282455</v>
      </c>
      <c r="M189" s="61">
        <f t="shared" si="37"/>
        <v>105</v>
      </c>
      <c r="O189" s="155">
        <v>0</v>
      </c>
      <c r="P189" s="89">
        <f t="shared" si="27"/>
        <v>4.379124280282455</v>
      </c>
      <c r="Q189" s="90">
        <f t="shared" si="28"/>
        <v>459.80804942965779</v>
      </c>
      <c r="R189" s="217"/>
      <c r="S189" s="61">
        <f t="shared" si="29"/>
        <v>7</v>
      </c>
      <c r="T189" s="96">
        <f t="shared" si="30"/>
        <v>30.653869961977186</v>
      </c>
      <c r="U189" s="61">
        <f t="shared" si="31"/>
        <v>98</v>
      </c>
      <c r="V189" s="96">
        <f t="shared" si="32"/>
        <v>429.15417946768059</v>
      </c>
      <c r="W189" s="209">
        <f t="shared" si="33"/>
        <v>37228</v>
      </c>
      <c r="X189" s="115">
        <f t="shared" si="34"/>
        <v>0</v>
      </c>
    </row>
    <row r="190" spans="1:24" ht="15" customHeight="1" thickBot="1" x14ac:dyDescent="0.25">
      <c r="A190" s="3" t="s">
        <v>141</v>
      </c>
      <c r="B190" s="83" t="s">
        <v>176</v>
      </c>
      <c r="C190" s="66">
        <v>3573701</v>
      </c>
      <c r="D190" s="140" t="s">
        <v>679</v>
      </c>
      <c r="E190" s="191">
        <v>37228</v>
      </c>
      <c r="F190" s="85"/>
      <c r="G190" s="85">
        <v>224027</v>
      </c>
      <c r="H190" s="85" t="s">
        <v>680</v>
      </c>
      <c r="I190" s="85" t="s">
        <v>323</v>
      </c>
      <c r="J190" s="109" t="str">
        <f>IF(ISNA(VLOOKUP(B190,cngdata,7,FALSE)),"na",VLOOKUP(B190,cngdata,7,FALSE))</f>
        <v>GW</v>
      </c>
      <c r="K190" s="61">
        <f t="shared" si="36"/>
        <v>174</v>
      </c>
      <c r="L190" s="142">
        <f>+CNGPricing!$H$115</f>
        <v>4.379124280282455</v>
      </c>
      <c r="M190" s="61">
        <f t="shared" si="37"/>
        <v>217</v>
      </c>
      <c r="O190" s="155">
        <v>0</v>
      </c>
      <c r="P190" s="89">
        <f t="shared" si="27"/>
        <v>4.379124280282455</v>
      </c>
      <c r="Q190" s="90">
        <f t="shared" si="28"/>
        <v>950.26996882129276</v>
      </c>
      <c r="R190" s="217"/>
      <c r="S190" s="61">
        <f t="shared" si="29"/>
        <v>42</v>
      </c>
      <c r="T190" s="96">
        <f t="shared" si="30"/>
        <v>183.9232197718631</v>
      </c>
      <c r="U190" s="61">
        <f t="shared" si="31"/>
        <v>175</v>
      </c>
      <c r="V190" s="96">
        <f t="shared" si="32"/>
        <v>766.3467490494296</v>
      </c>
      <c r="W190" s="209">
        <f t="shared" si="33"/>
        <v>37228</v>
      </c>
      <c r="X190" s="115">
        <f t="shared" si="34"/>
        <v>0</v>
      </c>
    </row>
    <row r="191" spans="1:24" ht="15" customHeight="1" thickBot="1" x14ac:dyDescent="0.25">
      <c r="A191" t="s">
        <v>141</v>
      </c>
      <c r="B191" t="s">
        <v>50</v>
      </c>
      <c r="C191" s="148">
        <v>3585801</v>
      </c>
      <c r="D191" s="140" t="s">
        <v>679</v>
      </c>
      <c r="E191" s="191">
        <v>37228</v>
      </c>
      <c r="F191" s="85"/>
      <c r="G191" s="85">
        <v>224027</v>
      </c>
      <c r="H191" s="85" t="s">
        <v>680</v>
      </c>
      <c r="I191" s="85" t="s">
        <v>323</v>
      </c>
      <c r="J191" s="109" t="str">
        <f t="shared" si="35"/>
        <v>GW</v>
      </c>
      <c r="K191" s="61">
        <f t="shared" si="36"/>
        <v>1323</v>
      </c>
      <c r="L191" s="142">
        <f>+CNGPricing!$H$115</f>
        <v>4.379124280282455</v>
      </c>
      <c r="M191" s="61">
        <f t="shared" si="37"/>
        <v>1667</v>
      </c>
      <c r="O191" s="155">
        <v>0</v>
      </c>
      <c r="P191" s="89">
        <f t="shared" si="27"/>
        <v>4.379124280282455</v>
      </c>
      <c r="Q191" s="90">
        <f t="shared" si="28"/>
        <v>7300.0001752308526</v>
      </c>
      <c r="R191" s="217"/>
      <c r="S191" s="61">
        <f t="shared" si="29"/>
        <v>90</v>
      </c>
      <c r="T191" s="96">
        <f t="shared" si="30"/>
        <v>394.12118522542096</v>
      </c>
      <c r="U191" s="61">
        <f t="shared" si="31"/>
        <v>1577</v>
      </c>
      <c r="V191" s="96">
        <f t="shared" si="32"/>
        <v>6905.8789900054317</v>
      </c>
      <c r="W191" s="209">
        <f t="shared" si="33"/>
        <v>37228</v>
      </c>
      <c r="X191" s="115">
        <f t="shared" si="34"/>
        <v>0</v>
      </c>
    </row>
    <row r="192" spans="1:24" ht="15" customHeight="1" thickBot="1" x14ac:dyDescent="0.25">
      <c r="A192" s="3" t="s">
        <v>141</v>
      </c>
      <c r="B192" s="83" t="s">
        <v>260</v>
      </c>
      <c r="C192" s="3">
        <v>2038501</v>
      </c>
      <c r="D192" s="3" t="s">
        <v>261</v>
      </c>
      <c r="E192" s="189" t="s">
        <v>317</v>
      </c>
      <c r="F192" s="3"/>
      <c r="G192" s="1">
        <v>44782</v>
      </c>
      <c r="H192" s="1" t="s">
        <v>0</v>
      </c>
      <c r="I192" s="1" t="s">
        <v>634</v>
      </c>
      <c r="J192" s="61" t="str">
        <f t="shared" si="35"/>
        <v>GW</v>
      </c>
      <c r="K192" s="61">
        <f t="shared" si="36"/>
        <v>0</v>
      </c>
      <c r="L192" s="65">
        <f>$L$2-0.08</f>
        <v>2.34</v>
      </c>
      <c r="M192" s="61">
        <f t="shared" si="37"/>
        <v>527</v>
      </c>
      <c r="O192" s="155">
        <v>0</v>
      </c>
      <c r="P192" s="63">
        <f t="shared" si="27"/>
        <v>2.34</v>
      </c>
      <c r="Q192" s="64">
        <f t="shared" si="28"/>
        <v>1233.1799999999998</v>
      </c>
      <c r="R192" s="216"/>
      <c r="S192" s="61">
        <f t="shared" si="29"/>
        <v>36</v>
      </c>
      <c r="T192" s="96">
        <f t="shared" si="30"/>
        <v>84.24</v>
      </c>
      <c r="U192" s="61">
        <f>IF(ISNA(VLOOKUP(B192,SplitVol,6,FALSE)),0,VLOOKUP(B192,SplitVol,6,FALSE))+1</f>
        <v>491</v>
      </c>
      <c r="V192" s="96">
        <f t="shared" si="32"/>
        <v>1148.9399999999998</v>
      </c>
      <c r="W192" s="209">
        <f t="shared" si="33"/>
        <v>37228</v>
      </c>
      <c r="X192" s="115">
        <f t="shared" si="34"/>
        <v>0</v>
      </c>
    </row>
    <row r="193" spans="1:25" ht="15" customHeight="1" thickBot="1" x14ac:dyDescent="0.25">
      <c r="A193" s="3" t="s">
        <v>629</v>
      </c>
      <c r="B193" s="83" t="s">
        <v>1</v>
      </c>
      <c r="C193" s="3" t="s">
        <v>629</v>
      </c>
      <c r="D193" s="6" t="s">
        <v>2</v>
      </c>
      <c r="E193" s="189" t="s">
        <v>317</v>
      </c>
      <c r="F193" s="6"/>
      <c r="G193" s="6">
        <v>50329</v>
      </c>
      <c r="H193" s="6" t="s">
        <v>3</v>
      </c>
      <c r="I193" s="6" t="s">
        <v>4</v>
      </c>
      <c r="J193" s="61" t="str">
        <f t="shared" si="35"/>
        <v>na</v>
      </c>
      <c r="K193" s="61" t="str">
        <f t="shared" si="36"/>
        <v>na</v>
      </c>
      <c r="L193" s="88">
        <f>+$L$3</f>
        <v>2.4</v>
      </c>
      <c r="M193" s="61">
        <f t="shared" si="37"/>
        <v>0</v>
      </c>
      <c r="O193" s="155">
        <v>0</v>
      </c>
      <c r="P193" s="89">
        <f t="shared" si="27"/>
        <v>2.4</v>
      </c>
      <c r="Q193" s="90">
        <f t="shared" si="28"/>
        <v>0</v>
      </c>
      <c r="R193" s="217"/>
      <c r="S193" s="61">
        <f t="shared" si="29"/>
        <v>0</v>
      </c>
      <c r="T193" s="96">
        <f t="shared" si="30"/>
        <v>0</v>
      </c>
      <c r="U193" s="61">
        <f t="shared" si="31"/>
        <v>0</v>
      </c>
      <c r="V193" s="96">
        <f t="shared" si="32"/>
        <v>0</v>
      </c>
      <c r="W193" s="209" t="str">
        <f t="shared" si="33"/>
        <v>na</v>
      </c>
      <c r="X193" s="115">
        <f t="shared" si="34"/>
        <v>0</v>
      </c>
    </row>
    <row r="194" spans="1:25" ht="15" customHeight="1" thickBot="1" x14ac:dyDescent="0.25">
      <c r="A194" s="3" t="s">
        <v>629</v>
      </c>
      <c r="B194" s="83" t="s">
        <v>5</v>
      </c>
      <c r="C194" s="3" t="s">
        <v>629</v>
      </c>
      <c r="D194" s="6" t="s">
        <v>2</v>
      </c>
      <c r="E194" s="189" t="s">
        <v>317</v>
      </c>
      <c r="F194" s="6"/>
      <c r="G194" s="6">
        <v>50329</v>
      </c>
      <c r="H194" s="6" t="s">
        <v>3</v>
      </c>
      <c r="I194" s="6" t="s">
        <v>4</v>
      </c>
      <c r="J194" s="61" t="str">
        <f t="shared" si="35"/>
        <v>na</v>
      </c>
      <c r="K194" s="61" t="str">
        <f t="shared" si="36"/>
        <v>na</v>
      </c>
      <c r="L194" s="88">
        <f>+$L$3</f>
        <v>2.4</v>
      </c>
      <c r="M194" s="61">
        <f t="shared" si="37"/>
        <v>0</v>
      </c>
      <c r="O194" s="155">
        <v>0</v>
      </c>
      <c r="P194" s="89">
        <f t="shared" si="27"/>
        <v>2.4</v>
      </c>
      <c r="Q194" s="90">
        <f t="shared" si="28"/>
        <v>0</v>
      </c>
      <c r="R194" s="217"/>
      <c r="S194" s="61">
        <f t="shared" si="29"/>
        <v>0</v>
      </c>
      <c r="T194" s="96">
        <f t="shared" si="30"/>
        <v>0</v>
      </c>
      <c r="U194" s="61">
        <f t="shared" si="31"/>
        <v>0</v>
      </c>
      <c r="V194" s="96">
        <f t="shared" si="32"/>
        <v>0</v>
      </c>
      <c r="W194" s="209" t="str">
        <f t="shared" si="33"/>
        <v>na</v>
      </c>
      <c r="X194" s="115">
        <f t="shared" si="34"/>
        <v>0</v>
      </c>
    </row>
    <row r="195" spans="1:25" ht="15" customHeight="1" thickBot="1" x14ac:dyDescent="0.25">
      <c r="A195" s="3" t="s">
        <v>629</v>
      </c>
      <c r="B195" s="83" t="s">
        <v>6</v>
      </c>
      <c r="C195" s="3" t="s">
        <v>629</v>
      </c>
      <c r="D195" s="6" t="s">
        <v>2</v>
      </c>
      <c r="E195" s="189" t="s">
        <v>317</v>
      </c>
      <c r="F195" s="6"/>
      <c r="G195" s="6">
        <v>50329</v>
      </c>
      <c r="H195" s="6" t="s">
        <v>3</v>
      </c>
      <c r="I195" s="6" t="s">
        <v>4</v>
      </c>
      <c r="J195" s="61" t="str">
        <f t="shared" si="35"/>
        <v>na</v>
      </c>
      <c r="K195" s="61" t="str">
        <f t="shared" si="36"/>
        <v>na</v>
      </c>
      <c r="L195" s="88">
        <f>+$L$3</f>
        <v>2.4</v>
      </c>
      <c r="M195" s="61">
        <f t="shared" si="37"/>
        <v>0</v>
      </c>
      <c r="O195" s="155">
        <v>0</v>
      </c>
      <c r="P195" s="89">
        <f t="shared" si="27"/>
        <v>2.4</v>
      </c>
      <c r="Q195" s="90">
        <f t="shared" si="28"/>
        <v>0</v>
      </c>
      <c r="R195" s="217"/>
      <c r="S195" s="61">
        <f t="shared" si="29"/>
        <v>0</v>
      </c>
      <c r="T195" s="96">
        <f t="shared" si="30"/>
        <v>0</v>
      </c>
      <c r="U195" s="61">
        <f t="shared" si="31"/>
        <v>0</v>
      </c>
      <c r="V195" s="96">
        <f t="shared" si="32"/>
        <v>0</v>
      </c>
      <c r="W195" s="209" t="str">
        <f t="shared" si="33"/>
        <v>na</v>
      </c>
      <c r="X195" s="115">
        <f t="shared" si="34"/>
        <v>0</v>
      </c>
    </row>
    <row r="196" spans="1:25" ht="15" customHeight="1" thickBot="1" x14ac:dyDescent="0.25">
      <c r="A196" s="3" t="s">
        <v>629</v>
      </c>
      <c r="B196" s="83" t="s">
        <v>7</v>
      </c>
      <c r="C196" s="3" t="s">
        <v>629</v>
      </c>
      <c r="D196" s="6" t="s">
        <v>2</v>
      </c>
      <c r="E196" s="189" t="s">
        <v>317</v>
      </c>
      <c r="F196" s="6"/>
      <c r="G196" s="6">
        <v>50329</v>
      </c>
      <c r="H196" s="6" t="s">
        <v>3</v>
      </c>
      <c r="I196" s="6" t="s">
        <v>4</v>
      </c>
      <c r="J196" s="61" t="str">
        <f t="shared" si="35"/>
        <v>na</v>
      </c>
      <c r="K196" s="61" t="str">
        <f t="shared" si="36"/>
        <v>na</v>
      </c>
      <c r="L196" s="88">
        <f>+$L$3</f>
        <v>2.4</v>
      </c>
      <c r="M196" s="61">
        <f t="shared" si="37"/>
        <v>0</v>
      </c>
      <c r="O196" s="155">
        <v>0</v>
      </c>
      <c r="P196" s="89">
        <f t="shared" si="27"/>
        <v>2.4</v>
      </c>
      <c r="Q196" s="90">
        <f t="shared" si="28"/>
        <v>0</v>
      </c>
      <c r="R196" s="217"/>
      <c r="S196" s="61">
        <f t="shared" si="29"/>
        <v>0</v>
      </c>
      <c r="T196" s="96">
        <f t="shared" si="30"/>
        <v>0</v>
      </c>
      <c r="U196" s="61">
        <f t="shared" si="31"/>
        <v>0</v>
      </c>
      <c r="V196" s="96">
        <f t="shared" si="32"/>
        <v>0</v>
      </c>
      <c r="W196" s="209" t="str">
        <f t="shared" si="33"/>
        <v>na</v>
      </c>
      <c r="X196" s="115">
        <f t="shared" si="34"/>
        <v>0</v>
      </c>
    </row>
    <row r="197" spans="1:25" ht="15" customHeight="1" thickBot="1" x14ac:dyDescent="0.25">
      <c r="A197" s="3" t="s">
        <v>141</v>
      </c>
      <c r="B197" s="83" t="s">
        <v>180</v>
      </c>
      <c r="C197" s="3">
        <v>4342301</v>
      </c>
      <c r="D197" s="3" t="s">
        <v>8</v>
      </c>
      <c r="E197" s="189" t="s">
        <v>317</v>
      </c>
      <c r="F197" s="3"/>
      <c r="G197" s="1">
        <v>52911</v>
      </c>
      <c r="H197" s="1" t="s">
        <v>9</v>
      </c>
      <c r="I197" s="1" t="s">
        <v>324</v>
      </c>
      <c r="J197" s="61" t="str">
        <f t="shared" si="35"/>
        <v>GW</v>
      </c>
      <c r="K197" s="61">
        <f t="shared" si="36"/>
        <v>247</v>
      </c>
      <c r="L197" s="65">
        <f>L$2*100%</f>
        <v>2.42</v>
      </c>
      <c r="M197" s="61">
        <f t="shared" si="37"/>
        <v>278</v>
      </c>
      <c r="O197" s="155">
        <v>0</v>
      </c>
      <c r="P197" s="63">
        <f t="shared" ref="P197:P260" si="39">L197-O197</f>
        <v>2.42</v>
      </c>
      <c r="Q197" s="64">
        <f t="shared" ref="Q197:Q222" si="40">M197*P197</f>
        <v>672.76</v>
      </c>
      <c r="R197" s="216"/>
      <c r="S197" s="61">
        <f t="shared" si="29"/>
        <v>14</v>
      </c>
      <c r="T197" s="96">
        <f t="shared" si="30"/>
        <v>33.879999999999995</v>
      </c>
      <c r="U197" s="61">
        <f t="shared" si="31"/>
        <v>264</v>
      </c>
      <c r="V197" s="96">
        <f t="shared" si="32"/>
        <v>638.88</v>
      </c>
      <c r="W197" s="209" t="str">
        <f t="shared" si="33"/>
        <v>na</v>
      </c>
      <c r="X197" s="115">
        <f t="shared" si="34"/>
        <v>0</v>
      </c>
    </row>
    <row r="198" spans="1:25" ht="15" customHeight="1" thickBot="1" x14ac:dyDescent="0.25">
      <c r="A198" s="1" t="s">
        <v>386</v>
      </c>
      <c r="B198" s="1" t="s">
        <v>355</v>
      </c>
      <c r="C198" s="1">
        <v>3576601</v>
      </c>
      <c r="D198" s="3" t="s">
        <v>10</v>
      </c>
      <c r="E198" s="189" t="s">
        <v>317</v>
      </c>
      <c r="F198" s="3"/>
      <c r="G198" s="3">
        <v>69167</v>
      </c>
      <c r="H198" s="1" t="s">
        <v>602</v>
      </c>
      <c r="I198" s="1" t="s">
        <v>324</v>
      </c>
      <c r="J198" s="61" t="str">
        <f t="shared" si="35"/>
        <v>GW</v>
      </c>
      <c r="K198" s="61">
        <f t="shared" si="36"/>
        <v>0</v>
      </c>
      <c r="L198" s="65">
        <f>$L$2</f>
        <v>2.42</v>
      </c>
      <c r="M198" s="61">
        <f t="shared" si="37"/>
        <v>0</v>
      </c>
      <c r="O198" s="155">
        <v>0</v>
      </c>
      <c r="P198" s="63">
        <f t="shared" si="39"/>
        <v>2.42</v>
      </c>
      <c r="Q198" s="64">
        <f t="shared" si="40"/>
        <v>0</v>
      </c>
      <c r="R198" s="216"/>
      <c r="S198" s="61">
        <f t="shared" ref="S198:S261" si="41">IF(ISNA(VLOOKUP(B198,SplitVol,5,FALSE)),0,VLOOKUP(B198,SplitVol,5,FALSE))</f>
        <v>0</v>
      </c>
      <c r="T198" s="96">
        <f t="shared" ref="T198:T261" si="42">+S198*L198</f>
        <v>0</v>
      </c>
      <c r="U198" s="61">
        <f t="shared" ref="U198:U261" si="43">IF(ISNA(VLOOKUP(B198,SplitVol,6,FALSE)),0,VLOOKUP(B198,SplitVol,6,FALSE))</f>
        <v>0</v>
      </c>
      <c r="V198" s="96">
        <f t="shared" ref="V198:V261" si="44">+U198*L198</f>
        <v>0</v>
      </c>
      <c r="W198" s="209" t="str">
        <f t="shared" ref="W198:W261" si="45">IF(ISBLANK(VLOOKUP(B198,EffDate,4,FALSE)),"na",VLOOKUP(B198,EffDate,4,FALSE))</f>
        <v>na</v>
      </c>
      <c r="X198" s="115">
        <f t="shared" ref="X198:X261" si="46">+M198-S198-U198</f>
        <v>0</v>
      </c>
    </row>
    <row r="199" spans="1:25" ht="15" customHeight="1" thickBot="1" x14ac:dyDescent="0.25">
      <c r="A199" s="1" t="s">
        <v>386</v>
      </c>
      <c r="B199" s="1" t="s">
        <v>356</v>
      </c>
      <c r="C199" s="1">
        <v>3584401</v>
      </c>
      <c r="D199" s="3" t="s">
        <v>10</v>
      </c>
      <c r="E199" s="189" t="s">
        <v>317</v>
      </c>
      <c r="F199" s="3"/>
      <c r="G199" s="3">
        <v>69167</v>
      </c>
      <c r="H199" s="1" t="s">
        <v>602</v>
      </c>
      <c r="I199" s="1" t="s">
        <v>324</v>
      </c>
      <c r="J199" s="61" t="str">
        <f>IF(ISNA(VLOOKUP(B199,cngdata,7,FALSE)),"na",VLOOKUP(B199,cngdata,7,FALSE))</f>
        <v>GW</v>
      </c>
      <c r="K199" s="61">
        <f>IF(ISNA(VLOOKUP(B199,cngdata,13,FALSE)),"na",VLOOKUP(B199,cngdata,13,FALSE))</f>
        <v>10</v>
      </c>
      <c r="L199" s="65">
        <f>$L$2</f>
        <v>2.42</v>
      </c>
      <c r="M199" s="61">
        <f>IF(ISNA(VLOOKUP(B199,cngdata,14,FALSE)),0,VLOOKUP(B199,cngdata,14,FALSE))</f>
        <v>12</v>
      </c>
      <c r="O199" s="155">
        <v>0</v>
      </c>
      <c r="P199" s="63">
        <f t="shared" si="39"/>
        <v>2.42</v>
      </c>
      <c r="Q199" s="64">
        <f t="shared" si="40"/>
        <v>29.04</v>
      </c>
      <c r="R199" s="216"/>
      <c r="S199" s="61">
        <f t="shared" si="41"/>
        <v>3</v>
      </c>
      <c r="T199" s="96">
        <f t="shared" si="42"/>
        <v>7.26</v>
      </c>
      <c r="U199" s="61">
        <f t="shared" si="43"/>
        <v>9</v>
      </c>
      <c r="V199" s="96">
        <f t="shared" si="44"/>
        <v>21.78</v>
      </c>
      <c r="W199" s="209" t="str">
        <f t="shared" si="45"/>
        <v>na</v>
      </c>
      <c r="X199" s="115">
        <f t="shared" si="46"/>
        <v>0</v>
      </c>
    </row>
    <row r="200" spans="1:25" ht="15" customHeight="1" thickBot="1" x14ac:dyDescent="0.25">
      <c r="A200" s="3" t="s">
        <v>141</v>
      </c>
      <c r="B200" s="83" t="s">
        <v>232</v>
      </c>
      <c r="C200" s="3">
        <v>3223401</v>
      </c>
      <c r="D200" s="3" t="s">
        <v>10</v>
      </c>
      <c r="E200" s="189" t="s">
        <v>317</v>
      </c>
      <c r="F200" s="3"/>
      <c r="G200" s="3">
        <v>69167</v>
      </c>
      <c r="H200" s="1" t="s">
        <v>602</v>
      </c>
      <c r="I200" s="1" t="s">
        <v>324</v>
      </c>
      <c r="J200" s="61" t="str">
        <f>IF(ISNA(VLOOKUP(B200,cngdata,7,FALSE)),"na",VLOOKUP(B200,cngdata,7,FALSE))</f>
        <v>GW</v>
      </c>
      <c r="K200" s="61">
        <f>IF(ISNA(VLOOKUP(B200,cngdata,13,FALSE)),"na",VLOOKUP(B200,cngdata,13,FALSE))</f>
        <v>21</v>
      </c>
      <c r="L200" s="65">
        <f>$L$2</f>
        <v>2.42</v>
      </c>
      <c r="M200" s="61">
        <f>IF(ISNA(VLOOKUP(B200,cngdata,14,FALSE)),0,VLOOKUP(B200,cngdata,14,FALSE))</f>
        <v>24</v>
      </c>
      <c r="O200" s="155">
        <v>0</v>
      </c>
      <c r="P200" s="63">
        <f t="shared" si="39"/>
        <v>2.42</v>
      </c>
      <c r="Q200" s="64">
        <f t="shared" si="40"/>
        <v>58.08</v>
      </c>
      <c r="R200" s="216"/>
      <c r="S200" s="61">
        <f t="shared" si="41"/>
        <v>3</v>
      </c>
      <c r="T200" s="96">
        <f t="shared" si="42"/>
        <v>7.26</v>
      </c>
      <c r="U200" s="61">
        <f t="shared" si="43"/>
        <v>21</v>
      </c>
      <c r="V200" s="96">
        <f t="shared" si="44"/>
        <v>50.82</v>
      </c>
      <c r="W200" s="209" t="str">
        <f t="shared" si="45"/>
        <v>na</v>
      </c>
      <c r="X200" s="115">
        <f t="shared" si="46"/>
        <v>0</v>
      </c>
    </row>
    <row r="201" spans="1:25" ht="15" customHeight="1" thickBot="1" x14ac:dyDescent="0.25">
      <c r="A201" s="3" t="s">
        <v>296</v>
      </c>
      <c r="B201" s="83" t="s">
        <v>304</v>
      </c>
      <c r="C201" s="3">
        <v>3124201</v>
      </c>
      <c r="D201" s="3" t="s">
        <v>10</v>
      </c>
      <c r="E201" s="189" t="s">
        <v>317</v>
      </c>
      <c r="F201" s="3"/>
      <c r="G201" s="3">
        <v>69167</v>
      </c>
      <c r="H201" s="1" t="s">
        <v>602</v>
      </c>
      <c r="I201" s="1" t="s">
        <v>324</v>
      </c>
      <c r="J201" s="61" t="str">
        <f t="shared" si="35"/>
        <v>TW</v>
      </c>
      <c r="K201" s="61">
        <f t="shared" si="36"/>
        <v>0</v>
      </c>
      <c r="L201" s="65">
        <f>$L$2</f>
        <v>2.42</v>
      </c>
      <c r="M201" s="61">
        <f t="shared" si="37"/>
        <v>0</v>
      </c>
      <c r="O201" s="155">
        <v>0</v>
      </c>
      <c r="P201" s="63">
        <f t="shared" si="39"/>
        <v>2.42</v>
      </c>
      <c r="Q201" s="64">
        <f t="shared" si="40"/>
        <v>0</v>
      </c>
      <c r="R201" s="216"/>
      <c r="S201" s="61">
        <f t="shared" si="41"/>
        <v>0</v>
      </c>
      <c r="T201" s="96">
        <f t="shared" si="42"/>
        <v>0</v>
      </c>
      <c r="U201" s="61">
        <f t="shared" si="43"/>
        <v>0</v>
      </c>
      <c r="V201" s="96">
        <f t="shared" si="44"/>
        <v>0</v>
      </c>
      <c r="W201" s="209" t="str">
        <f t="shared" si="45"/>
        <v>na</v>
      </c>
      <c r="X201" s="115">
        <f t="shared" si="46"/>
        <v>0</v>
      </c>
    </row>
    <row r="202" spans="1:25" ht="15" customHeight="1" thickBot="1" x14ac:dyDescent="0.25">
      <c r="A202" s="3" t="s">
        <v>141</v>
      </c>
      <c r="B202" s="83" t="s">
        <v>233</v>
      </c>
      <c r="C202" s="3">
        <v>3245501</v>
      </c>
      <c r="D202" s="3" t="s">
        <v>10</v>
      </c>
      <c r="E202" s="189" t="s">
        <v>317</v>
      </c>
      <c r="F202" s="3"/>
      <c r="G202" s="3">
        <v>69167</v>
      </c>
      <c r="H202" s="1" t="s">
        <v>602</v>
      </c>
      <c r="I202" s="1" t="s">
        <v>324</v>
      </c>
      <c r="J202" s="61" t="str">
        <f t="shared" si="35"/>
        <v>GW</v>
      </c>
      <c r="K202" s="61">
        <f t="shared" si="36"/>
        <v>0</v>
      </c>
      <c r="L202" s="65">
        <f>$L$2</f>
        <v>2.42</v>
      </c>
      <c r="M202" s="61">
        <f t="shared" si="37"/>
        <v>0</v>
      </c>
      <c r="O202" s="155">
        <v>0</v>
      </c>
      <c r="P202" s="63">
        <f t="shared" si="39"/>
        <v>2.42</v>
      </c>
      <c r="Q202" s="64">
        <f t="shared" si="40"/>
        <v>0</v>
      </c>
      <c r="R202" s="216"/>
      <c r="S202" s="61">
        <f t="shared" si="41"/>
        <v>0</v>
      </c>
      <c r="T202" s="96">
        <f t="shared" si="42"/>
        <v>0</v>
      </c>
      <c r="U202" s="61">
        <f t="shared" si="43"/>
        <v>0</v>
      </c>
      <c r="V202" s="96">
        <f t="shared" si="44"/>
        <v>0</v>
      </c>
      <c r="W202" s="209" t="str">
        <f t="shared" si="45"/>
        <v>na</v>
      </c>
      <c r="X202" s="115">
        <f t="shared" si="46"/>
        <v>0</v>
      </c>
    </row>
    <row r="203" spans="1:25" ht="15" customHeight="1" thickBot="1" x14ac:dyDescent="0.25">
      <c r="A203" s="3" t="s">
        <v>141</v>
      </c>
      <c r="B203" s="83" t="s">
        <v>203</v>
      </c>
      <c r="C203" s="3">
        <v>3016301</v>
      </c>
      <c r="D203" s="138" t="s">
        <v>204</v>
      </c>
      <c r="E203" s="191">
        <v>37228</v>
      </c>
      <c r="F203" s="3"/>
      <c r="G203" s="3">
        <v>58860</v>
      </c>
      <c r="H203" s="3" t="s">
        <v>11</v>
      </c>
      <c r="I203" s="3" t="s">
        <v>674</v>
      </c>
      <c r="J203" s="61" t="str">
        <f t="shared" si="35"/>
        <v>GW</v>
      </c>
      <c r="K203" s="61">
        <f t="shared" si="36"/>
        <v>0</v>
      </c>
      <c r="L203" s="74">
        <f>+L2-0.05</f>
        <v>2.37</v>
      </c>
      <c r="M203" s="61">
        <f t="shared" si="37"/>
        <v>2910</v>
      </c>
      <c r="O203" s="155">
        <v>0</v>
      </c>
      <c r="P203" s="63">
        <f t="shared" si="39"/>
        <v>2.37</v>
      </c>
      <c r="Q203" s="64">
        <f t="shared" si="40"/>
        <v>6896.7000000000007</v>
      </c>
      <c r="R203" s="216"/>
      <c r="S203" s="61">
        <f t="shared" si="41"/>
        <v>342</v>
      </c>
      <c r="T203" s="96">
        <f t="shared" si="42"/>
        <v>810.54000000000008</v>
      </c>
      <c r="U203" s="61">
        <f>IF(ISNA(VLOOKUP(B203,SplitVol,6,FALSE)),0,VLOOKUP(B203,SplitVol,6,FALSE))-1</f>
        <v>2568</v>
      </c>
      <c r="V203" s="96">
        <f t="shared" si="44"/>
        <v>6086.16</v>
      </c>
      <c r="W203" s="209">
        <f t="shared" si="45"/>
        <v>37228</v>
      </c>
      <c r="X203" s="115">
        <f t="shared" si="46"/>
        <v>0</v>
      </c>
    </row>
    <row r="204" spans="1:25" ht="15" customHeight="1" thickBot="1" x14ac:dyDescent="0.25">
      <c r="A204" s="3" t="s">
        <v>141</v>
      </c>
      <c r="B204" s="83" t="s">
        <v>205</v>
      </c>
      <c r="C204" s="3">
        <v>3153701</v>
      </c>
      <c r="D204" s="138" t="s">
        <v>204</v>
      </c>
      <c r="E204" s="191">
        <v>37228</v>
      </c>
      <c r="F204" s="3"/>
      <c r="G204" s="3">
        <v>58860</v>
      </c>
      <c r="H204" s="3" t="s">
        <v>11</v>
      </c>
      <c r="I204" s="3" t="s">
        <v>674</v>
      </c>
      <c r="J204" s="61" t="str">
        <f t="shared" ref="J204:J267" si="47">IF(ISNA(VLOOKUP(B204,cngdata,7,FALSE)),"na",VLOOKUP(B204,cngdata,7,FALSE))</f>
        <v>GW</v>
      </c>
      <c r="K204" s="61">
        <f t="shared" si="36"/>
        <v>1214</v>
      </c>
      <c r="L204" s="74">
        <f>+L2-0.05</f>
        <v>2.37</v>
      </c>
      <c r="M204" s="61">
        <f t="shared" si="37"/>
        <v>1509</v>
      </c>
      <c r="O204" s="155">
        <v>0</v>
      </c>
      <c r="P204" s="63">
        <f t="shared" si="39"/>
        <v>2.37</v>
      </c>
      <c r="Q204" s="64">
        <f t="shared" si="40"/>
        <v>3576.3300000000004</v>
      </c>
      <c r="R204" s="216"/>
      <c r="S204" s="61">
        <f t="shared" si="41"/>
        <v>255</v>
      </c>
      <c r="T204" s="96">
        <f t="shared" si="42"/>
        <v>604.35</v>
      </c>
      <c r="U204" s="61">
        <f t="shared" si="43"/>
        <v>1254</v>
      </c>
      <c r="V204" s="96">
        <f t="shared" si="44"/>
        <v>2971.98</v>
      </c>
      <c r="W204" s="209">
        <f t="shared" si="45"/>
        <v>37228</v>
      </c>
      <c r="X204" s="115">
        <f t="shared" si="46"/>
        <v>0</v>
      </c>
    </row>
    <row r="205" spans="1:25" ht="15" customHeight="1" thickBot="1" x14ac:dyDescent="0.25">
      <c r="A205" s="3" t="s">
        <v>141</v>
      </c>
      <c r="B205" s="83" t="s">
        <v>207</v>
      </c>
      <c r="C205" s="3">
        <v>3316501</v>
      </c>
      <c r="D205" s="138" t="s">
        <v>204</v>
      </c>
      <c r="E205" s="191">
        <v>37228</v>
      </c>
      <c r="F205" s="3"/>
      <c r="G205" s="3">
        <v>58860</v>
      </c>
      <c r="H205" s="3" t="s">
        <v>11</v>
      </c>
      <c r="I205" s="3" t="s">
        <v>674</v>
      </c>
      <c r="J205" s="61" t="str">
        <f t="shared" si="47"/>
        <v>GW</v>
      </c>
      <c r="K205" s="61">
        <f t="shared" si="36"/>
        <v>534</v>
      </c>
      <c r="L205" s="74">
        <f>+L2-0.05</f>
        <v>2.37</v>
      </c>
      <c r="M205" s="61">
        <f t="shared" si="37"/>
        <v>645</v>
      </c>
      <c r="O205" s="155">
        <v>0</v>
      </c>
      <c r="P205" s="63">
        <f t="shared" si="39"/>
        <v>2.37</v>
      </c>
      <c r="Q205" s="64">
        <f t="shared" si="40"/>
        <v>1528.65</v>
      </c>
      <c r="R205" s="216"/>
      <c r="S205" s="61">
        <f t="shared" si="41"/>
        <v>64</v>
      </c>
      <c r="T205" s="96">
        <f t="shared" si="42"/>
        <v>151.68</v>
      </c>
      <c r="U205" s="61">
        <f t="shared" si="43"/>
        <v>581</v>
      </c>
      <c r="V205" s="96">
        <f t="shared" si="44"/>
        <v>1376.97</v>
      </c>
      <c r="W205" s="209">
        <f t="shared" si="45"/>
        <v>37228</v>
      </c>
      <c r="X205" s="115">
        <f t="shared" si="46"/>
        <v>0</v>
      </c>
    </row>
    <row r="206" spans="1:25" ht="15" customHeight="1" thickBot="1" x14ac:dyDescent="0.25">
      <c r="A206" s="3" t="s">
        <v>141</v>
      </c>
      <c r="B206" s="83" t="s">
        <v>208</v>
      </c>
      <c r="C206" s="3">
        <v>3316601</v>
      </c>
      <c r="D206" s="138" t="s">
        <v>204</v>
      </c>
      <c r="E206" s="191">
        <v>37228</v>
      </c>
      <c r="F206" s="3"/>
      <c r="G206" s="3">
        <v>58860</v>
      </c>
      <c r="H206" s="3" t="s">
        <v>11</v>
      </c>
      <c r="I206" s="3" t="s">
        <v>674</v>
      </c>
      <c r="J206" s="61" t="str">
        <f t="shared" si="47"/>
        <v>GW</v>
      </c>
      <c r="K206" s="61">
        <f t="shared" si="36"/>
        <v>832</v>
      </c>
      <c r="L206" s="74">
        <f>+L2-0.05</f>
        <v>2.37</v>
      </c>
      <c r="M206" s="61">
        <f t="shared" si="37"/>
        <v>1102</v>
      </c>
      <c r="O206" s="155">
        <v>0</v>
      </c>
      <c r="P206" s="63">
        <f t="shared" si="39"/>
        <v>2.37</v>
      </c>
      <c r="Q206" s="64">
        <f t="shared" si="40"/>
        <v>2611.7400000000002</v>
      </c>
      <c r="R206" s="216"/>
      <c r="S206" s="61">
        <f t="shared" si="41"/>
        <v>158</v>
      </c>
      <c r="T206" s="96">
        <f t="shared" si="42"/>
        <v>374.46000000000004</v>
      </c>
      <c r="U206" s="61">
        <f t="shared" si="43"/>
        <v>944</v>
      </c>
      <c r="V206" s="96">
        <f t="shared" si="44"/>
        <v>2237.2800000000002</v>
      </c>
      <c r="W206" s="209">
        <f t="shared" si="45"/>
        <v>37228</v>
      </c>
      <c r="X206" s="115">
        <f t="shared" si="46"/>
        <v>0</v>
      </c>
    </row>
    <row r="207" spans="1:25" s="29" customFormat="1" ht="15" customHeight="1" thickBot="1" x14ac:dyDescent="0.25">
      <c r="A207" s="34" t="s">
        <v>418</v>
      </c>
      <c r="B207" s="34" t="s">
        <v>454</v>
      </c>
      <c r="C207" s="82">
        <v>3038601</v>
      </c>
      <c r="D207" s="3" t="s">
        <v>455</v>
      </c>
      <c r="E207" s="189" t="s">
        <v>317</v>
      </c>
      <c r="F207" s="34" t="s">
        <v>455</v>
      </c>
      <c r="G207" s="82">
        <v>212178</v>
      </c>
      <c r="H207" s="82"/>
      <c r="I207" s="82" t="s">
        <v>359</v>
      </c>
      <c r="J207" s="170" t="str">
        <f t="shared" si="47"/>
        <v>GW</v>
      </c>
      <c r="K207" s="170">
        <f t="shared" si="36"/>
        <v>7069</v>
      </c>
      <c r="L207" s="171">
        <f>$L$2+0.01</f>
        <v>2.4299999999999997</v>
      </c>
      <c r="M207" s="170">
        <f t="shared" si="37"/>
        <v>9634</v>
      </c>
      <c r="O207" s="34">
        <v>0</v>
      </c>
      <c r="P207" s="172">
        <f t="shared" si="39"/>
        <v>2.4299999999999997</v>
      </c>
      <c r="Q207" s="173">
        <f t="shared" si="40"/>
        <v>23410.62</v>
      </c>
      <c r="R207" s="216"/>
      <c r="S207" s="61">
        <f t="shared" si="41"/>
        <v>942</v>
      </c>
      <c r="T207" s="96">
        <f t="shared" si="42"/>
        <v>2289.06</v>
      </c>
      <c r="U207" s="61">
        <f>IF(ISNA(VLOOKUP(B207,SplitVol,6,FALSE)),0,VLOOKUP(B207,SplitVol,6,FALSE))+1</f>
        <v>8692</v>
      </c>
      <c r="V207" s="96">
        <f t="shared" si="44"/>
        <v>21121.559999999998</v>
      </c>
      <c r="W207" s="209" t="str">
        <f t="shared" si="45"/>
        <v>na</v>
      </c>
      <c r="X207" s="115">
        <f t="shared" si="46"/>
        <v>0</v>
      </c>
      <c r="Y207" s="29" t="s">
        <v>101</v>
      </c>
    </row>
    <row r="208" spans="1:25" ht="15" customHeight="1" thickBot="1" x14ac:dyDescent="0.25">
      <c r="A208" s="3" t="s">
        <v>629</v>
      </c>
      <c r="B208" s="83" t="s">
        <v>12</v>
      </c>
      <c r="C208" s="3" t="s">
        <v>629</v>
      </c>
      <c r="D208" s="3" t="s">
        <v>13</v>
      </c>
      <c r="E208" s="189" t="s">
        <v>317</v>
      </c>
      <c r="F208" s="3"/>
      <c r="G208" s="1">
        <v>65929</v>
      </c>
      <c r="H208" s="1" t="s">
        <v>14</v>
      </c>
      <c r="I208" s="1" t="s">
        <v>15</v>
      </c>
      <c r="J208" s="61" t="str">
        <f t="shared" si="47"/>
        <v>na</v>
      </c>
      <c r="K208" s="61" t="str">
        <f t="shared" si="36"/>
        <v>na</v>
      </c>
      <c r="L208" s="65">
        <f>L$2*96%</f>
        <v>2.3231999999999999</v>
      </c>
      <c r="M208" s="61">
        <f t="shared" si="37"/>
        <v>0</v>
      </c>
      <c r="O208" s="155">
        <v>0</v>
      </c>
      <c r="P208" s="63">
        <f t="shared" si="39"/>
        <v>2.3231999999999999</v>
      </c>
      <c r="Q208" s="64">
        <f t="shared" si="40"/>
        <v>0</v>
      </c>
      <c r="R208" s="216"/>
      <c r="S208" s="61">
        <f t="shared" si="41"/>
        <v>0</v>
      </c>
      <c r="T208" s="96">
        <f t="shared" si="42"/>
        <v>0</v>
      </c>
      <c r="U208" s="61">
        <f t="shared" si="43"/>
        <v>0</v>
      </c>
      <c r="V208" s="96">
        <f t="shared" si="44"/>
        <v>0</v>
      </c>
      <c r="W208" s="209" t="str">
        <f t="shared" si="45"/>
        <v>na</v>
      </c>
      <c r="X208" s="115">
        <f t="shared" si="46"/>
        <v>0</v>
      </c>
    </row>
    <row r="209" spans="1:24" ht="15" customHeight="1" thickBot="1" x14ac:dyDescent="0.25">
      <c r="A209" s="3" t="s">
        <v>629</v>
      </c>
      <c r="B209" s="83" t="s">
        <v>16</v>
      </c>
      <c r="C209" s="3" t="s">
        <v>629</v>
      </c>
      <c r="D209" s="3" t="s">
        <v>13</v>
      </c>
      <c r="E209" s="189" t="s">
        <v>317</v>
      </c>
      <c r="F209" s="3"/>
      <c r="G209" s="1">
        <v>65929</v>
      </c>
      <c r="H209" s="1" t="s">
        <v>14</v>
      </c>
      <c r="I209" s="1" t="s">
        <v>15</v>
      </c>
      <c r="J209" s="61" t="str">
        <f t="shared" si="47"/>
        <v>na</v>
      </c>
      <c r="K209" s="61" t="str">
        <f t="shared" si="36"/>
        <v>na</v>
      </c>
      <c r="L209" s="65">
        <f>L$2*96%</f>
        <v>2.3231999999999999</v>
      </c>
      <c r="M209" s="61">
        <f t="shared" si="37"/>
        <v>0</v>
      </c>
      <c r="O209" s="155">
        <v>0</v>
      </c>
      <c r="P209" s="63">
        <f t="shared" si="39"/>
        <v>2.3231999999999999</v>
      </c>
      <c r="Q209" s="64">
        <f t="shared" si="40"/>
        <v>0</v>
      </c>
      <c r="R209" s="216"/>
      <c r="S209" s="61">
        <f t="shared" si="41"/>
        <v>0</v>
      </c>
      <c r="T209" s="96">
        <f t="shared" si="42"/>
        <v>0</v>
      </c>
      <c r="U209" s="61">
        <f t="shared" si="43"/>
        <v>0</v>
      </c>
      <c r="V209" s="96">
        <f t="shared" si="44"/>
        <v>0</v>
      </c>
      <c r="W209" s="209" t="str">
        <f t="shared" si="45"/>
        <v>na</v>
      </c>
      <c r="X209" s="115">
        <f t="shared" si="46"/>
        <v>0</v>
      </c>
    </row>
    <row r="210" spans="1:24" ht="15" customHeight="1" thickBot="1" x14ac:dyDescent="0.25">
      <c r="A210" s="3" t="s">
        <v>141</v>
      </c>
      <c r="B210" s="83" t="s">
        <v>171</v>
      </c>
      <c r="C210" s="3">
        <v>3564601</v>
      </c>
      <c r="D210" s="192" t="s">
        <v>17</v>
      </c>
      <c r="E210" s="193">
        <v>37257</v>
      </c>
      <c r="F210" s="3"/>
      <c r="G210" s="1">
        <v>66919</v>
      </c>
      <c r="H210" s="1" t="s">
        <v>596</v>
      </c>
      <c r="I210" s="1" t="s">
        <v>18</v>
      </c>
      <c r="J210" s="61" t="str">
        <f t="shared" si="47"/>
        <v>GW</v>
      </c>
      <c r="K210" s="61">
        <f t="shared" si="36"/>
        <v>9</v>
      </c>
      <c r="L210" s="65">
        <f>L$2*95%</f>
        <v>2.2989999999999999</v>
      </c>
      <c r="M210" s="61">
        <f t="shared" si="37"/>
        <v>15</v>
      </c>
      <c r="O210" s="155">
        <v>0</v>
      </c>
      <c r="P210" s="63">
        <f t="shared" si="39"/>
        <v>2.2989999999999999</v>
      </c>
      <c r="Q210" s="64">
        <f t="shared" si="40"/>
        <v>34.484999999999999</v>
      </c>
      <c r="R210" s="216"/>
      <c r="S210" s="61">
        <f t="shared" si="41"/>
        <v>3</v>
      </c>
      <c r="T210" s="96">
        <f t="shared" si="42"/>
        <v>6.8970000000000002</v>
      </c>
      <c r="U210" s="61">
        <f>IF(ISNA(VLOOKUP(B210,SplitVol,6,FALSE)),0,VLOOKUP(B210,SplitVol,6,FALSE))+1</f>
        <v>12</v>
      </c>
      <c r="V210" s="96">
        <f t="shared" si="44"/>
        <v>27.588000000000001</v>
      </c>
      <c r="W210" s="209">
        <f t="shared" si="45"/>
        <v>37257</v>
      </c>
      <c r="X210" s="115">
        <f t="shared" si="46"/>
        <v>0</v>
      </c>
    </row>
    <row r="211" spans="1:24" ht="15" customHeight="1" thickBot="1" x14ac:dyDescent="0.25">
      <c r="A211" s="3" t="s">
        <v>141</v>
      </c>
      <c r="B211" s="83" t="s">
        <v>211</v>
      </c>
      <c r="C211" s="3">
        <v>4180601</v>
      </c>
      <c r="D211" s="3" t="s">
        <v>21</v>
      </c>
      <c r="E211" s="189" t="s">
        <v>317</v>
      </c>
      <c r="F211" s="3"/>
      <c r="G211" s="1">
        <v>67002</v>
      </c>
      <c r="H211" s="1" t="s">
        <v>22</v>
      </c>
      <c r="I211" s="1" t="s">
        <v>23</v>
      </c>
      <c r="J211" s="61" t="str">
        <f t="shared" si="47"/>
        <v>GW</v>
      </c>
      <c r="K211" s="61">
        <f t="shared" si="36"/>
        <v>7</v>
      </c>
      <c r="L211" s="65">
        <f>L$2*95%</f>
        <v>2.2989999999999999</v>
      </c>
      <c r="M211" s="61">
        <f t="shared" si="37"/>
        <v>10</v>
      </c>
      <c r="O211" s="155">
        <v>0</v>
      </c>
      <c r="P211" s="63">
        <f t="shared" si="39"/>
        <v>2.2989999999999999</v>
      </c>
      <c r="Q211" s="64">
        <f t="shared" si="40"/>
        <v>22.99</v>
      </c>
      <c r="R211" s="216"/>
      <c r="S211" s="61">
        <f t="shared" si="41"/>
        <v>10</v>
      </c>
      <c r="T211" s="96">
        <f t="shared" si="42"/>
        <v>22.99</v>
      </c>
      <c r="U211" s="61">
        <f t="shared" si="43"/>
        <v>0</v>
      </c>
      <c r="V211" s="96">
        <f t="shared" si="44"/>
        <v>0</v>
      </c>
      <c r="W211" s="209" t="str">
        <f t="shared" si="45"/>
        <v>na</v>
      </c>
      <c r="X211" s="115">
        <f t="shared" si="46"/>
        <v>0</v>
      </c>
    </row>
    <row r="212" spans="1:24" ht="15" customHeight="1" thickBot="1" x14ac:dyDescent="0.25">
      <c r="A212" s="3" t="s">
        <v>141</v>
      </c>
      <c r="B212" s="83" t="s">
        <v>213</v>
      </c>
      <c r="C212" s="3">
        <v>4188401</v>
      </c>
      <c r="D212" s="3" t="s">
        <v>21</v>
      </c>
      <c r="E212" s="189" t="s">
        <v>317</v>
      </c>
      <c r="F212" s="3"/>
      <c r="G212" s="1">
        <v>67002</v>
      </c>
      <c r="H212" s="1" t="s">
        <v>22</v>
      </c>
      <c r="I212" s="1" t="s">
        <v>23</v>
      </c>
      <c r="J212" s="61" t="str">
        <f t="shared" si="47"/>
        <v>GW</v>
      </c>
      <c r="K212" s="61">
        <f t="shared" si="36"/>
        <v>14</v>
      </c>
      <c r="L212" s="65">
        <f>L$2*95%</f>
        <v>2.2989999999999999</v>
      </c>
      <c r="M212" s="61">
        <f t="shared" si="37"/>
        <v>17</v>
      </c>
      <c r="O212" s="155">
        <v>0</v>
      </c>
      <c r="P212" s="63">
        <f t="shared" si="39"/>
        <v>2.2989999999999999</v>
      </c>
      <c r="Q212" s="64">
        <f t="shared" si="40"/>
        <v>39.082999999999998</v>
      </c>
      <c r="R212" s="216"/>
      <c r="S212" s="61">
        <f t="shared" si="41"/>
        <v>19</v>
      </c>
      <c r="T212" s="96">
        <f t="shared" si="42"/>
        <v>43.680999999999997</v>
      </c>
      <c r="U212" s="61">
        <f t="shared" si="43"/>
        <v>-2</v>
      </c>
      <c r="V212" s="96">
        <f t="shared" si="44"/>
        <v>-4.5979999999999999</v>
      </c>
      <c r="W212" s="209" t="str">
        <f t="shared" si="45"/>
        <v>na</v>
      </c>
      <c r="X212" s="115">
        <f t="shared" si="46"/>
        <v>0</v>
      </c>
    </row>
    <row r="213" spans="1:24" ht="15" customHeight="1" thickBot="1" x14ac:dyDescent="0.25">
      <c r="A213" s="66" t="s">
        <v>296</v>
      </c>
      <c r="B213" s="66" t="s">
        <v>300</v>
      </c>
      <c r="C213" s="66">
        <v>3582101</v>
      </c>
      <c r="D213" s="138" t="s">
        <v>166</v>
      </c>
      <c r="E213" s="191">
        <v>37228</v>
      </c>
      <c r="F213" s="66"/>
      <c r="G213" s="66">
        <v>67002</v>
      </c>
      <c r="H213" s="66" t="s">
        <v>22</v>
      </c>
      <c r="I213" s="66" t="s">
        <v>336</v>
      </c>
      <c r="J213" s="109" t="str">
        <f t="shared" si="47"/>
        <v>TW</v>
      </c>
      <c r="K213" s="109">
        <f t="shared" si="36"/>
        <v>2</v>
      </c>
      <c r="L213" s="142">
        <f>+CNGPricing!$H$125</f>
        <v>2.3957999999999999</v>
      </c>
      <c r="M213" s="109">
        <f t="shared" si="37"/>
        <v>2</v>
      </c>
      <c r="O213" s="155">
        <v>0</v>
      </c>
      <c r="P213" s="174">
        <f t="shared" si="39"/>
        <v>2.3957999999999999</v>
      </c>
      <c r="Q213" s="175">
        <f t="shared" si="40"/>
        <v>4.7915999999999999</v>
      </c>
      <c r="R213" s="216"/>
      <c r="S213" s="61">
        <f t="shared" si="41"/>
        <v>0</v>
      </c>
      <c r="T213" s="96">
        <f t="shared" si="42"/>
        <v>0</v>
      </c>
      <c r="U213" s="61">
        <f t="shared" si="43"/>
        <v>2</v>
      </c>
      <c r="V213" s="96">
        <f t="shared" si="44"/>
        <v>4.7915999999999999</v>
      </c>
      <c r="W213" s="209">
        <f t="shared" si="45"/>
        <v>37228</v>
      </c>
      <c r="X213" s="115">
        <f t="shared" si="46"/>
        <v>0</v>
      </c>
    </row>
    <row r="214" spans="1:24" ht="15" customHeight="1" thickBot="1" x14ac:dyDescent="0.25">
      <c r="A214" s="66" t="s">
        <v>141</v>
      </c>
      <c r="B214" s="148" t="s">
        <v>363</v>
      </c>
      <c r="C214" s="148">
        <v>3571701</v>
      </c>
      <c r="D214" s="138" t="s">
        <v>166</v>
      </c>
      <c r="E214" s="191">
        <v>37228</v>
      </c>
      <c r="F214" s="66"/>
      <c r="G214" s="66">
        <v>67032</v>
      </c>
      <c r="H214" s="66" t="s">
        <v>27</v>
      </c>
      <c r="I214" s="66" t="s">
        <v>336</v>
      </c>
      <c r="J214" s="109" t="str">
        <f t="shared" si="47"/>
        <v>GW</v>
      </c>
      <c r="K214" s="109">
        <f t="shared" si="36"/>
        <v>7</v>
      </c>
      <c r="L214" s="142">
        <f>+CNGPricing!$H$125</f>
        <v>2.3957999999999999</v>
      </c>
      <c r="M214" s="109">
        <f t="shared" si="37"/>
        <v>10</v>
      </c>
      <c r="O214" s="155">
        <v>0</v>
      </c>
      <c r="P214" s="174">
        <f t="shared" si="39"/>
        <v>2.3957999999999999</v>
      </c>
      <c r="Q214" s="175">
        <f t="shared" si="40"/>
        <v>23.957999999999998</v>
      </c>
      <c r="R214" s="216"/>
      <c r="S214" s="61">
        <f t="shared" si="41"/>
        <v>10</v>
      </c>
      <c r="T214" s="96">
        <f t="shared" si="42"/>
        <v>23.957999999999998</v>
      </c>
      <c r="U214" s="61">
        <f t="shared" si="43"/>
        <v>0</v>
      </c>
      <c r="V214" s="96">
        <f t="shared" si="44"/>
        <v>0</v>
      </c>
      <c r="W214" s="209">
        <f t="shared" si="45"/>
        <v>37228</v>
      </c>
      <c r="X214" s="115">
        <f t="shared" si="46"/>
        <v>0</v>
      </c>
    </row>
    <row r="215" spans="1:24" ht="15" customHeight="1" thickBot="1" x14ac:dyDescent="0.25">
      <c r="A215" s="66" t="s">
        <v>141</v>
      </c>
      <c r="B215" s="85" t="s">
        <v>262</v>
      </c>
      <c r="C215" s="66">
        <v>3509101</v>
      </c>
      <c r="D215" s="138" t="s">
        <v>166</v>
      </c>
      <c r="E215" s="191">
        <v>37228</v>
      </c>
      <c r="F215" s="66"/>
      <c r="G215" s="66">
        <v>67032</v>
      </c>
      <c r="H215" s="66" t="s">
        <v>27</v>
      </c>
      <c r="I215" s="66" t="s">
        <v>336</v>
      </c>
      <c r="J215" s="109" t="str">
        <f t="shared" si="47"/>
        <v>GW</v>
      </c>
      <c r="K215" s="109">
        <f t="shared" si="36"/>
        <v>39</v>
      </c>
      <c r="L215" s="142">
        <f>+CNGPricing!$H$125</f>
        <v>2.3957999999999999</v>
      </c>
      <c r="M215" s="109">
        <f t="shared" si="37"/>
        <v>48</v>
      </c>
      <c r="O215" s="155">
        <v>0</v>
      </c>
      <c r="P215" s="174">
        <f t="shared" si="39"/>
        <v>2.3957999999999999</v>
      </c>
      <c r="Q215" s="175">
        <f t="shared" si="40"/>
        <v>114.9984</v>
      </c>
      <c r="R215" s="216"/>
      <c r="S215" s="61">
        <f t="shared" si="41"/>
        <v>19</v>
      </c>
      <c r="T215" s="96">
        <f t="shared" si="42"/>
        <v>45.520199999999996</v>
      </c>
      <c r="U215" s="61">
        <f t="shared" si="43"/>
        <v>29</v>
      </c>
      <c r="V215" s="96">
        <f t="shared" si="44"/>
        <v>69.478200000000001</v>
      </c>
      <c r="W215" s="209">
        <f t="shared" si="45"/>
        <v>37228</v>
      </c>
      <c r="X215" s="115">
        <f t="shared" si="46"/>
        <v>0</v>
      </c>
    </row>
    <row r="216" spans="1:24" ht="15" customHeight="1" thickBot="1" x14ac:dyDescent="0.25">
      <c r="A216" s="66" t="s">
        <v>141</v>
      </c>
      <c r="B216" s="85" t="s">
        <v>263</v>
      </c>
      <c r="C216" s="66">
        <v>3506201</v>
      </c>
      <c r="D216" s="138" t="s">
        <v>166</v>
      </c>
      <c r="E216" s="191">
        <v>37228</v>
      </c>
      <c r="F216" s="66"/>
      <c r="G216" s="66">
        <v>67032</v>
      </c>
      <c r="H216" s="66" t="s">
        <v>27</v>
      </c>
      <c r="I216" s="66" t="s">
        <v>336</v>
      </c>
      <c r="J216" s="109" t="str">
        <f t="shared" si="47"/>
        <v>GW</v>
      </c>
      <c r="K216" s="109">
        <f t="shared" si="36"/>
        <v>36</v>
      </c>
      <c r="L216" s="142">
        <f>+CNGPricing!$H$125</f>
        <v>2.3957999999999999</v>
      </c>
      <c r="M216" s="109">
        <f t="shared" si="37"/>
        <v>43</v>
      </c>
      <c r="O216" s="155">
        <v>0</v>
      </c>
      <c r="P216" s="174">
        <f t="shared" si="39"/>
        <v>2.3957999999999999</v>
      </c>
      <c r="Q216" s="175">
        <f t="shared" si="40"/>
        <v>103.01939999999999</v>
      </c>
      <c r="R216" s="216"/>
      <c r="S216" s="61">
        <f t="shared" si="41"/>
        <v>17</v>
      </c>
      <c r="T216" s="96">
        <f t="shared" si="42"/>
        <v>40.7286</v>
      </c>
      <c r="U216" s="61">
        <f t="shared" si="43"/>
        <v>26</v>
      </c>
      <c r="V216" s="96">
        <f t="shared" si="44"/>
        <v>62.290799999999997</v>
      </c>
      <c r="W216" s="209">
        <f t="shared" si="45"/>
        <v>37228</v>
      </c>
      <c r="X216" s="115">
        <f t="shared" si="46"/>
        <v>0</v>
      </c>
    </row>
    <row r="217" spans="1:24" ht="15" customHeight="1" thickBot="1" x14ac:dyDescent="0.25">
      <c r="A217" s="66" t="s">
        <v>141</v>
      </c>
      <c r="B217" s="85" t="s">
        <v>282</v>
      </c>
      <c r="C217" s="66">
        <v>3475001</v>
      </c>
      <c r="D217" s="138" t="s">
        <v>166</v>
      </c>
      <c r="E217" s="191">
        <v>37228</v>
      </c>
      <c r="F217" s="66"/>
      <c r="G217" s="66">
        <v>67032</v>
      </c>
      <c r="H217" s="66" t="s">
        <v>27</v>
      </c>
      <c r="I217" s="66" t="s">
        <v>336</v>
      </c>
      <c r="J217" s="109" t="str">
        <f t="shared" si="47"/>
        <v>GW</v>
      </c>
      <c r="K217" s="109">
        <f t="shared" si="36"/>
        <v>91</v>
      </c>
      <c r="L217" s="142">
        <f>+CNGPricing!$H$125</f>
        <v>2.3957999999999999</v>
      </c>
      <c r="M217" s="109">
        <f t="shared" si="37"/>
        <v>120</v>
      </c>
      <c r="O217" s="155">
        <v>0</v>
      </c>
      <c r="P217" s="174">
        <f t="shared" si="39"/>
        <v>2.3957999999999999</v>
      </c>
      <c r="Q217" s="175">
        <f t="shared" si="40"/>
        <v>287.49599999999998</v>
      </c>
      <c r="R217" s="216"/>
      <c r="S217" s="61">
        <f t="shared" si="41"/>
        <v>12</v>
      </c>
      <c r="T217" s="96">
        <f t="shared" si="42"/>
        <v>28.749600000000001</v>
      </c>
      <c r="U217" s="61">
        <f t="shared" si="43"/>
        <v>108</v>
      </c>
      <c r="V217" s="96">
        <f t="shared" si="44"/>
        <v>258.74639999999999</v>
      </c>
      <c r="W217" s="209">
        <f t="shared" si="45"/>
        <v>37228</v>
      </c>
      <c r="X217" s="115">
        <f t="shared" si="46"/>
        <v>0</v>
      </c>
    </row>
    <row r="218" spans="1:24" ht="15" customHeight="1" thickBot="1" x14ac:dyDescent="0.25">
      <c r="A218" s="66" t="s">
        <v>141</v>
      </c>
      <c r="B218" s="85" t="s">
        <v>165</v>
      </c>
      <c r="C218" s="66">
        <v>3549301</v>
      </c>
      <c r="D218" s="138" t="s">
        <v>28</v>
      </c>
      <c r="E218" s="191">
        <v>37228</v>
      </c>
      <c r="F218" s="66"/>
      <c r="G218" s="66">
        <v>67032</v>
      </c>
      <c r="H218" s="66" t="s">
        <v>27</v>
      </c>
      <c r="I218" s="66" t="s">
        <v>336</v>
      </c>
      <c r="J218" s="109" t="str">
        <f t="shared" si="47"/>
        <v>GW</v>
      </c>
      <c r="K218" s="109">
        <f t="shared" ref="K218:K281" si="48">IF(ISNA(VLOOKUP(B218,cngdata,13,FALSE)),"na",VLOOKUP(B218,cngdata,13,FALSE))</f>
        <v>59</v>
      </c>
      <c r="L218" s="142">
        <f>+CNGPricing!$H$125</f>
        <v>2.3957999999999999</v>
      </c>
      <c r="M218" s="109">
        <f t="shared" ref="M218:M281" si="49">IF(ISNA(VLOOKUP(B218,cngdata,14,FALSE)),0,VLOOKUP(B218,cngdata,14,FALSE))</f>
        <v>76</v>
      </c>
      <c r="O218" s="155">
        <v>0</v>
      </c>
      <c r="P218" s="174">
        <f t="shared" si="39"/>
        <v>2.3957999999999999</v>
      </c>
      <c r="Q218" s="175">
        <f t="shared" si="40"/>
        <v>182.08079999999998</v>
      </c>
      <c r="R218" s="216"/>
      <c r="S218" s="61">
        <f t="shared" si="41"/>
        <v>38</v>
      </c>
      <c r="T218" s="96">
        <f t="shared" si="42"/>
        <v>91.040399999999991</v>
      </c>
      <c r="U218" s="61">
        <f t="shared" si="43"/>
        <v>38</v>
      </c>
      <c r="V218" s="96">
        <f t="shared" si="44"/>
        <v>91.040399999999991</v>
      </c>
      <c r="W218" s="209">
        <f t="shared" si="45"/>
        <v>37228</v>
      </c>
      <c r="X218" s="115">
        <f t="shared" si="46"/>
        <v>0</v>
      </c>
    </row>
    <row r="219" spans="1:24" ht="15" customHeight="1" thickBot="1" x14ac:dyDescent="0.25">
      <c r="A219" s="66" t="s">
        <v>629</v>
      </c>
      <c r="B219" s="85" t="s">
        <v>29</v>
      </c>
      <c r="C219" s="66" t="s">
        <v>629</v>
      </c>
      <c r="D219" s="138" t="s">
        <v>28</v>
      </c>
      <c r="E219" s="191">
        <v>37228</v>
      </c>
      <c r="F219" s="66"/>
      <c r="G219" s="66">
        <v>67032</v>
      </c>
      <c r="H219" s="66" t="s">
        <v>27</v>
      </c>
      <c r="I219" s="66" t="s">
        <v>336</v>
      </c>
      <c r="J219" s="109" t="str">
        <f t="shared" si="47"/>
        <v>na</v>
      </c>
      <c r="K219" s="109" t="str">
        <f t="shared" si="48"/>
        <v>na</v>
      </c>
      <c r="L219" s="142">
        <f>+CNGPricing!$H$125</f>
        <v>2.3957999999999999</v>
      </c>
      <c r="M219" s="109">
        <f t="shared" si="49"/>
        <v>0</v>
      </c>
      <c r="O219" s="155">
        <v>0</v>
      </c>
      <c r="P219" s="174">
        <f t="shared" si="39"/>
        <v>2.3957999999999999</v>
      </c>
      <c r="Q219" s="175">
        <f t="shared" si="40"/>
        <v>0</v>
      </c>
      <c r="R219" s="216"/>
      <c r="S219" s="61">
        <f t="shared" si="41"/>
        <v>0</v>
      </c>
      <c r="T219" s="96">
        <f t="shared" si="42"/>
        <v>0</v>
      </c>
      <c r="U219" s="61">
        <f t="shared" si="43"/>
        <v>0</v>
      </c>
      <c r="V219" s="96">
        <f t="shared" si="44"/>
        <v>0</v>
      </c>
      <c r="W219" s="209">
        <f t="shared" si="45"/>
        <v>37228</v>
      </c>
      <c r="X219" s="115">
        <f t="shared" si="46"/>
        <v>0</v>
      </c>
    </row>
    <row r="220" spans="1:24" ht="15" customHeight="1" thickBot="1" x14ac:dyDescent="0.25">
      <c r="A220" s="66" t="s">
        <v>141</v>
      </c>
      <c r="B220" s="66" t="s">
        <v>247</v>
      </c>
      <c r="C220" s="66">
        <v>3426101</v>
      </c>
      <c r="D220" s="138" t="s">
        <v>28</v>
      </c>
      <c r="E220" s="191">
        <v>37228</v>
      </c>
      <c r="F220" s="66"/>
      <c r="G220" s="66">
        <v>67032</v>
      </c>
      <c r="H220" s="85"/>
      <c r="I220" s="66" t="s">
        <v>336</v>
      </c>
      <c r="J220" s="109" t="str">
        <f t="shared" si="47"/>
        <v>GW</v>
      </c>
      <c r="K220" s="109">
        <f t="shared" si="48"/>
        <v>142</v>
      </c>
      <c r="L220" s="142">
        <f>+CNGPricing!$H$125</f>
        <v>2.3957999999999999</v>
      </c>
      <c r="M220" s="109">
        <f t="shared" si="49"/>
        <v>176</v>
      </c>
      <c r="O220" s="155">
        <v>0</v>
      </c>
      <c r="P220" s="161">
        <f t="shared" si="39"/>
        <v>2.3957999999999999</v>
      </c>
      <c r="Q220" s="176">
        <f t="shared" si="40"/>
        <v>421.66079999999999</v>
      </c>
      <c r="R220" s="217"/>
      <c r="S220" s="61">
        <f t="shared" si="41"/>
        <v>45</v>
      </c>
      <c r="T220" s="96">
        <f t="shared" si="42"/>
        <v>107.81099999999999</v>
      </c>
      <c r="U220" s="61">
        <f t="shared" si="43"/>
        <v>131</v>
      </c>
      <c r="V220" s="96">
        <f t="shared" si="44"/>
        <v>313.84980000000002</v>
      </c>
      <c r="W220" s="209">
        <f t="shared" si="45"/>
        <v>37228</v>
      </c>
      <c r="X220" s="115">
        <f t="shared" si="46"/>
        <v>0</v>
      </c>
    </row>
    <row r="221" spans="1:24" ht="15" customHeight="1" thickBot="1" x14ac:dyDescent="0.25">
      <c r="A221" s="66" t="s">
        <v>296</v>
      </c>
      <c r="B221" s="85" t="s">
        <v>305</v>
      </c>
      <c r="C221" s="66">
        <v>3405001</v>
      </c>
      <c r="D221" s="138" t="s">
        <v>28</v>
      </c>
      <c r="E221" s="191">
        <v>37228</v>
      </c>
      <c r="F221" s="66"/>
      <c r="G221" s="66">
        <v>67032</v>
      </c>
      <c r="H221" s="66" t="s">
        <v>27</v>
      </c>
      <c r="I221" s="66" t="s">
        <v>336</v>
      </c>
      <c r="J221" s="109" t="str">
        <f t="shared" si="47"/>
        <v>TW</v>
      </c>
      <c r="K221" s="109">
        <f t="shared" si="48"/>
        <v>4</v>
      </c>
      <c r="L221" s="142">
        <f>+CNGPricing!$H$125</f>
        <v>2.3957999999999999</v>
      </c>
      <c r="M221" s="109">
        <f t="shared" si="49"/>
        <v>6</v>
      </c>
      <c r="O221" s="155">
        <v>0</v>
      </c>
      <c r="P221" s="174">
        <f t="shared" si="39"/>
        <v>2.3957999999999999</v>
      </c>
      <c r="Q221" s="175">
        <f t="shared" si="40"/>
        <v>14.3748</v>
      </c>
      <c r="R221" s="216"/>
      <c r="S221" s="61">
        <f t="shared" si="41"/>
        <v>6</v>
      </c>
      <c r="T221" s="96">
        <f t="shared" si="42"/>
        <v>14.3748</v>
      </c>
      <c r="U221" s="61">
        <f t="shared" si="43"/>
        <v>0</v>
      </c>
      <c r="V221" s="96">
        <f t="shared" si="44"/>
        <v>0</v>
      </c>
      <c r="W221" s="209">
        <f t="shared" si="45"/>
        <v>37228</v>
      </c>
      <c r="X221" s="115">
        <f t="shared" si="46"/>
        <v>0</v>
      </c>
    </row>
    <row r="222" spans="1:24" ht="15" customHeight="1" thickBot="1" x14ac:dyDescent="0.25">
      <c r="A222" s="66" t="s">
        <v>141</v>
      </c>
      <c r="B222" s="85" t="s">
        <v>250</v>
      </c>
      <c r="C222" s="66">
        <v>3420401</v>
      </c>
      <c r="D222" s="138" t="s">
        <v>28</v>
      </c>
      <c r="E222" s="191">
        <v>37228</v>
      </c>
      <c r="F222" s="66"/>
      <c r="G222" s="66">
        <v>67032</v>
      </c>
      <c r="H222" s="66" t="s">
        <v>27</v>
      </c>
      <c r="I222" s="66" t="s">
        <v>336</v>
      </c>
      <c r="J222" s="109" t="str">
        <f t="shared" si="47"/>
        <v>GW</v>
      </c>
      <c r="K222" s="109">
        <f t="shared" si="48"/>
        <v>0</v>
      </c>
      <c r="L222" s="142">
        <f>+CNGPricing!$H$125</f>
        <v>2.3957999999999999</v>
      </c>
      <c r="M222" s="109">
        <f t="shared" si="49"/>
        <v>0</v>
      </c>
      <c r="O222" s="155">
        <v>0</v>
      </c>
      <c r="P222" s="174">
        <f t="shared" si="39"/>
        <v>2.3957999999999999</v>
      </c>
      <c r="Q222" s="175">
        <f t="shared" si="40"/>
        <v>0</v>
      </c>
      <c r="R222" s="216"/>
      <c r="S222" s="61">
        <f t="shared" si="41"/>
        <v>0</v>
      </c>
      <c r="T222" s="96">
        <f t="shared" si="42"/>
        <v>0</v>
      </c>
      <c r="U222" s="61">
        <f t="shared" si="43"/>
        <v>0</v>
      </c>
      <c r="V222" s="96">
        <f t="shared" si="44"/>
        <v>0</v>
      </c>
      <c r="W222" s="209">
        <f t="shared" si="45"/>
        <v>37228</v>
      </c>
      <c r="X222" s="115">
        <f t="shared" si="46"/>
        <v>0</v>
      </c>
    </row>
    <row r="223" spans="1:24" ht="15" customHeight="1" thickBot="1" x14ac:dyDescent="0.25">
      <c r="A223" s="1" t="s">
        <v>418</v>
      </c>
      <c r="B223" s="1" t="s">
        <v>426</v>
      </c>
      <c r="C223" s="42">
        <v>1077501</v>
      </c>
      <c r="D223" s="3" t="s">
        <v>425</v>
      </c>
      <c r="E223" s="189" t="s">
        <v>317</v>
      </c>
      <c r="F223" s="1" t="s">
        <v>425</v>
      </c>
      <c r="G223" s="42">
        <v>212194</v>
      </c>
      <c r="H223" s="42"/>
      <c r="I223" s="68" t="s">
        <v>550</v>
      </c>
      <c r="J223" s="61" t="str">
        <f t="shared" si="47"/>
        <v>na</v>
      </c>
      <c r="K223" s="61" t="str">
        <f t="shared" si="48"/>
        <v>na</v>
      </c>
      <c r="L223" s="65">
        <f t="shared" ref="L223:L232" si="50">$L$2</f>
        <v>2.42</v>
      </c>
      <c r="M223" s="61">
        <f t="shared" si="49"/>
        <v>0</v>
      </c>
      <c r="O223" s="155">
        <v>0</v>
      </c>
      <c r="P223" s="63">
        <f t="shared" si="39"/>
        <v>2.42</v>
      </c>
      <c r="Q223" s="64">
        <v>0</v>
      </c>
      <c r="R223" s="216"/>
      <c r="S223" s="61">
        <f t="shared" si="41"/>
        <v>0</v>
      </c>
      <c r="T223" s="96">
        <f t="shared" si="42"/>
        <v>0</v>
      </c>
      <c r="U223" s="61">
        <f t="shared" si="43"/>
        <v>0</v>
      </c>
      <c r="V223" s="96">
        <f t="shared" si="44"/>
        <v>0</v>
      </c>
      <c r="W223" s="209" t="str">
        <f t="shared" si="45"/>
        <v>na</v>
      </c>
      <c r="X223" s="115">
        <f t="shared" si="46"/>
        <v>0</v>
      </c>
    </row>
    <row r="224" spans="1:24" ht="15" customHeight="1" thickBot="1" x14ac:dyDescent="0.25">
      <c r="A224" s="1" t="s">
        <v>418</v>
      </c>
      <c r="B224" s="1" t="s">
        <v>525</v>
      </c>
      <c r="C224" s="42">
        <v>4335601</v>
      </c>
      <c r="D224" s="3" t="s">
        <v>425</v>
      </c>
      <c r="E224" s="189" t="s">
        <v>317</v>
      </c>
      <c r="F224" s="1" t="s">
        <v>425</v>
      </c>
      <c r="G224" s="42">
        <v>212194</v>
      </c>
      <c r="H224" s="42"/>
      <c r="I224" s="68" t="s">
        <v>550</v>
      </c>
      <c r="J224" s="61" t="str">
        <f t="shared" ref="J224:J232" si="51">IF(ISNA(VLOOKUP(B224,cngdata,7,FALSE)),"na",VLOOKUP(B224,cngdata,7,FALSE))</f>
        <v>na</v>
      </c>
      <c r="K224" s="61" t="str">
        <f t="shared" si="48"/>
        <v>na</v>
      </c>
      <c r="L224" s="65">
        <f t="shared" si="50"/>
        <v>2.42</v>
      </c>
      <c r="M224" s="61">
        <f t="shared" si="49"/>
        <v>0</v>
      </c>
      <c r="O224" s="155">
        <v>0</v>
      </c>
      <c r="P224" s="63">
        <f t="shared" si="39"/>
        <v>2.42</v>
      </c>
      <c r="Q224" s="64">
        <f t="shared" ref="Q224:Q255" si="52">M224*P224</f>
        <v>0</v>
      </c>
      <c r="R224" s="216"/>
      <c r="S224" s="61">
        <f t="shared" si="41"/>
        <v>0</v>
      </c>
      <c r="T224" s="96">
        <f t="shared" si="42"/>
        <v>0</v>
      </c>
      <c r="U224" s="61">
        <f t="shared" si="43"/>
        <v>0</v>
      </c>
      <c r="V224" s="96">
        <f t="shared" si="44"/>
        <v>0</v>
      </c>
      <c r="W224" s="209" t="str">
        <f t="shared" si="45"/>
        <v>na</v>
      </c>
      <c r="X224" s="115">
        <f t="shared" si="46"/>
        <v>0</v>
      </c>
    </row>
    <row r="225" spans="1:24" ht="15" customHeight="1" thickBot="1" x14ac:dyDescent="0.25">
      <c r="A225" s="1" t="s">
        <v>418</v>
      </c>
      <c r="B225" s="1" t="s">
        <v>526</v>
      </c>
      <c r="C225" s="42">
        <v>4336401</v>
      </c>
      <c r="D225" s="3" t="s">
        <v>425</v>
      </c>
      <c r="E225" s="189" t="s">
        <v>317</v>
      </c>
      <c r="F225" s="1" t="s">
        <v>425</v>
      </c>
      <c r="G225" s="42">
        <v>212194</v>
      </c>
      <c r="H225" s="42"/>
      <c r="I225" s="68" t="s">
        <v>550</v>
      </c>
      <c r="J225" s="61" t="str">
        <f t="shared" si="51"/>
        <v>na</v>
      </c>
      <c r="K225" s="61" t="str">
        <f t="shared" si="48"/>
        <v>na</v>
      </c>
      <c r="L225" s="65">
        <f t="shared" si="50"/>
        <v>2.42</v>
      </c>
      <c r="M225" s="61">
        <f t="shared" si="49"/>
        <v>0</v>
      </c>
      <c r="O225" s="155">
        <v>0</v>
      </c>
      <c r="P225" s="63">
        <f t="shared" si="39"/>
        <v>2.42</v>
      </c>
      <c r="Q225" s="64">
        <f t="shared" si="52"/>
        <v>0</v>
      </c>
      <c r="R225" s="216"/>
      <c r="S225" s="61">
        <f t="shared" si="41"/>
        <v>0</v>
      </c>
      <c r="T225" s="96">
        <f t="shared" si="42"/>
        <v>0</v>
      </c>
      <c r="U225" s="61">
        <f t="shared" si="43"/>
        <v>0</v>
      </c>
      <c r="V225" s="96">
        <f t="shared" si="44"/>
        <v>0</v>
      </c>
      <c r="W225" s="209" t="str">
        <f t="shared" si="45"/>
        <v>na</v>
      </c>
      <c r="X225" s="115">
        <f t="shared" si="46"/>
        <v>0</v>
      </c>
    </row>
    <row r="226" spans="1:24" ht="15" customHeight="1" thickBot="1" x14ac:dyDescent="0.25">
      <c r="A226" s="1" t="s">
        <v>418</v>
      </c>
      <c r="B226" s="1" t="s">
        <v>527</v>
      </c>
      <c r="C226" s="42">
        <v>4338501</v>
      </c>
      <c r="D226" s="3" t="s">
        <v>425</v>
      </c>
      <c r="E226" s="189" t="s">
        <v>317</v>
      </c>
      <c r="F226" s="1" t="s">
        <v>425</v>
      </c>
      <c r="G226" s="42">
        <v>212194</v>
      </c>
      <c r="H226" s="42"/>
      <c r="I226" s="68" t="s">
        <v>550</v>
      </c>
      <c r="J226" s="61" t="str">
        <f t="shared" si="51"/>
        <v>na</v>
      </c>
      <c r="K226" s="61" t="str">
        <f t="shared" si="48"/>
        <v>na</v>
      </c>
      <c r="L226" s="65">
        <f t="shared" si="50"/>
        <v>2.42</v>
      </c>
      <c r="M226" s="61">
        <f t="shared" si="49"/>
        <v>0</v>
      </c>
      <c r="O226" s="155">
        <v>0</v>
      </c>
      <c r="P226" s="63">
        <f t="shared" si="39"/>
        <v>2.42</v>
      </c>
      <c r="Q226" s="64">
        <f t="shared" si="52"/>
        <v>0</v>
      </c>
      <c r="R226" s="216"/>
      <c r="S226" s="61">
        <f t="shared" si="41"/>
        <v>0</v>
      </c>
      <c r="T226" s="96">
        <f t="shared" si="42"/>
        <v>0</v>
      </c>
      <c r="U226" s="61">
        <f t="shared" si="43"/>
        <v>0</v>
      </c>
      <c r="V226" s="96">
        <f t="shared" si="44"/>
        <v>0</v>
      </c>
      <c r="W226" s="209" t="str">
        <f t="shared" si="45"/>
        <v>na</v>
      </c>
      <c r="X226" s="115">
        <f t="shared" si="46"/>
        <v>0</v>
      </c>
    </row>
    <row r="227" spans="1:24" ht="15" customHeight="1" thickBot="1" x14ac:dyDescent="0.25">
      <c r="A227" s="1" t="s">
        <v>418</v>
      </c>
      <c r="B227" s="1" t="s">
        <v>528</v>
      </c>
      <c r="C227" s="42">
        <v>4339701</v>
      </c>
      <c r="D227" s="3" t="s">
        <v>425</v>
      </c>
      <c r="E227" s="189" t="s">
        <v>317</v>
      </c>
      <c r="F227" s="1" t="s">
        <v>425</v>
      </c>
      <c r="G227" s="42">
        <v>212194</v>
      </c>
      <c r="H227" s="42"/>
      <c r="I227" s="68" t="s">
        <v>550</v>
      </c>
      <c r="J227" s="61" t="str">
        <f t="shared" si="51"/>
        <v>na</v>
      </c>
      <c r="K227" s="61" t="str">
        <f t="shared" si="48"/>
        <v>na</v>
      </c>
      <c r="L227" s="65">
        <f t="shared" si="50"/>
        <v>2.42</v>
      </c>
      <c r="M227" s="61">
        <f t="shared" si="49"/>
        <v>0</v>
      </c>
      <c r="O227" s="155">
        <v>0</v>
      </c>
      <c r="P227" s="63">
        <f t="shared" si="39"/>
        <v>2.42</v>
      </c>
      <c r="Q227" s="64">
        <f t="shared" si="52"/>
        <v>0</v>
      </c>
      <c r="R227" s="216"/>
      <c r="S227" s="61">
        <f t="shared" si="41"/>
        <v>0</v>
      </c>
      <c r="T227" s="96">
        <f t="shared" si="42"/>
        <v>0</v>
      </c>
      <c r="U227" s="61">
        <f t="shared" si="43"/>
        <v>0</v>
      </c>
      <c r="V227" s="96">
        <f t="shared" si="44"/>
        <v>0</v>
      </c>
      <c r="W227" s="209" t="str">
        <f t="shared" si="45"/>
        <v>na</v>
      </c>
      <c r="X227" s="115">
        <f t="shared" si="46"/>
        <v>0</v>
      </c>
    </row>
    <row r="228" spans="1:24" ht="15" customHeight="1" thickBot="1" x14ac:dyDescent="0.25">
      <c r="A228" s="1" t="s">
        <v>418</v>
      </c>
      <c r="B228" s="1" t="s">
        <v>479</v>
      </c>
      <c r="C228" s="42">
        <v>3511201</v>
      </c>
      <c r="D228" s="3" t="s">
        <v>425</v>
      </c>
      <c r="E228" s="189" t="s">
        <v>317</v>
      </c>
      <c r="F228" s="1" t="s">
        <v>425</v>
      </c>
      <c r="G228" s="42">
        <v>212194</v>
      </c>
      <c r="H228" s="42"/>
      <c r="I228" s="68" t="s">
        <v>550</v>
      </c>
      <c r="J228" s="61" t="str">
        <f t="shared" si="51"/>
        <v>na</v>
      </c>
      <c r="K228" s="61" t="str">
        <f t="shared" si="48"/>
        <v>na</v>
      </c>
      <c r="L228" s="65">
        <f t="shared" si="50"/>
        <v>2.42</v>
      </c>
      <c r="M228" s="61">
        <f t="shared" si="49"/>
        <v>0</v>
      </c>
      <c r="O228" s="155">
        <v>0</v>
      </c>
      <c r="P228" s="63">
        <f t="shared" si="39"/>
        <v>2.42</v>
      </c>
      <c r="Q228" s="64">
        <f t="shared" si="52"/>
        <v>0</v>
      </c>
      <c r="R228" s="216"/>
      <c r="S228" s="61">
        <f t="shared" si="41"/>
        <v>0</v>
      </c>
      <c r="T228" s="96">
        <f t="shared" si="42"/>
        <v>0</v>
      </c>
      <c r="U228" s="61">
        <f t="shared" si="43"/>
        <v>0</v>
      </c>
      <c r="V228" s="96">
        <f t="shared" si="44"/>
        <v>0</v>
      </c>
      <c r="W228" s="209" t="str">
        <f t="shared" si="45"/>
        <v>na</v>
      </c>
      <c r="X228" s="115">
        <f t="shared" si="46"/>
        <v>0</v>
      </c>
    </row>
    <row r="229" spans="1:24" ht="15" customHeight="1" thickBot="1" x14ac:dyDescent="0.25">
      <c r="A229" s="1" t="s">
        <v>418</v>
      </c>
      <c r="B229" s="1" t="s">
        <v>507</v>
      </c>
      <c r="C229" s="42">
        <v>4026101</v>
      </c>
      <c r="D229" s="3" t="s">
        <v>425</v>
      </c>
      <c r="E229" s="189" t="s">
        <v>317</v>
      </c>
      <c r="F229" s="1" t="s">
        <v>425</v>
      </c>
      <c r="G229" s="42">
        <v>212194</v>
      </c>
      <c r="H229" s="42"/>
      <c r="I229" s="68" t="s">
        <v>550</v>
      </c>
      <c r="J229" s="61" t="str">
        <f t="shared" si="51"/>
        <v>na</v>
      </c>
      <c r="K229" s="61" t="str">
        <f t="shared" si="48"/>
        <v>na</v>
      </c>
      <c r="L229" s="65">
        <f t="shared" si="50"/>
        <v>2.42</v>
      </c>
      <c r="M229" s="61">
        <f t="shared" si="49"/>
        <v>0</v>
      </c>
      <c r="O229" s="155">
        <v>0</v>
      </c>
      <c r="P229" s="63">
        <f t="shared" si="39"/>
        <v>2.42</v>
      </c>
      <c r="Q229" s="64">
        <f t="shared" si="52"/>
        <v>0</v>
      </c>
      <c r="R229" s="216"/>
      <c r="S229" s="61">
        <f t="shared" si="41"/>
        <v>0</v>
      </c>
      <c r="T229" s="96">
        <f t="shared" si="42"/>
        <v>0</v>
      </c>
      <c r="U229" s="61">
        <f t="shared" si="43"/>
        <v>0</v>
      </c>
      <c r="V229" s="96">
        <f t="shared" si="44"/>
        <v>0</v>
      </c>
      <c r="W229" s="209" t="str">
        <f t="shared" si="45"/>
        <v>na</v>
      </c>
      <c r="X229" s="115">
        <f t="shared" si="46"/>
        <v>0</v>
      </c>
    </row>
    <row r="230" spans="1:24" ht="15" customHeight="1" thickBot="1" x14ac:dyDescent="0.25">
      <c r="A230" s="1" t="s">
        <v>418</v>
      </c>
      <c r="B230" s="1" t="s">
        <v>506</v>
      </c>
      <c r="C230" s="42">
        <v>4025301</v>
      </c>
      <c r="D230" s="3" t="s">
        <v>425</v>
      </c>
      <c r="E230" s="189" t="s">
        <v>317</v>
      </c>
      <c r="F230" s="1" t="s">
        <v>425</v>
      </c>
      <c r="G230" s="42">
        <v>212194</v>
      </c>
      <c r="H230" s="42"/>
      <c r="I230" s="68" t="s">
        <v>550</v>
      </c>
      <c r="J230" s="61" t="str">
        <f t="shared" si="51"/>
        <v>na</v>
      </c>
      <c r="K230" s="61" t="str">
        <f t="shared" si="48"/>
        <v>na</v>
      </c>
      <c r="L230" s="65">
        <f t="shared" si="50"/>
        <v>2.42</v>
      </c>
      <c r="M230" s="61">
        <f t="shared" si="49"/>
        <v>0</v>
      </c>
      <c r="O230" s="155">
        <v>0</v>
      </c>
      <c r="P230" s="63">
        <f t="shared" si="39"/>
        <v>2.42</v>
      </c>
      <c r="Q230" s="64">
        <f t="shared" si="52"/>
        <v>0</v>
      </c>
      <c r="R230" s="216"/>
      <c r="S230" s="61">
        <f t="shared" si="41"/>
        <v>0</v>
      </c>
      <c r="T230" s="96">
        <f t="shared" si="42"/>
        <v>0</v>
      </c>
      <c r="U230" s="61">
        <f t="shared" si="43"/>
        <v>0</v>
      </c>
      <c r="V230" s="96">
        <f t="shared" si="44"/>
        <v>0</v>
      </c>
      <c r="W230" s="209" t="str">
        <f t="shared" si="45"/>
        <v>na</v>
      </c>
      <c r="X230" s="115">
        <f t="shared" si="46"/>
        <v>0</v>
      </c>
    </row>
    <row r="231" spans="1:24" ht="15" customHeight="1" thickBot="1" x14ac:dyDescent="0.25">
      <c r="A231" s="1" t="s">
        <v>418</v>
      </c>
      <c r="B231" s="1" t="s">
        <v>523</v>
      </c>
      <c r="C231" s="42">
        <v>4194701</v>
      </c>
      <c r="D231" s="3" t="s">
        <v>425</v>
      </c>
      <c r="E231" s="189" t="s">
        <v>317</v>
      </c>
      <c r="F231" s="1" t="s">
        <v>425</v>
      </c>
      <c r="G231" s="42">
        <v>212194</v>
      </c>
      <c r="H231" s="42"/>
      <c r="I231" s="68" t="s">
        <v>550</v>
      </c>
      <c r="J231" s="61" t="str">
        <f t="shared" si="51"/>
        <v>na</v>
      </c>
      <c r="K231" s="61" t="str">
        <f t="shared" si="48"/>
        <v>na</v>
      </c>
      <c r="L231" s="65">
        <f t="shared" si="50"/>
        <v>2.42</v>
      </c>
      <c r="M231" s="61">
        <f t="shared" si="49"/>
        <v>0</v>
      </c>
      <c r="O231" s="155">
        <v>0</v>
      </c>
      <c r="P231" s="63">
        <f t="shared" si="39"/>
        <v>2.42</v>
      </c>
      <c r="Q231" s="64">
        <f t="shared" si="52"/>
        <v>0</v>
      </c>
      <c r="R231" s="216"/>
      <c r="S231" s="61">
        <f t="shared" si="41"/>
        <v>0</v>
      </c>
      <c r="T231" s="96">
        <f t="shared" si="42"/>
        <v>0</v>
      </c>
      <c r="U231" s="61">
        <f t="shared" si="43"/>
        <v>0</v>
      </c>
      <c r="V231" s="96">
        <f t="shared" si="44"/>
        <v>0</v>
      </c>
      <c r="W231" s="209" t="str">
        <f t="shared" si="45"/>
        <v>na</v>
      </c>
      <c r="X231" s="115">
        <f t="shared" si="46"/>
        <v>0</v>
      </c>
    </row>
    <row r="232" spans="1:24" ht="15" customHeight="1" thickBot="1" x14ac:dyDescent="0.25">
      <c r="A232" s="1" t="s">
        <v>418</v>
      </c>
      <c r="B232" s="1" t="s">
        <v>424</v>
      </c>
      <c r="C232" s="42">
        <v>1070001</v>
      </c>
      <c r="D232" s="3" t="s">
        <v>425</v>
      </c>
      <c r="E232" s="189" t="s">
        <v>317</v>
      </c>
      <c r="F232" s="1" t="s">
        <v>425</v>
      </c>
      <c r="G232" s="42">
        <v>212194</v>
      </c>
      <c r="H232" s="42"/>
      <c r="I232" s="68" t="s">
        <v>550</v>
      </c>
      <c r="J232" s="61" t="str">
        <f t="shared" si="51"/>
        <v>na</v>
      </c>
      <c r="K232" s="61" t="str">
        <f t="shared" si="48"/>
        <v>na</v>
      </c>
      <c r="L232" s="65">
        <f t="shared" si="50"/>
        <v>2.42</v>
      </c>
      <c r="M232" s="61">
        <f t="shared" si="49"/>
        <v>0</v>
      </c>
      <c r="O232" s="155">
        <v>0</v>
      </c>
      <c r="P232" s="63">
        <f t="shared" si="39"/>
        <v>2.42</v>
      </c>
      <c r="Q232" s="64">
        <f t="shared" si="52"/>
        <v>0</v>
      </c>
      <c r="R232" s="216"/>
      <c r="S232" s="61">
        <f t="shared" si="41"/>
        <v>0</v>
      </c>
      <c r="T232" s="96">
        <f t="shared" si="42"/>
        <v>0</v>
      </c>
      <c r="U232" s="61">
        <f t="shared" si="43"/>
        <v>0</v>
      </c>
      <c r="V232" s="96">
        <f t="shared" si="44"/>
        <v>0</v>
      </c>
      <c r="W232" s="209" t="str">
        <f t="shared" si="45"/>
        <v>na</v>
      </c>
      <c r="X232" s="115">
        <f t="shared" si="46"/>
        <v>0</v>
      </c>
    </row>
    <row r="233" spans="1:24" ht="15" customHeight="1" thickBot="1" x14ac:dyDescent="0.25">
      <c r="A233" s="1" t="s">
        <v>418</v>
      </c>
      <c r="B233" s="1" t="s">
        <v>517</v>
      </c>
      <c r="C233" s="42">
        <v>4099201</v>
      </c>
      <c r="D233" s="192" t="s">
        <v>502</v>
      </c>
      <c r="E233" s="193">
        <v>37256</v>
      </c>
      <c r="F233" s="66" t="s">
        <v>502</v>
      </c>
      <c r="G233" s="33">
        <v>212218</v>
      </c>
      <c r="H233" s="33"/>
      <c r="I233" s="33" t="s">
        <v>550</v>
      </c>
      <c r="J233" s="109" t="str">
        <f t="shared" si="47"/>
        <v>GW</v>
      </c>
      <c r="K233" s="109">
        <f t="shared" si="48"/>
        <v>141</v>
      </c>
      <c r="L233" s="142">
        <f>+CNGPricing!H135</f>
        <v>2.42</v>
      </c>
      <c r="M233" s="109">
        <f t="shared" si="49"/>
        <v>165</v>
      </c>
      <c r="O233" s="155">
        <v>0</v>
      </c>
      <c r="P233" s="63">
        <f t="shared" si="39"/>
        <v>2.42</v>
      </c>
      <c r="Q233" s="64">
        <f t="shared" si="52"/>
        <v>399.3</v>
      </c>
      <c r="R233" s="216"/>
      <c r="S233" s="61">
        <f t="shared" si="41"/>
        <v>9</v>
      </c>
      <c r="T233" s="96">
        <f t="shared" si="42"/>
        <v>21.78</v>
      </c>
      <c r="U233" s="61">
        <f t="shared" si="43"/>
        <v>156</v>
      </c>
      <c r="V233" s="96">
        <f t="shared" si="44"/>
        <v>377.52</v>
      </c>
      <c r="W233" s="209">
        <f t="shared" si="45"/>
        <v>37256</v>
      </c>
      <c r="X233" s="115">
        <f t="shared" si="46"/>
        <v>0</v>
      </c>
    </row>
    <row r="234" spans="1:24" ht="15" customHeight="1" thickBot="1" x14ac:dyDescent="0.25">
      <c r="A234" s="1" t="s">
        <v>530</v>
      </c>
      <c r="B234" s="1" t="s">
        <v>535</v>
      </c>
      <c r="C234" s="42">
        <v>5156201</v>
      </c>
      <c r="D234" s="192" t="s">
        <v>502</v>
      </c>
      <c r="E234" s="193">
        <v>37256</v>
      </c>
      <c r="F234" s="66" t="s">
        <v>502</v>
      </c>
      <c r="G234" s="33">
        <v>212218</v>
      </c>
      <c r="H234" s="33"/>
      <c r="I234" s="33" t="s">
        <v>550</v>
      </c>
      <c r="J234" s="109" t="str">
        <f t="shared" si="47"/>
        <v>GD</v>
      </c>
      <c r="K234" s="109">
        <f t="shared" si="48"/>
        <v>704</v>
      </c>
      <c r="L234" s="142">
        <f>+CNGPricing!H135</f>
        <v>2.42</v>
      </c>
      <c r="M234" s="109">
        <f t="shared" si="49"/>
        <v>729</v>
      </c>
      <c r="O234" s="155">
        <v>0</v>
      </c>
      <c r="P234" s="63">
        <f t="shared" si="39"/>
        <v>2.42</v>
      </c>
      <c r="Q234" s="64">
        <f t="shared" si="52"/>
        <v>1764.1799999999998</v>
      </c>
      <c r="R234" s="216"/>
      <c r="S234" s="61">
        <f t="shared" si="41"/>
        <v>53</v>
      </c>
      <c r="T234" s="96">
        <f t="shared" si="42"/>
        <v>128.26</v>
      </c>
      <c r="U234" s="61">
        <f t="shared" si="43"/>
        <v>676</v>
      </c>
      <c r="V234" s="96">
        <f t="shared" si="44"/>
        <v>1635.9199999999998</v>
      </c>
      <c r="W234" s="209">
        <f t="shared" si="45"/>
        <v>37256</v>
      </c>
      <c r="X234" s="115">
        <f t="shared" si="46"/>
        <v>0</v>
      </c>
    </row>
    <row r="235" spans="1:24" ht="15" customHeight="1" thickBot="1" x14ac:dyDescent="0.25">
      <c r="A235" s="1" t="s">
        <v>530</v>
      </c>
      <c r="B235" s="1" t="s">
        <v>536</v>
      </c>
      <c r="C235" s="42">
        <v>5171101</v>
      </c>
      <c r="D235" s="192" t="s">
        <v>502</v>
      </c>
      <c r="E235" s="193">
        <v>37256</v>
      </c>
      <c r="F235" s="66" t="s">
        <v>502</v>
      </c>
      <c r="G235" s="33">
        <v>212218</v>
      </c>
      <c r="H235" s="33"/>
      <c r="I235" s="33" t="s">
        <v>550</v>
      </c>
      <c r="J235" s="109" t="str">
        <f t="shared" si="47"/>
        <v>GD</v>
      </c>
      <c r="K235" s="109">
        <f t="shared" si="48"/>
        <v>133</v>
      </c>
      <c r="L235" s="142">
        <f>+CNGPricing!H135</f>
        <v>2.42</v>
      </c>
      <c r="M235" s="109">
        <f t="shared" si="49"/>
        <v>141</v>
      </c>
      <c r="O235" s="155">
        <v>0</v>
      </c>
      <c r="P235" s="63">
        <f t="shared" si="39"/>
        <v>2.42</v>
      </c>
      <c r="Q235" s="64">
        <f t="shared" si="52"/>
        <v>341.21999999999997</v>
      </c>
      <c r="R235" s="216"/>
      <c r="S235" s="61">
        <f t="shared" si="41"/>
        <v>16</v>
      </c>
      <c r="T235" s="96">
        <f t="shared" si="42"/>
        <v>38.72</v>
      </c>
      <c r="U235" s="61">
        <f>IF(ISNA(VLOOKUP(B235,SplitVol,6,FALSE)),0,VLOOKUP(B235,SplitVol,6,FALSE))+1</f>
        <v>125</v>
      </c>
      <c r="V235" s="96">
        <f t="shared" si="44"/>
        <v>302.5</v>
      </c>
      <c r="W235" s="209">
        <f t="shared" si="45"/>
        <v>37256</v>
      </c>
      <c r="X235" s="115">
        <f t="shared" si="46"/>
        <v>0</v>
      </c>
    </row>
    <row r="236" spans="1:24" ht="15" customHeight="1" thickBot="1" x14ac:dyDescent="0.25">
      <c r="A236" s="1" t="s">
        <v>418</v>
      </c>
      <c r="B236" s="1" t="s">
        <v>516</v>
      </c>
      <c r="C236" s="42">
        <v>4098601</v>
      </c>
      <c r="D236" s="192" t="s">
        <v>502</v>
      </c>
      <c r="E236" s="193">
        <v>37256</v>
      </c>
      <c r="F236" s="66" t="s">
        <v>502</v>
      </c>
      <c r="G236" s="33">
        <v>212218</v>
      </c>
      <c r="H236" s="33"/>
      <c r="I236" s="33" t="s">
        <v>550</v>
      </c>
      <c r="J236" s="109" t="str">
        <f t="shared" si="47"/>
        <v>GW</v>
      </c>
      <c r="K236" s="109">
        <f t="shared" si="48"/>
        <v>236</v>
      </c>
      <c r="L236" s="142">
        <f>+CNGPricing!H135</f>
        <v>2.42</v>
      </c>
      <c r="M236" s="109">
        <f t="shared" si="49"/>
        <v>270</v>
      </c>
      <c r="O236" s="155">
        <v>0</v>
      </c>
      <c r="P236" s="63">
        <f t="shared" si="39"/>
        <v>2.42</v>
      </c>
      <c r="Q236" s="64">
        <f t="shared" si="52"/>
        <v>653.4</v>
      </c>
      <c r="R236" s="216"/>
      <c r="S236" s="61">
        <f t="shared" si="41"/>
        <v>19</v>
      </c>
      <c r="T236" s="96">
        <f t="shared" si="42"/>
        <v>45.98</v>
      </c>
      <c r="U236" s="61">
        <f t="shared" si="43"/>
        <v>251</v>
      </c>
      <c r="V236" s="96">
        <f t="shared" si="44"/>
        <v>607.41999999999996</v>
      </c>
      <c r="W236" s="209">
        <f t="shared" si="45"/>
        <v>37256</v>
      </c>
      <c r="X236" s="115">
        <f t="shared" si="46"/>
        <v>0</v>
      </c>
    </row>
    <row r="237" spans="1:24" ht="15" customHeight="1" thickBot="1" x14ac:dyDescent="0.25">
      <c r="A237" s="1" t="s">
        <v>418</v>
      </c>
      <c r="B237" s="1" t="s">
        <v>518</v>
      </c>
      <c r="C237" s="42">
        <v>4110101</v>
      </c>
      <c r="D237" s="192" t="s">
        <v>502</v>
      </c>
      <c r="E237" s="193">
        <v>37256</v>
      </c>
      <c r="F237" s="66" t="s">
        <v>502</v>
      </c>
      <c r="G237" s="33">
        <v>212218</v>
      </c>
      <c r="H237" s="33"/>
      <c r="I237" s="33" t="s">
        <v>550</v>
      </c>
      <c r="J237" s="109" t="str">
        <f t="shared" si="47"/>
        <v>GW</v>
      </c>
      <c r="K237" s="109">
        <f t="shared" si="48"/>
        <v>462</v>
      </c>
      <c r="L237" s="142">
        <f>+CNGPricing!H135</f>
        <v>2.42</v>
      </c>
      <c r="M237" s="109">
        <f t="shared" si="49"/>
        <v>526</v>
      </c>
      <c r="O237" s="155">
        <v>0</v>
      </c>
      <c r="P237" s="63">
        <f t="shared" si="39"/>
        <v>2.42</v>
      </c>
      <c r="Q237" s="64">
        <f t="shared" si="52"/>
        <v>1272.92</v>
      </c>
      <c r="R237" s="216"/>
      <c r="S237" s="61">
        <f t="shared" si="41"/>
        <v>35</v>
      </c>
      <c r="T237" s="96">
        <f t="shared" si="42"/>
        <v>84.7</v>
      </c>
      <c r="U237" s="61">
        <f t="shared" si="43"/>
        <v>491</v>
      </c>
      <c r="V237" s="96">
        <f t="shared" si="44"/>
        <v>1188.22</v>
      </c>
      <c r="W237" s="209">
        <f t="shared" si="45"/>
        <v>37256</v>
      </c>
      <c r="X237" s="115">
        <f t="shared" si="46"/>
        <v>0</v>
      </c>
    </row>
    <row r="238" spans="1:24" ht="15" customHeight="1" thickBot="1" x14ac:dyDescent="0.25">
      <c r="A238" s="1" t="s">
        <v>418</v>
      </c>
      <c r="B238" s="1" t="s">
        <v>519</v>
      </c>
      <c r="C238" s="42">
        <v>4110201</v>
      </c>
      <c r="D238" s="192" t="s">
        <v>502</v>
      </c>
      <c r="E238" s="193">
        <v>37256</v>
      </c>
      <c r="F238" s="66" t="s">
        <v>502</v>
      </c>
      <c r="G238" s="33">
        <v>212218</v>
      </c>
      <c r="H238" s="33"/>
      <c r="I238" s="33" t="s">
        <v>550</v>
      </c>
      <c r="J238" s="109" t="str">
        <f t="shared" si="47"/>
        <v>GW</v>
      </c>
      <c r="K238" s="109">
        <f t="shared" si="48"/>
        <v>656</v>
      </c>
      <c r="L238" s="142">
        <f>+CNGPricing!H135</f>
        <v>2.42</v>
      </c>
      <c r="M238" s="109">
        <f t="shared" si="49"/>
        <v>757</v>
      </c>
      <c r="O238" s="155">
        <v>0</v>
      </c>
      <c r="P238" s="63">
        <f t="shared" si="39"/>
        <v>2.42</v>
      </c>
      <c r="Q238" s="64">
        <f t="shared" si="52"/>
        <v>1831.94</v>
      </c>
      <c r="R238" s="216"/>
      <c r="S238" s="61">
        <f t="shared" si="41"/>
        <v>50</v>
      </c>
      <c r="T238" s="96">
        <f t="shared" si="42"/>
        <v>121</v>
      </c>
      <c r="U238" s="61">
        <f t="shared" si="43"/>
        <v>707</v>
      </c>
      <c r="V238" s="96">
        <f t="shared" si="44"/>
        <v>1710.94</v>
      </c>
      <c r="W238" s="209">
        <f t="shared" si="45"/>
        <v>37256</v>
      </c>
      <c r="X238" s="115">
        <f t="shared" si="46"/>
        <v>0</v>
      </c>
    </row>
    <row r="239" spans="1:24" ht="15" customHeight="1" thickBot="1" x14ac:dyDescent="0.25">
      <c r="A239" s="1" t="s">
        <v>418</v>
      </c>
      <c r="B239" s="1" t="s">
        <v>505</v>
      </c>
      <c r="C239" s="42">
        <v>4023001</v>
      </c>
      <c r="D239" s="192" t="s">
        <v>502</v>
      </c>
      <c r="E239" s="193">
        <v>37256</v>
      </c>
      <c r="F239" s="66" t="s">
        <v>502</v>
      </c>
      <c r="G239" s="33">
        <v>212218</v>
      </c>
      <c r="H239" s="33"/>
      <c r="I239" s="33" t="s">
        <v>550</v>
      </c>
      <c r="J239" s="109" t="str">
        <f t="shared" si="47"/>
        <v>GW</v>
      </c>
      <c r="K239" s="109">
        <f t="shared" si="48"/>
        <v>123</v>
      </c>
      <c r="L239" s="142">
        <f>+CNGPricing!H135</f>
        <v>2.42</v>
      </c>
      <c r="M239" s="109">
        <f t="shared" si="49"/>
        <v>142</v>
      </c>
      <c r="O239" s="155">
        <v>0</v>
      </c>
      <c r="P239" s="63">
        <f t="shared" si="39"/>
        <v>2.42</v>
      </c>
      <c r="Q239" s="64">
        <f t="shared" si="52"/>
        <v>343.64</v>
      </c>
      <c r="R239" s="216"/>
      <c r="S239" s="61">
        <f t="shared" si="41"/>
        <v>7</v>
      </c>
      <c r="T239" s="96">
        <f t="shared" si="42"/>
        <v>16.939999999999998</v>
      </c>
      <c r="U239" s="61">
        <f t="shared" si="43"/>
        <v>135</v>
      </c>
      <c r="V239" s="96">
        <f t="shared" si="44"/>
        <v>326.7</v>
      </c>
      <c r="W239" s="209">
        <f t="shared" si="45"/>
        <v>37256</v>
      </c>
      <c r="X239" s="115">
        <f t="shared" si="46"/>
        <v>0</v>
      </c>
    </row>
    <row r="240" spans="1:24" ht="15" customHeight="1" thickBot="1" x14ac:dyDescent="0.25">
      <c r="A240" s="1" t="s">
        <v>418</v>
      </c>
      <c r="B240" s="1" t="s">
        <v>520</v>
      </c>
      <c r="C240" s="42">
        <v>4110301</v>
      </c>
      <c r="D240" s="192" t="s">
        <v>502</v>
      </c>
      <c r="E240" s="193">
        <v>37256</v>
      </c>
      <c r="F240" s="66" t="s">
        <v>502</v>
      </c>
      <c r="G240" s="33">
        <v>212218</v>
      </c>
      <c r="H240" s="33"/>
      <c r="I240" s="33" t="s">
        <v>550</v>
      </c>
      <c r="J240" s="109" t="str">
        <f t="shared" si="47"/>
        <v>GW</v>
      </c>
      <c r="K240" s="109">
        <f t="shared" si="48"/>
        <v>276</v>
      </c>
      <c r="L240" s="142">
        <f>+CNGPricing!H135</f>
        <v>2.42</v>
      </c>
      <c r="M240" s="109">
        <f t="shared" si="49"/>
        <v>314</v>
      </c>
      <c r="O240" s="155">
        <v>0</v>
      </c>
      <c r="P240" s="63">
        <f t="shared" si="39"/>
        <v>2.42</v>
      </c>
      <c r="Q240" s="64">
        <f t="shared" si="52"/>
        <v>759.88</v>
      </c>
      <c r="R240" s="216"/>
      <c r="S240" s="61">
        <f t="shared" si="41"/>
        <v>21</v>
      </c>
      <c r="T240" s="96">
        <f t="shared" si="42"/>
        <v>50.82</v>
      </c>
      <c r="U240" s="61">
        <f t="shared" si="43"/>
        <v>293</v>
      </c>
      <c r="V240" s="96">
        <f t="shared" si="44"/>
        <v>709.06</v>
      </c>
      <c r="W240" s="209">
        <f t="shared" si="45"/>
        <v>37256</v>
      </c>
      <c r="X240" s="115">
        <f t="shared" si="46"/>
        <v>0</v>
      </c>
    </row>
    <row r="241" spans="1:24" ht="15" customHeight="1" thickBot="1" x14ac:dyDescent="0.25">
      <c r="A241" s="1" t="s">
        <v>418</v>
      </c>
      <c r="B241" s="1" t="s">
        <v>504</v>
      </c>
      <c r="C241" s="42">
        <v>4017601</v>
      </c>
      <c r="D241" s="192" t="s">
        <v>502</v>
      </c>
      <c r="E241" s="193">
        <v>37256</v>
      </c>
      <c r="F241" s="66" t="s">
        <v>502</v>
      </c>
      <c r="G241" s="33">
        <v>212218</v>
      </c>
      <c r="H241" s="33"/>
      <c r="I241" s="33" t="s">
        <v>550</v>
      </c>
      <c r="J241" s="109" t="str">
        <f t="shared" si="47"/>
        <v>GW</v>
      </c>
      <c r="K241" s="109">
        <f t="shared" si="48"/>
        <v>320</v>
      </c>
      <c r="L241" s="142">
        <f>+CNGPricing!H135</f>
        <v>2.42</v>
      </c>
      <c r="M241" s="109">
        <f t="shared" si="49"/>
        <v>376</v>
      </c>
      <c r="O241" s="155">
        <v>0</v>
      </c>
      <c r="P241" s="63">
        <f t="shared" si="39"/>
        <v>2.42</v>
      </c>
      <c r="Q241" s="64">
        <f t="shared" si="52"/>
        <v>909.92</v>
      </c>
      <c r="R241" s="216"/>
      <c r="S241" s="61">
        <f t="shared" si="41"/>
        <v>24</v>
      </c>
      <c r="T241" s="96">
        <f t="shared" si="42"/>
        <v>58.08</v>
      </c>
      <c r="U241" s="61">
        <f t="shared" si="43"/>
        <v>352</v>
      </c>
      <c r="V241" s="96">
        <f t="shared" si="44"/>
        <v>851.83999999999992</v>
      </c>
      <c r="W241" s="209">
        <f t="shared" si="45"/>
        <v>37256</v>
      </c>
      <c r="X241" s="115">
        <f t="shared" si="46"/>
        <v>0</v>
      </c>
    </row>
    <row r="242" spans="1:24" ht="15" customHeight="1" thickBot="1" x14ac:dyDescent="0.25">
      <c r="A242" s="1" t="s">
        <v>418</v>
      </c>
      <c r="B242" s="1" t="s">
        <v>501</v>
      </c>
      <c r="C242" s="42">
        <v>4004301</v>
      </c>
      <c r="D242" s="192" t="s">
        <v>502</v>
      </c>
      <c r="E242" s="193">
        <v>37256</v>
      </c>
      <c r="F242" s="66" t="s">
        <v>502</v>
      </c>
      <c r="G242" s="33">
        <v>212218</v>
      </c>
      <c r="H242" s="33"/>
      <c r="I242" s="33" t="s">
        <v>550</v>
      </c>
      <c r="J242" s="109" t="str">
        <f t="shared" si="47"/>
        <v>GW</v>
      </c>
      <c r="K242" s="109">
        <f t="shared" si="48"/>
        <v>234</v>
      </c>
      <c r="L242" s="142">
        <f>+CNGPricing!H135</f>
        <v>2.42</v>
      </c>
      <c r="M242" s="109">
        <f t="shared" si="49"/>
        <v>271</v>
      </c>
      <c r="O242" s="155">
        <v>0</v>
      </c>
      <c r="P242" s="63">
        <f t="shared" si="39"/>
        <v>2.42</v>
      </c>
      <c r="Q242" s="64">
        <f t="shared" si="52"/>
        <v>655.81999999999994</v>
      </c>
      <c r="R242" s="216"/>
      <c r="S242" s="61">
        <f t="shared" si="41"/>
        <v>19</v>
      </c>
      <c r="T242" s="96">
        <f t="shared" si="42"/>
        <v>45.98</v>
      </c>
      <c r="U242" s="61">
        <f t="shared" si="43"/>
        <v>252</v>
      </c>
      <c r="V242" s="96">
        <f t="shared" si="44"/>
        <v>609.84</v>
      </c>
      <c r="W242" s="209">
        <f t="shared" si="45"/>
        <v>37256</v>
      </c>
      <c r="X242" s="115">
        <f t="shared" si="46"/>
        <v>0</v>
      </c>
    </row>
    <row r="243" spans="1:24" ht="15" customHeight="1" thickBot="1" x14ac:dyDescent="0.25">
      <c r="A243" s="1" t="s">
        <v>418</v>
      </c>
      <c r="B243" s="1" t="s">
        <v>521</v>
      </c>
      <c r="C243" s="42">
        <v>4110401</v>
      </c>
      <c r="D243" s="192" t="s">
        <v>502</v>
      </c>
      <c r="E243" s="193">
        <v>37256</v>
      </c>
      <c r="F243" s="66" t="s">
        <v>502</v>
      </c>
      <c r="G243" s="33">
        <v>212218</v>
      </c>
      <c r="H243" s="33"/>
      <c r="I243" s="33" t="s">
        <v>550</v>
      </c>
      <c r="J243" s="109" t="str">
        <f t="shared" si="47"/>
        <v>GW</v>
      </c>
      <c r="K243" s="109">
        <f t="shared" si="48"/>
        <v>491</v>
      </c>
      <c r="L243" s="142">
        <f>+CNGPricing!H135</f>
        <v>2.42</v>
      </c>
      <c r="M243" s="109">
        <f t="shared" si="49"/>
        <v>562</v>
      </c>
      <c r="O243" s="155">
        <v>0</v>
      </c>
      <c r="P243" s="63">
        <f t="shared" si="39"/>
        <v>2.42</v>
      </c>
      <c r="Q243" s="64">
        <f t="shared" si="52"/>
        <v>1360.04</v>
      </c>
      <c r="R243" s="216"/>
      <c r="S243" s="61">
        <f t="shared" si="41"/>
        <v>42</v>
      </c>
      <c r="T243" s="96">
        <f t="shared" si="42"/>
        <v>101.64</v>
      </c>
      <c r="U243" s="61">
        <f t="shared" si="43"/>
        <v>520</v>
      </c>
      <c r="V243" s="96">
        <f t="shared" si="44"/>
        <v>1258.3999999999999</v>
      </c>
      <c r="W243" s="209">
        <f t="shared" si="45"/>
        <v>37256</v>
      </c>
      <c r="X243" s="115">
        <f t="shared" si="46"/>
        <v>0</v>
      </c>
    </row>
    <row r="244" spans="1:24" ht="15" customHeight="1" thickBot="1" x14ac:dyDescent="0.25">
      <c r="A244" s="1" t="s">
        <v>418</v>
      </c>
      <c r="B244" s="1" t="s">
        <v>522</v>
      </c>
      <c r="C244" s="42">
        <v>4110701</v>
      </c>
      <c r="D244" s="192" t="s">
        <v>502</v>
      </c>
      <c r="E244" s="193">
        <v>37256</v>
      </c>
      <c r="F244" s="66" t="s">
        <v>502</v>
      </c>
      <c r="G244" s="33">
        <v>212218</v>
      </c>
      <c r="H244" s="33"/>
      <c r="I244" s="33" t="s">
        <v>550</v>
      </c>
      <c r="J244" s="109" t="str">
        <f t="shared" si="47"/>
        <v>GW</v>
      </c>
      <c r="K244" s="109">
        <f t="shared" si="48"/>
        <v>730</v>
      </c>
      <c r="L244" s="142">
        <f>+CNGPricing!H135</f>
        <v>2.42</v>
      </c>
      <c r="M244" s="109">
        <f t="shared" si="49"/>
        <v>847</v>
      </c>
      <c r="O244" s="155">
        <v>0</v>
      </c>
      <c r="P244" s="63">
        <f t="shared" si="39"/>
        <v>2.42</v>
      </c>
      <c r="Q244" s="64">
        <f t="shared" si="52"/>
        <v>2049.7399999999998</v>
      </c>
      <c r="R244" s="216"/>
      <c r="S244" s="61">
        <f t="shared" si="41"/>
        <v>59</v>
      </c>
      <c r="T244" s="96">
        <f t="shared" si="42"/>
        <v>142.78</v>
      </c>
      <c r="U244" s="61">
        <f t="shared" si="43"/>
        <v>788</v>
      </c>
      <c r="V244" s="96">
        <f t="shared" si="44"/>
        <v>1906.96</v>
      </c>
      <c r="W244" s="209">
        <f t="shared" si="45"/>
        <v>37256</v>
      </c>
      <c r="X244" s="115">
        <f t="shared" si="46"/>
        <v>0</v>
      </c>
    </row>
    <row r="245" spans="1:24" ht="15" customHeight="1" thickBot="1" x14ac:dyDescent="0.25">
      <c r="A245" s="1" t="s">
        <v>418</v>
      </c>
      <c r="B245" s="1" t="s">
        <v>508</v>
      </c>
      <c r="C245" s="42">
        <v>4036701</v>
      </c>
      <c r="D245" s="192" t="s">
        <v>502</v>
      </c>
      <c r="E245" s="193">
        <v>37256</v>
      </c>
      <c r="F245" s="66" t="s">
        <v>502</v>
      </c>
      <c r="G245" s="33">
        <v>212218</v>
      </c>
      <c r="H245" s="33"/>
      <c r="I245" s="33" t="s">
        <v>550</v>
      </c>
      <c r="J245" s="109" t="str">
        <f t="shared" si="47"/>
        <v>GW</v>
      </c>
      <c r="K245" s="109">
        <f t="shared" si="48"/>
        <v>548</v>
      </c>
      <c r="L245" s="142">
        <f>+CNGPricing!H135</f>
        <v>2.42</v>
      </c>
      <c r="M245" s="109">
        <f t="shared" si="49"/>
        <v>621</v>
      </c>
      <c r="O245" s="155">
        <v>0</v>
      </c>
      <c r="P245" s="63">
        <f t="shared" si="39"/>
        <v>2.42</v>
      </c>
      <c r="Q245" s="64">
        <f t="shared" si="52"/>
        <v>1502.82</v>
      </c>
      <c r="R245" s="216"/>
      <c r="S245" s="61">
        <f t="shared" si="41"/>
        <v>40</v>
      </c>
      <c r="T245" s="96">
        <f t="shared" si="42"/>
        <v>96.8</v>
      </c>
      <c r="U245" s="61">
        <f t="shared" si="43"/>
        <v>581</v>
      </c>
      <c r="V245" s="96">
        <f t="shared" si="44"/>
        <v>1406.02</v>
      </c>
      <c r="W245" s="209">
        <f t="shared" si="45"/>
        <v>37256</v>
      </c>
      <c r="X245" s="115">
        <f t="shared" si="46"/>
        <v>0</v>
      </c>
    </row>
    <row r="246" spans="1:24" ht="15" customHeight="1" thickBot="1" x14ac:dyDescent="0.25">
      <c r="A246" s="1" t="s">
        <v>418</v>
      </c>
      <c r="B246" s="1" t="s">
        <v>509</v>
      </c>
      <c r="C246" s="42">
        <v>4037201</v>
      </c>
      <c r="D246" s="192" t="s">
        <v>502</v>
      </c>
      <c r="E246" s="193">
        <v>37256</v>
      </c>
      <c r="F246" s="66" t="s">
        <v>510</v>
      </c>
      <c r="G246" s="33">
        <v>212218</v>
      </c>
      <c r="H246" s="33"/>
      <c r="I246" s="33" t="s">
        <v>550</v>
      </c>
      <c r="J246" s="109" t="str">
        <f t="shared" si="47"/>
        <v>GW</v>
      </c>
      <c r="K246" s="109">
        <f t="shared" si="48"/>
        <v>272</v>
      </c>
      <c r="L246" s="142">
        <f>+CNGPricing!H135</f>
        <v>2.42</v>
      </c>
      <c r="M246" s="109">
        <f t="shared" si="49"/>
        <v>301</v>
      </c>
      <c r="O246" s="155">
        <v>0</v>
      </c>
      <c r="P246" s="63">
        <f t="shared" si="39"/>
        <v>2.42</v>
      </c>
      <c r="Q246" s="64">
        <f t="shared" si="52"/>
        <v>728.42</v>
      </c>
      <c r="R246" s="216"/>
      <c r="S246" s="61">
        <f t="shared" si="41"/>
        <v>21</v>
      </c>
      <c r="T246" s="96">
        <f t="shared" si="42"/>
        <v>50.82</v>
      </c>
      <c r="U246" s="61">
        <f t="shared" si="43"/>
        <v>280</v>
      </c>
      <c r="V246" s="96">
        <f t="shared" si="44"/>
        <v>677.6</v>
      </c>
      <c r="W246" s="209">
        <f t="shared" si="45"/>
        <v>37256</v>
      </c>
      <c r="X246" s="115">
        <f t="shared" si="46"/>
        <v>0</v>
      </c>
    </row>
    <row r="247" spans="1:24" ht="15" customHeight="1" thickBot="1" x14ac:dyDescent="0.25">
      <c r="A247" s="1" t="s">
        <v>418</v>
      </c>
      <c r="B247" s="1" t="s">
        <v>513</v>
      </c>
      <c r="C247" s="42">
        <v>4075401</v>
      </c>
      <c r="D247" s="192" t="s">
        <v>502</v>
      </c>
      <c r="E247" s="193">
        <v>37256</v>
      </c>
      <c r="F247" s="66" t="s">
        <v>502</v>
      </c>
      <c r="G247" s="33">
        <v>212218</v>
      </c>
      <c r="H247" s="33"/>
      <c r="I247" s="33" t="s">
        <v>550</v>
      </c>
      <c r="J247" s="109" t="str">
        <f t="shared" si="47"/>
        <v>GW</v>
      </c>
      <c r="K247" s="109">
        <f t="shared" si="48"/>
        <v>323</v>
      </c>
      <c r="L247" s="142">
        <f>+CNGPricing!H135</f>
        <v>2.42</v>
      </c>
      <c r="M247" s="109">
        <f t="shared" si="49"/>
        <v>377</v>
      </c>
      <c r="O247" s="155">
        <v>0</v>
      </c>
      <c r="P247" s="63">
        <f t="shared" si="39"/>
        <v>2.42</v>
      </c>
      <c r="Q247" s="64">
        <f t="shared" si="52"/>
        <v>912.33999999999992</v>
      </c>
      <c r="R247" s="216"/>
      <c r="S247" s="61">
        <f t="shared" si="41"/>
        <v>25</v>
      </c>
      <c r="T247" s="96">
        <f t="shared" si="42"/>
        <v>60.5</v>
      </c>
      <c r="U247" s="61">
        <f t="shared" si="43"/>
        <v>352</v>
      </c>
      <c r="V247" s="96">
        <f t="shared" si="44"/>
        <v>851.83999999999992</v>
      </c>
      <c r="W247" s="209">
        <f t="shared" si="45"/>
        <v>37256</v>
      </c>
      <c r="X247" s="115">
        <f t="shared" si="46"/>
        <v>0</v>
      </c>
    </row>
    <row r="248" spans="1:24" ht="15" customHeight="1" thickBot="1" x14ac:dyDescent="0.25">
      <c r="A248" s="1" t="s">
        <v>418</v>
      </c>
      <c r="B248" s="1" t="s">
        <v>512</v>
      </c>
      <c r="C248" s="42">
        <v>4065201</v>
      </c>
      <c r="D248" s="192" t="s">
        <v>502</v>
      </c>
      <c r="E248" s="193">
        <v>37256</v>
      </c>
      <c r="F248" s="66" t="s">
        <v>502</v>
      </c>
      <c r="G248" s="33">
        <v>212218</v>
      </c>
      <c r="H248" s="33"/>
      <c r="I248" s="33" t="s">
        <v>550</v>
      </c>
      <c r="J248" s="109" t="str">
        <f t="shared" si="47"/>
        <v>GW</v>
      </c>
      <c r="K248" s="109">
        <f t="shared" si="48"/>
        <v>406</v>
      </c>
      <c r="L248" s="142">
        <f>+CNGPricing!H135</f>
        <v>2.42</v>
      </c>
      <c r="M248" s="109">
        <f t="shared" si="49"/>
        <v>487</v>
      </c>
      <c r="O248" s="155">
        <v>0</v>
      </c>
      <c r="P248" s="63">
        <f t="shared" si="39"/>
        <v>2.42</v>
      </c>
      <c r="Q248" s="64">
        <f t="shared" si="52"/>
        <v>1178.54</v>
      </c>
      <c r="R248" s="216"/>
      <c r="S248" s="61">
        <f t="shared" si="41"/>
        <v>33</v>
      </c>
      <c r="T248" s="96">
        <f t="shared" si="42"/>
        <v>79.86</v>
      </c>
      <c r="U248" s="61">
        <f t="shared" si="43"/>
        <v>454</v>
      </c>
      <c r="V248" s="96">
        <f t="shared" si="44"/>
        <v>1098.68</v>
      </c>
      <c r="W248" s="209">
        <f t="shared" si="45"/>
        <v>37256</v>
      </c>
      <c r="X248" s="115">
        <f t="shared" si="46"/>
        <v>0</v>
      </c>
    </row>
    <row r="249" spans="1:24" ht="15" customHeight="1" thickBot="1" x14ac:dyDescent="0.25">
      <c r="A249" s="1" t="s">
        <v>418</v>
      </c>
      <c r="B249" s="1" t="s">
        <v>511</v>
      </c>
      <c r="C249" s="42">
        <v>4051201</v>
      </c>
      <c r="D249" s="192" t="s">
        <v>502</v>
      </c>
      <c r="E249" s="193">
        <v>37256</v>
      </c>
      <c r="F249" s="66" t="s">
        <v>502</v>
      </c>
      <c r="G249" s="33">
        <v>212218</v>
      </c>
      <c r="H249" s="33"/>
      <c r="I249" s="33" t="s">
        <v>550</v>
      </c>
      <c r="J249" s="109" t="str">
        <f t="shared" si="47"/>
        <v>GW</v>
      </c>
      <c r="K249" s="109">
        <f t="shared" si="48"/>
        <v>154</v>
      </c>
      <c r="L249" s="142">
        <f>+CNGPricing!H135</f>
        <v>2.42</v>
      </c>
      <c r="M249" s="109">
        <f t="shared" si="49"/>
        <v>179</v>
      </c>
      <c r="O249" s="155">
        <v>0</v>
      </c>
      <c r="P249" s="63">
        <f t="shared" si="39"/>
        <v>2.42</v>
      </c>
      <c r="Q249" s="64">
        <f t="shared" si="52"/>
        <v>433.18</v>
      </c>
      <c r="R249" s="216"/>
      <c r="S249" s="61">
        <f t="shared" si="41"/>
        <v>10</v>
      </c>
      <c r="T249" s="96">
        <f t="shared" si="42"/>
        <v>24.2</v>
      </c>
      <c r="U249" s="61">
        <f>IF(ISNA(VLOOKUP(B249,SplitVol,6,FALSE)),0,VLOOKUP(B249,SplitVol,6,FALSE))+1</f>
        <v>169</v>
      </c>
      <c r="V249" s="96">
        <f t="shared" si="44"/>
        <v>408.97999999999996</v>
      </c>
      <c r="W249" s="209">
        <f t="shared" si="45"/>
        <v>37256</v>
      </c>
      <c r="X249" s="115">
        <f t="shared" si="46"/>
        <v>0</v>
      </c>
    </row>
    <row r="250" spans="1:24" ht="15" customHeight="1" thickBot="1" x14ac:dyDescent="0.25">
      <c r="A250" s="1" t="s">
        <v>418</v>
      </c>
      <c r="B250" s="1" t="s">
        <v>503</v>
      </c>
      <c r="C250" s="42">
        <v>4004801</v>
      </c>
      <c r="D250" s="192" t="s">
        <v>502</v>
      </c>
      <c r="E250" s="193">
        <v>37256</v>
      </c>
      <c r="F250" s="66" t="s">
        <v>502</v>
      </c>
      <c r="G250" s="33">
        <v>212218</v>
      </c>
      <c r="H250" s="33"/>
      <c r="I250" s="33" t="s">
        <v>550</v>
      </c>
      <c r="J250" s="109" t="str">
        <f t="shared" si="47"/>
        <v>GW</v>
      </c>
      <c r="K250" s="109">
        <f t="shared" si="48"/>
        <v>1129</v>
      </c>
      <c r="L250" s="142">
        <f>+CNGPricing!H135</f>
        <v>2.42</v>
      </c>
      <c r="M250" s="109">
        <f t="shared" si="49"/>
        <v>1331</v>
      </c>
      <c r="O250" s="155">
        <v>0</v>
      </c>
      <c r="P250" s="63">
        <f t="shared" si="39"/>
        <v>2.42</v>
      </c>
      <c r="Q250" s="64">
        <f t="shared" si="52"/>
        <v>3221.02</v>
      </c>
      <c r="R250" s="216"/>
      <c r="S250" s="61">
        <f t="shared" si="41"/>
        <v>71</v>
      </c>
      <c r="T250" s="96">
        <f t="shared" si="42"/>
        <v>171.82</v>
      </c>
      <c r="U250" s="61">
        <f t="shared" si="43"/>
        <v>1260</v>
      </c>
      <c r="V250" s="96">
        <f t="shared" si="44"/>
        <v>3049.2</v>
      </c>
      <c r="W250" s="209">
        <f t="shared" si="45"/>
        <v>37256</v>
      </c>
      <c r="X250" s="115">
        <f t="shared" si="46"/>
        <v>0</v>
      </c>
    </row>
    <row r="251" spans="1:24" ht="15" customHeight="1" thickBot="1" x14ac:dyDescent="0.25">
      <c r="A251" s="3" t="s">
        <v>141</v>
      </c>
      <c r="B251" s="83" t="s">
        <v>220</v>
      </c>
      <c r="C251" s="3">
        <v>3086501</v>
      </c>
      <c r="D251" s="138" t="s">
        <v>221</v>
      </c>
      <c r="E251" s="191">
        <v>37228</v>
      </c>
      <c r="F251" s="3"/>
      <c r="G251" s="1">
        <v>68783</v>
      </c>
      <c r="H251" s="1" t="s">
        <v>30</v>
      </c>
      <c r="I251" s="1" t="s">
        <v>15</v>
      </c>
      <c r="J251" s="61" t="str">
        <f t="shared" si="47"/>
        <v>GW</v>
      </c>
      <c r="K251" s="61">
        <f t="shared" si="48"/>
        <v>3</v>
      </c>
      <c r="L251" s="65">
        <f>L$2*96%</f>
        <v>2.3231999999999999</v>
      </c>
      <c r="M251" s="61">
        <f t="shared" si="49"/>
        <v>3</v>
      </c>
      <c r="O251" s="155">
        <v>0</v>
      </c>
      <c r="P251" s="63">
        <f t="shared" si="39"/>
        <v>2.3231999999999999</v>
      </c>
      <c r="Q251" s="64">
        <f t="shared" si="52"/>
        <v>6.9695999999999998</v>
      </c>
      <c r="R251" s="216"/>
      <c r="S251" s="61">
        <f t="shared" si="41"/>
        <v>3</v>
      </c>
      <c r="T251" s="96">
        <f t="shared" si="42"/>
        <v>6.9695999999999998</v>
      </c>
      <c r="U251" s="61">
        <f t="shared" si="43"/>
        <v>0</v>
      </c>
      <c r="V251" s="96">
        <f t="shared" si="44"/>
        <v>0</v>
      </c>
      <c r="W251" s="209">
        <f t="shared" si="45"/>
        <v>37228</v>
      </c>
      <c r="X251" s="115">
        <f t="shared" si="46"/>
        <v>0</v>
      </c>
    </row>
    <row r="252" spans="1:24" ht="15" customHeight="1" thickBot="1" x14ac:dyDescent="0.25">
      <c r="A252" s="3" t="s">
        <v>141</v>
      </c>
      <c r="B252" t="s">
        <v>360</v>
      </c>
      <c r="C252">
        <v>3584101</v>
      </c>
      <c r="D252" s="194" t="s">
        <v>31</v>
      </c>
      <c r="E252" s="191">
        <v>37228</v>
      </c>
      <c r="F252" s="92"/>
      <c r="G252" s="14">
        <v>30661</v>
      </c>
      <c r="H252" s="1" t="s">
        <v>635</v>
      </c>
      <c r="I252" s="138" t="s">
        <v>636</v>
      </c>
      <c r="J252" s="61" t="str">
        <f t="shared" si="47"/>
        <v>GW</v>
      </c>
      <c r="K252" s="61">
        <f t="shared" si="48"/>
        <v>12</v>
      </c>
      <c r="L252" s="139">
        <f>$L$2-0.01</f>
        <v>2.41</v>
      </c>
      <c r="M252" s="61">
        <f t="shared" si="49"/>
        <v>12</v>
      </c>
      <c r="O252" s="155">
        <v>0</v>
      </c>
      <c r="P252" s="63">
        <f t="shared" si="39"/>
        <v>2.41</v>
      </c>
      <c r="Q252" s="64">
        <f t="shared" si="52"/>
        <v>28.92</v>
      </c>
      <c r="R252" s="216"/>
      <c r="S252" s="61">
        <f t="shared" si="41"/>
        <v>12</v>
      </c>
      <c r="T252" s="96">
        <f t="shared" si="42"/>
        <v>28.92</v>
      </c>
      <c r="U252" s="61">
        <f t="shared" si="43"/>
        <v>0</v>
      </c>
      <c r="V252" s="96">
        <f t="shared" si="44"/>
        <v>0</v>
      </c>
      <c r="W252" s="209">
        <f t="shared" si="45"/>
        <v>37228</v>
      </c>
      <c r="X252" s="115">
        <f t="shared" si="46"/>
        <v>0</v>
      </c>
    </row>
    <row r="253" spans="1:24" ht="15" customHeight="1" thickBot="1" x14ac:dyDescent="0.25">
      <c r="A253" s="3" t="s">
        <v>141</v>
      </c>
      <c r="B253" t="s">
        <v>362</v>
      </c>
      <c r="C253">
        <v>3584201</v>
      </c>
      <c r="D253" s="194" t="s">
        <v>31</v>
      </c>
      <c r="E253" s="191">
        <v>37228</v>
      </c>
      <c r="F253" s="92"/>
      <c r="G253" s="14">
        <v>30661</v>
      </c>
      <c r="H253" s="1" t="s">
        <v>635</v>
      </c>
      <c r="I253" s="138" t="s">
        <v>636</v>
      </c>
      <c r="J253" s="61" t="str">
        <f t="shared" si="47"/>
        <v>GW</v>
      </c>
      <c r="K253" s="61">
        <f t="shared" si="48"/>
        <v>36</v>
      </c>
      <c r="L253" s="139">
        <f>$L$2-0.01</f>
        <v>2.41</v>
      </c>
      <c r="M253" s="61">
        <f t="shared" si="49"/>
        <v>41</v>
      </c>
      <c r="O253" s="155">
        <v>0</v>
      </c>
      <c r="P253" s="63">
        <f t="shared" si="39"/>
        <v>2.41</v>
      </c>
      <c r="Q253" s="64">
        <f t="shared" si="52"/>
        <v>98.81</v>
      </c>
      <c r="R253" s="216"/>
      <c r="S253" s="61">
        <f t="shared" si="41"/>
        <v>24</v>
      </c>
      <c r="T253" s="96">
        <f t="shared" si="42"/>
        <v>57.84</v>
      </c>
      <c r="U253" s="61">
        <f>IF(ISNA(VLOOKUP(B253,SplitVol,6,FALSE)),0,VLOOKUP(B253,SplitVol,6,FALSE))+1</f>
        <v>17</v>
      </c>
      <c r="V253" s="96">
        <f t="shared" si="44"/>
        <v>40.97</v>
      </c>
      <c r="W253" s="209">
        <f t="shared" si="45"/>
        <v>37228</v>
      </c>
      <c r="X253" s="115">
        <f t="shared" si="46"/>
        <v>0</v>
      </c>
    </row>
    <row r="254" spans="1:24" ht="15" customHeight="1" thickBot="1" x14ac:dyDescent="0.25">
      <c r="A254" s="3" t="s">
        <v>141</v>
      </c>
      <c r="B254" s="83" t="s">
        <v>187</v>
      </c>
      <c r="C254" s="3">
        <v>4362001</v>
      </c>
      <c r="D254" s="194" t="s">
        <v>31</v>
      </c>
      <c r="E254" s="191">
        <v>37228</v>
      </c>
      <c r="F254" s="92"/>
      <c r="G254" s="14">
        <v>30661</v>
      </c>
      <c r="H254" s="1" t="s">
        <v>635</v>
      </c>
      <c r="I254" s="138" t="s">
        <v>636</v>
      </c>
      <c r="J254" s="61" t="str">
        <f t="shared" si="47"/>
        <v>GW</v>
      </c>
      <c r="K254" s="61">
        <f t="shared" si="48"/>
        <v>44</v>
      </c>
      <c r="L254" s="139">
        <f>$L$2-0.01</f>
        <v>2.41</v>
      </c>
      <c r="M254" s="61">
        <f t="shared" si="49"/>
        <v>62</v>
      </c>
      <c r="O254" s="155">
        <v>0</v>
      </c>
      <c r="P254" s="63">
        <f t="shared" si="39"/>
        <v>2.41</v>
      </c>
      <c r="Q254" s="64">
        <f t="shared" si="52"/>
        <v>149.42000000000002</v>
      </c>
      <c r="R254" s="216"/>
      <c r="S254" s="61">
        <f t="shared" si="41"/>
        <v>54</v>
      </c>
      <c r="T254" s="96">
        <f t="shared" si="42"/>
        <v>130.14000000000001</v>
      </c>
      <c r="U254" s="61">
        <f t="shared" si="43"/>
        <v>8</v>
      </c>
      <c r="V254" s="96">
        <f t="shared" si="44"/>
        <v>19.28</v>
      </c>
      <c r="W254" s="209">
        <f t="shared" si="45"/>
        <v>37228</v>
      </c>
      <c r="X254" s="115">
        <f t="shared" si="46"/>
        <v>0</v>
      </c>
    </row>
    <row r="255" spans="1:24" ht="15" customHeight="1" thickBot="1" x14ac:dyDescent="0.25">
      <c r="A255" s="3" t="s">
        <v>141</v>
      </c>
      <c r="B255" s="83" t="s">
        <v>226</v>
      </c>
      <c r="C255" s="3">
        <v>4106301</v>
      </c>
      <c r="D255" s="194" t="s">
        <v>31</v>
      </c>
      <c r="E255" s="191">
        <v>37228</v>
      </c>
      <c r="F255" s="92"/>
      <c r="G255" s="14">
        <v>30661</v>
      </c>
      <c r="H255" s="1" t="s">
        <v>635</v>
      </c>
      <c r="I255" s="138" t="s">
        <v>636</v>
      </c>
      <c r="J255" s="61" t="str">
        <f t="shared" si="47"/>
        <v>GW</v>
      </c>
      <c r="K255" s="61">
        <f t="shared" si="48"/>
        <v>23</v>
      </c>
      <c r="L255" s="139">
        <f>$L$2-0.01</f>
        <v>2.41</v>
      </c>
      <c r="M255" s="61">
        <f t="shared" si="49"/>
        <v>28</v>
      </c>
      <c r="O255" s="155">
        <v>0</v>
      </c>
      <c r="P255" s="63">
        <f t="shared" si="39"/>
        <v>2.41</v>
      </c>
      <c r="Q255" s="64">
        <f t="shared" si="52"/>
        <v>67.48</v>
      </c>
      <c r="R255" s="216"/>
      <c r="S255" s="61">
        <f t="shared" si="41"/>
        <v>28</v>
      </c>
      <c r="T255" s="96">
        <f t="shared" si="42"/>
        <v>67.48</v>
      </c>
      <c r="U255" s="61">
        <f t="shared" si="43"/>
        <v>0</v>
      </c>
      <c r="V255" s="96">
        <f t="shared" si="44"/>
        <v>0</v>
      </c>
      <c r="W255" s="209">
        <f t="shared" si="45"/>
        <v>37228</v>
      </c>
      <c r="X255" s="115">
        <f t="shared" si="46"/>
        <v>0</v>
      </c>
    </row>
    <row r="256" spans="1:24" ht="15" customHeight="1" thickBot="1" x14ac:dyDescent="0.25">
      <c r="A256" s="3" t="s">
        <v>629</v>
      </c>
      <c r="B256" s="83" t="s">
        <v>32</v>
      </c>
      <c r="C256" s="3" t="s">
        <v>629</v>
      </c>
      <c r="D256" s="3" t="s">
        <v>33</v>
      </c>
      <c r="E256" s="189" t="s">
        <v>317</v>
      </c>
      <c r="F256" s="3"/>
      <c r="G256" s="1">
        <v>70062</v>
      </c>
      <c r="H256" s="1" t="s">
        <v>34</v>
      </c>
      <c r="I256" s="1" t="s">
        <v>35</v>
      </c>
      <c r="J256" s="61" t="str">
        <f t="shared" si="47"/>
        <v>na</v>
      </c>
      <c r="K256" s="61" t="str">
        <f t="shared" si="48"/>
        <v>na</v>
      </c>
      <c r="L256" s="65">
        <f t="shared" ref="L256:L264" si="53">L$3*98%</f>
        <v>2.3519999999999999</v>
      </c>
      <c r="M256" s="61">
        <f t="shared" si="49"/>
        <v>0</v>
      </c>
      <c r="O256" s="155">
        <v>0</v>
      </c>
      <c r="P256" s="63">
        <f t="shared" si="39"/>
        <v>2.3519999999999999</v>
      </c>
      <c r="Q256" s="64">
        <f t="shared" ref="Q256:Q287" si="54">M256*P256</f>
        <v>0</v>
      </c>
      <c r="R256" s="216"/>
      <c r="S256" s="61">
        <f t="shared" si="41"/>
        <v>0</v>
      </c>
      <c r="T256" s="96">
        <f t="shared" si="42"/>
        <v>0</v>
      </c>
      <c r="U256" s="61">
        <f t="shared" si="43"/>
        <v>0</v>
      </c>
      <c r="V256" s="96">
        <f t="shared" si="44"/>
        <v>0</v>
      </c>
      <c r="W256" s="209" t="str">
        <f t="shared" si="45"/>
        <v>na</v>
      </c>
      <c r="X256" s="115">
        <f t="shared" si="46"/>
        <v>0</v>
      </c>
    </row>
    <row r="257" spans="1:25" ht="15" customHeight="1" thickBot="1" x14ac:dyDescent="0.25">
      <c r="A257" s="3" t="s">
        <v>629</v>
      </c>
      <c r="B257" s="83" t="s">
        <v>36</v>
      </c>
      <c r="C257" s="3" t="s">
        <v>629</v>
      </c>
      <c r="D257" s="3" t="s">
        <v>33</v>
      </c>
      <c r="E257" s="189" t="s">
        <v>317</v>
      </c>
      <c r="F257" s="3"/>
      <c r="G257" s="1">
        <v>70062</v>
      </c>
      <c r="H257" s="1" t="s">
        <v>34</v>
      </c>
      <c r="I257" s="1" t="s">
        <v>35</v>
      </c>
      <c r="J257" s="61" t="str">
        <f t="shared" si="47"/>
        <v>na</v>
      </c>
      <c r="K257" s="61" t="str">
        <f t="shared" si="48"/>
        <v>na</v>
      </c>
      <c r="L257" s="65">
        <f t="shared" si="53"/>
        <v>2.3519999999999999</v>
      </c>
      <c r="M257" s="61">
        <f t="shared" si="49"/>
        <v>0</v>
      </c>
      <c r="O257" s="155">
        <v>0</v>
      </c>
      <c r="P257" s="63">
        <f t="shared" si="39"/>
        <v>2.3519999999999999</v>
      </c>
      <c r="Q257" s="64">
        <f t="shared" si="54"/>
        <v>0</v>
      </c>
      <c r="R257" s="216"/>
      <c r="S257" s="61">
        <f t="shared" si="41"/>
        <v>0</v>
      </c>
      <c r="T257" s="96">
        <f t="shared" si="42"/>
        <v>0</v>
      </c>
      <c r="U257" s="61">
        <f t="shared" si="43"/>
        <v>0</v>
      </c>
      <c r="V257" s="96">
        <f t="shared" si="44"/>
        <v>0</v>
      </c>
      <c r="W257" s="209" t="str">
        <f t="shared" si="45"/>
        <v>na</v>
      </c>
      <c r="X257" s="115">
        <f t="shared" si="46"/>
        <v>0</v>
      </c>
    </row>
    <row r="258" spans="1:25" ht="15" customHeight="1" thickBot="1" x14ac:dyDescent="0.25">
      <c r="A258" s="3" t="s">
        <v>629</v>
      </c>
      <c r="B258" s="83" t="s">
        <v>37</v>
      </c>
      <c r="C258" s="3" t="s">
        <v>629</v>
      </c>
      <c r="D258" s="3" t="s">
        <v>33</v>
      </c>
      <c r="E258" s="189" t="s">
        <v>317</v>
      </c>
      <c r="F258" s="3"/>
      <c r="G258" s="1">
        <v>70062</v>
      </c>
      <c r="H258" s="1" t="s">
        <v>34</v>
      </c>
      <c r="I258" s="1" t="s">
        <v>35</v>
      </c>
      <c r="J258" s="61" t="str">
        <f t="shared" si="47"/>
        <v>na</v>
      </c>
      <c r="K258" s="61" t="str">
        <f t="shared" si="48"/>
        <v>na</v>
      </c>
      <c r="L258" s="65">
        <f t="shared" si="53"/>
        <v>2.3519999999999999</v>
      </c>
      <c r="M258" s="61">
        <f t="shared" si="49"/>
        <v>0</v>
      </c>
      <c r="O258" s="155">
        <v>0</v>
      </c>
      <c r="P258" s="63">
        <f t="shared" si="39"/>
        <v>2.3519999999999999</v>
      </c>
      <c r="Q258" s="64">
        <f t="shared" si="54"/>
        <v>0</v>
      </c>
      <c r="R258" s="216"/>
      <c r="S258" s="61">
        <f t="shared" si="41"/>
        <v>0</v>
      </c>
      <c r="T258" s="96">
        <f t="shared" si="42"/>
        <v>0</v>
      </c>
      <c r="U258" s="61">
        <f t="shared" si="43"/>
        <v>0</v>
      </c>
      <c r="V258" s="96">
        <f t="shared" si="44"/>
        <v>0</v>
      </c>
      <c r="W258" s="209" t="str">
        <f t="shared" si="45"/>
        <v>na</v>
      </c>
      <c r="X258" s="115">
        <f t="shared" si="46"/>
        <v>0</v>
      </c>
    </row>
    <row r="259" spans="1:25" ht="15" customHeight="1" thickBot="1" x14ac:dyDescent="0.25">
      <c r="A259" s="3" t="s">
        <v>629</v>
      </c>
      <c r="B259" s="83" t="s">
        <v>38</v>
      </c>
      <c r="C259" s="3" t="s">
        <v>629</v>
      </c>
      <c r="D259" s="3" t="s">
        <v>33</v>
      </c>
      <c r="E259" s="189" t="s">
        <v>317</v>
      </c>
      <c r="F259" s="3"/>
      <c r="G259" s="1">
        <v>70062</v>
      </c>
      <c r="H259" s="1" t="s">
        <v>34</v>
      </c>
      <c r="I259" s="1" t="s">
        <v>35</v>
      </c>
      <c r="J259" s="61" t="str">
        <f t="shared" si="47"/>
        <v>na</v>
      </c>
      <c r="K259" s="61" t="str">
        <f t="shared" si="48"/>
        <v>na</v>
      </c>
      <c r="L259" s="65">
        <f t="shared" si="53"/>
        <v>2.3519999999999999</v>
      </c>
      <c r="M259" s="61">
        <f t="shared" si="49"/>
        <v>0</v>
      </c>
      <c r="O259" s="155">
        <v>0</v>
      </c>
      <c r="P259" s="63">
        <f t="shared" si="39"/>
        <v>2.3519999999999999</v>
      </c>
      <c r="Q259" s="64">
        <f t="shared" si="54"/>
        <v>0</v>
      </c>
      <c r="R259" s="216"/>
      <c r="S259" s="61">
        <f t="shared" si="41"/>
        <v>0</v>
      </c>
      <c r="T259" s="96">
        <f t="shared" si="42"/>
        <v>0</v>
      </c>
      <c r="U259" s="61">
        <f t="shared" si="43"/>
        <v>0</v>
      </c>
      <c r="V259" s="96">
        <f t="shared" si="44"/>
        <v>0</v>
      </c>
      <c r="W259" s="209" t="str">
        <f t="shared" si="45"/>
        <v>na</v>
      </c>
      <c r="X259" s="115">
        <f t="shared" si="46"/>
        <v>0</v>
      </c>
    </row>
    <row r="260" spans="1:25" ht="15" customHeight="1" thickBot="1" x14ac:dyDescent="0.25">
      <c r="A260" s="3" t="s">
        <v>629</v>
      </c>
      <c r="B260" s="83" t="s">
        <v>39</v>
      </c>
      <c r="C260" s="3" t="s">
        <v>629</v>
      </c>
      <c r="D260" s="3" t="s">
        <v>33</v>
      </c>
      <c r="E260" s="189" t="s">
        <v>317</v>
      </c>
      <c r="F260" s="3"/>
      <c r="G260" s="1">
        <v>70062</v>
      </c>
      <c r="H260" s="1" t="s">
        <v>34</v>
      </c>
      <c r="I260" s="1" t="s">
        <v>35</v>
      </c>
      <c r="J260" s="61" t="str">
        <f t="shared" si="47"/>
        <v>na</v>
      </c>
      <c r="K260" s="61" t="str">
        <f t="shared" si="48"/>
        <v>na</v>
      </c>
      <c r="L260" s="65">
        <f t="shared" si="53"/>
        <v>2.3519999999999999</v>
      </c>
      <c r="M260" s="61">
        <f t="shared" si="49"/>
        <v>0</v>
      </c>
      <c r="O260" s="155">
        <v>0</v>
      </c>
      <c r="P260" s="63">
        <f t="shared" si="39"/>
        <v>2.3519999999999999</v>
      </c>
      <c r="Q260" s="64">
        <f t="shared" si="54"/>
        <v>0</v>
      </c>
      <c r="R260" s="216"/>
      <c r="S260" s="61">
        <f t="shared" si="41"/>
        <v>0</v>
      </c>
      <c r="T260" s="96">
        <f t="shared" si="42"/>
        <v>0</v>
      </c>
      <c r="U260" s="61">
        <f t="shared" si="43"/>
        <v>0</v>
      </c>
      <c r="V260" s="96">
        <f t="shared" si="44"/>
        <v>0</v>
      </c>
      <c r="W260" s="209" t="str">
        <f t="shared" si="45"/>
        <v>na</v>
      </c>
      <c r="X260" s="115">
        <f t="shared" si="46"/>
        <v>0</v>
      </c>
    </row>
    <row r="261" spans="1:25" ht="15" customHeight="1" thickBot="1" x14ac:dyDescent="0.25">
      <c r="A261" s="3" t="s">
        <v>629</v>
      </c>
      <c r="B261" s="83" t="s">
        <v>40</v>
      </c>
      <c r="C261" s="3" t="s">
        <v>629</v>
      </c>
      <c r="D261" s="3" t="s">
        <v>33</v>
      </c>
      <c r="E261" s="189" t="s">
        <v>317</v>
      </c>
      <c r="F261" s="3"/>
      <c r="G261" s="1">
        <v>70062</v>
      </c>
      <c r="H261" s="1" t="s">
        <v>34</v>
      </c>
      <c r="I261" s="1" t="s">
        <v>35</v>
      </c>
      <c r="J261" s="61" t="str">
        <f t="shared" si="47"/>
        <v>na</v>
      </c>
      <c r="K261" s="61" t="str">
        <f t="shared" si="48"/>
        <v>na</v>
      </c>
      <c r="L261" s="65">
        <f t="shared" si="53"/>
        <v>2.3519999999999999</v>
      </c>
      <c r="M261" s="61">
        <f t="shared" si="49"/>
        <v>0</v>
      </c>
      <c r="O261" s="155">
        <v>0</v>
      </c>
      <c r="P261" s="63">
        <f t="shared" ref="P261:P324" si="55">L261-O261</f>
        <v>2.3519999999999999</v>
      </c>
      <c r="Q261" s="64">
        <f t="shared" si="54"/>
        <v>0</v>
      </c>
      <c r="R261" s="216"/>
      <c r="S261" s="61">
        <f t="shared" si="41"/>
        <v>0</v>
      </c>
      <c r="T261" s="96">
        <f t="shared" si="42"/>
        <v>0</v>
      </c>
      <c r="U261" s="61">
        <f t="shared" si="43"/>
        <v>0</v>
      </c>
      <c r="V261" s="96">
        <f t="shared" si="44"/>
        <v>0</v>
      </c>
      <c r="W261" s="209" t="str">
        <f t="shared" si="45"/>
        <v>na</v>
      </c>
      <c r="X261" s="115">
        <f t="shared" si="46"/>
        <v>0</v>
      </c>
    </row>
    <row r="262" spans="1:25" ht="15" customHeight="1" thickBot="1" x14ac:dyDescent="0.25">
      <c r="A262" s="3" t="s">
        <v>629</v>
      </c>
      <c r="B262" s="83" t="s">
        <v>41</v>
      </c>
      <c r="C262" s="3" t="s">
        <v>629</v>
      </c>
      <c r="D262" s="3" t="s">
        <v>33</v>
      </c>
      <c r="E262" s="189" t="s">
        <v>317</v>
      </c>
      <c r="F262" s="3"/>
      <c r="G262" s="1">
        <v>70062</v>
      </c>
      <c r="H262" s="1" t="s">
        <v>34</v>
      </c>
      <c r="I262" s="1" t="s">
        <v>35</v>
      </c>
      <c r="J262" s="61" t="str">
        <f t="shared" si="47"/>
        <v>na</v>
      </c>
      <c r="K262" s="61" t="str">
        <f t="shared" si="48"/>
        <v>na</v>
      </c>
      <c r="L262" s="65">
        <f t="shared" si="53"/>
        <v>2.3519999999999999</v>
      </c>
      <c r="M262" s="61">
        <f t="shared" si="49"/>
        <v>0</v>
      </c>
      <c r="O262" s="155">
        <v>0</v>
      </c>
      <c r="P262" s="63">
        <f t="shared" si="55"/>
        <v>2.3519999999999999</v>
      </c>
      <c r="Q262" s="64">
        <f t="shared" si="54"/>
        <v>0</v>
      </c>
      <c r="R262" s="216"/>
      <c r="S262" s="61">
        <f t="shared" ref="S262:S325" si="56">IF(ISNA(VLOOKUP(B262,SplitVol,5,FALSE)),0,VLOOKUP(B262,SplitVol,5,FALSE))</f>
        <v>0</v>
      </c>
      <c r="T262" s="96">
        <f t="shared" ref="T262:T325" si="57">+S262*L262</f>
        <v>0</v>
      </c>
      <c r="U262" s="61">
        <f t="shared" ref="U262:U325" si="58">IF(ISNA(VLOOKUP(B262,SplitVol,6,FALSE)),0,VLOOKUP(B262,SplitVol,6,FALSE))</f>
        <v>0</v>
      </c>
      <c r="V262" s="96">
        <f t="shared" ref="V262:V325" si="59">+U262*L262</f>
        <v>0</v>
      </c>
      <c r="W262" s="209" t="str">
        <f t="shared" ref="W262:W325" si="60">IF(ISBLANK(VLOOKUP(B262,EffDate,4,FALSE)),"na",VLOOKUP(B262,EffDate,4,FALSE))</f>
        <v>na</v>
      </c>
      <c r="X262" s="115">
        <f t="shared" ref="X262:X325" si="61">+M262-S262-U262</f>
        <v>0</v>
      </c>
    </row>
    <row r="263" spans="1:25" ht="15" customHeight="1" thickBot="1" x14ac:dyDescent="0.25">
      <c r="A263" s="3" t="s">
        <v>629</v>
      </c>
      <c r="B263" s="83" t="s">
        <v>42</v>
      </c>
      <c r="C263" s="3" t="s">
        <v>629</v>
      </c>
      <c r="D263" s="3" t="s">
        <v>33</v>
      </c>
      <c r="E263" s="189" t="s">
        <v>317</v>
      </c>
      <c r="F263" s="3"/>
      <c r="G263" s="1">
        <v>70062</v>
      </c>
      <c r="H263" s="1" t="s">
        <v>34</v>
      </c>
      <c r="I263" s="1" t="s">
        <v>35</v>
      </c>
      <c r="J263" s="61" t="str">
        <f t="shared" si="47"/>
        <v>na</v>
      </c>
      <c r="K263" s="61" t="str">
        <f t="shared" si="48"/>
        <v>na</v>
      </c>
      <c r="L263" s="65">
        <f t="shared" si="53"/>
        <v>2.3519999999999999</v>
      </c>
      <c r="M263" s="61">
        <f t="shared" si="49"/>
        <v>0</v>
      </c>
      <c r="O263" s="155">
        <v>0</v>
      </c>
      <c r="P263" s="63">
        <f t="shared" si="55"/>
        <v>2.3519999999999999</v>
      </c>
      <c r="Q263" s="64">
        <f t="shared" si="54"/>
        <v>0</v>
      </c>
      <c r="R263" s="216"/>
      <c r="S263" s="61">
        <f t="shared" si="56"/>
        <v>0</v>
      </c>
      <c r="T263" s="96">
        <f t="shared" si="57"/>
        <v>0</v>
      </c>
      <c r="U263" s="61">
        <f t="shared" si="58"/>
        <v>0</v>
      </c>
      <c r="V263" s="96">
        <f t="shared" si="59"/>
        <v>0</v>
      </c>
      <c r="W263" s="209" t="str">
        <f t="shared" si="60"/>
        <v>na</v>
      </c>
      <c r="X263" s="115">
        <f t="shared" si="61"/>
        <v>0</v>
      </c>
    </row>
    <row r="264" spans="1:25" ht="15" customHeight="1" thickBot="1" x14ac:dyDescent="0.25">
      <c r="A264" s="3" t="s">
        <v>629</v>
      </c>
      <c r="B264" s="83" t="s">
        <v>43</v>
      </c>
      <c r="C264" s="3" t="s">
        <v>629</v>
      </c>
      <c r="D264" s="3" t="s">
        <v>33</v>
      </c>
      <c r="E264" s="189" t="s">
        <v>317</v>
      </c>
      <c r="F264" s="3"/>
      <c r="G264" s="1">
        <v>70062</v>
      </c>
      <c r="H264" s="1" t="s">
        <v>34</v>
      </c>
      <c r="I264" s="1" t="s">
        <v>35</v>
      </c>
      <c r="J264" s="61" t="str">
        <f t="shared" si="47"/>
        <v>na</v>
      </c>
      <c r="K264" s="61" t="str">
        <f t="shared" si="48"/>
        <v>na</v>
      </c>
      <c r="L264" s="65">
        <f t="shared" si="53"/>
        <v>2.3519999999999999</v>
      </c>
      <c r="M264" s="61">
        <f t="shared" si="49"/>
        <v>0</v>
      </c>
      <c r="O264" s="155">
        <v>0</v>
      </c>
      <c r="P264" s="63">
        <f t="shared" si="55"/>
        <v>2.3519999999999999</v>
      </c>
      <c r="Q264" s="64">
        <f t="shared" si="54"/>
        <v>0</v>
      </c>
      <c r="R264" s="216"/>
      <c r="S264" s="61">
        <f t="shared" si="56"/>
        <v>0</v>
      </c>
      <c r="T264" s="96">
        <f t="shared" si="57"/>
        <v>0</v>
      </c>
      <c r="U264" s="61">
        <f t="shared" si="58"/>
        <v>0</v>
      </c>
      <c r="V264" s="96">
        <f t="shared" si="59"/>
        <v>0</v>
      </c>
      <c r="W264" s="209" t="str">
        <f t="shared" si="60"/>
        <v>na</v>
      </c>
      <c r="X264" s="115">
        <f t="shared" si="61"/>
        <v>0</v>
      </c>
    </row>
    <row r="265" spans="1:25" ht="15" customHeight="1" thickBot="1" x14ac:dyDescent="0.25">
      <c r="A265" s="3" t="s">
        <v>141</v>
      </c>
      <c r="B265" s="83" t="s">
        <v>227</v>
      </c>
      <c r="C265" s="3">
        <v>3001401</v>
      </c>
      <c r="D265" s="138" t="s">
        <v>44</v>
      </c>
      <c r="E265" s="191">
        <v>37228</v>
      </c>
      <c r="F265" s="66"/>
      <c r="G265" s="66">
        <v>70303</v>
      </c>
      <c r="H265" s="66" t="s">
        <v>45</v>
      </c>
      <c r="I265" s="138" t="s">
        <v>46</v>
      </c>
      <c r="J265" s="109" t="str">
        <f t="shared" si="47"/>
        <v>GW</v>
      </c>
      <c r="K265" s="61">
        <f t="shared" si="48"/>
        <v>0</v>
      </c>
      <c r="L265" s="139">
        <f>+CNGPricing!$H$147</f>
        <v>2.42</v>
      </c>
      <c r="M265" s="61">
        <f t="shared" si="49"/>
        <v>434</v>
      </c>
      <c r="O265" s="155">
        <v>0</v>
      </c>
      <c r="P265" s="63">
        <f t="shared" si="55"/>
        <v>2.42</v>
      </c>
      <c r="Q265" s="64">
        <f t="shared" si="54"/>
        <v>1050.28</v>
      </c>
      <c r="R265" s="216"/>
      <c r="S265" s="61">
        <f t="shared" si="56"/>
        <v>217</v>
      </c>
      <c r="T265" s="96">
        <f t="shared" si="57"/>
        <v>525.14</v>
      </c>
      <c r="U265" s="61">
        <f t="shared" si="58"/>
        <v>217</v>
      </c>
      <c r="V265" s="96">
        <f t="shared" si="59"/>
        <v>525.14</v>
      </c>
      <c r="W265" s="209">
        <f t="shared" si="60"/>
        <v>37228</v>
      </c>
      <c r="X265" s="115">
        <f t="shared" si="61"/>
        <v>0</v>
      </c>
    </row>
    <row r="266" spans="1:25" ht="15" customHeight="1" thickBot="1" x14ac:dyDescent="0.25">
      <c r="A266" s="3" t="s">
        <v>141</v>
      </c>
      <c r="B266" s="83" t="s">
        <v>228</v>
      </c>
      <c r="C266" s="3">
        <v>3001601</v>
      </c>
      <c r="D266" s="138" t="s">
        <v>44</v>
      </c>
      <c r="E266" s="191">
        <v>37228</v>
      </c>
      <c r="F266" s="66"/>
      <c r="G266" s="66">
        <v>70303</v>
      </c>
      <c r="H266" s="66" t="s">
        <v>45</v>
      </c>
      <c r="I266" s="138" t="s">
        <v>46</v>
      </c>
      <c r="J266" s="109" t="str">
        <f t="shared" si="47"/>
        <v>GW</v>
      </c>
      <c r="K266" s="61">
        <f t="shared" si="48"/>
        <v>0</v>
      </c>
      <c r="L266" s="139">
        <f>+CNGPricing!$H$147</f>
        <v>2.42</v>
      </c>
      <c r="M266" s="61">
        <f t="shared" si="49"/>
        <v>213</v>
      </c>
      <c r="O266" s="155">
        <v>0</v>
      </c>
      <c r="P266" s="63">
        <f t="shared" si="55"/>
        <v>2.42</v>
      </c>
      <c r="Q266" s="64">
        <f t="shared" si="54"/>
        <v>515.46</v>
      </c>
      <c r="R266" s="216"/>
      <c r="S266" s="61">
        <f t="shared" si="56"/>
        <v>15</v>
      </c>
      <c r="T266" s="96">
        <f t="shared" si="57"/>
        <v>36.299999999999997</v>
      </c>
      <c r="U266" s="61">
        <f>IF(ISNA(VLOOKUP(B266,SplitVol,6,FALSE)),0,VLOOKUP(B266,SplitVol,6,FALSE))-1</f>
        <v>198</v>
      </c>
      <c r="V266" s="96">
        <f t="shared" si="59"/>
        <v>479.15999999999997</v>
      </c>
      <c r="W266" s="209">
        <f t="shared" si="60"/>
        <v>37228</v>
      </c>
      <c r="X266" s="115">
        <f t="shared" si="61"/>
        <v>0</v>
      </c>
    </row>
    <row r="267" spans="1:25" ht="15" customHeight="1" thickBot="1" x14ac:dyDescent="0.25">
      <c r="A267" s="3" t="s">
        <v>141</v>
      </c>
      <c r="B267" s="83" t="s">
        <v>229</v>
      </c>
      <c r="C267" s="3">
        <v>3043201</v>
      </c>
      <c r="D267" s="138" t="s">
        <v>44</v>
      </c>
      <c r="E267" s="191">
        <v>37228</v>
      </c>
      <c r="F267" s="66"/>
      <c r="G267" s="66">
        <v>70303</v>
      </c>
      <c r="H267" s="66" t="s">
        <v>45</v>
      </c>
      <c r="I267" s="138" t="s">
        <v>46</v>
      </c>
      <c r="J267" s="109" t="str">
        <f t="shared" si="47"/>
        <v>GW</v>
      </c>
      <c r="K267" s="61">
        <f t="shared" si="48"/>
        <v>48</v>
      </c>
      <c r="L267" s="139">
        <f>+CNGPricing!$H$147</f>
        <v>2.42</v>
      </c>
      <c r="M267" s="61">
        <f t="shared" si="49"/>
        <v>71</v>
      </c>
      <c r="O267" s="155">
        <v>0</v>
      </c>
      <c r="P267" s="63">
        <f t="shared" si="55"/>
        <v>2.42</v>
      </c>
      <c r="Q267" s="64">
        <f t="shared" si="54"/>
        <v>171.82</v>
      </c>
      <c r="R267" s="216"/>
      <c r="S267" s="61">
        <f t="shared" si="56"/>
        <v>29</v>
      </c>
      <c r="T267" s="96">
        <f t="shared" si="57"/>
        <v>70.179999999999993</v>
      </c>
      <c r="U267" s="61">
        <f t="shared" si="58"/>
        <v>42</v>
      </c>
      <c r="V267" s="96">
        <f t="shared" si="59"/>
        <v>101.64</v>
      </c>
      <c r="W267" s="209">
        <f t="shared" si="60"/>
        <v>37228</v>
      </c>
      <c r="X267" s="115">
        <f t="shared" si="61"/>
        <v>0</v>
      </c>
    </row>
    <row r="268" spans="1:25" ht="15" customHeight="1" thickBot="1" x14ac:dyDescent="0.25">
      <c r="A268" s="3" t="s">
        <v>141</v>
      </c>
      <c r="B268" s="83" t="s">
        <v>230</v>
      </c>
      <c r="C268" s="3">
        <v>3043401</v>
      </c>
      <c r="D268" s="138" t="s">
        <v>44</v>
      </c>
      <c r="E268" s="191">
        <v>37228</v>
      </c>
      <c r="F268" s="66"/>
      <c r="G268" s="66">
        <v>70303</v>
      </c>
      <c r="H268" s="66" t="s">
        <v>45</v>
      </c>
      <c r="I268" s="138" t="s">
        <v>46</v>
      </c>
      <c r="J268" s="109" t="str">
        <f t="shared" ref="J268:J318" si="62">IF(ISNA(VLOOKUP(B268,cngdata,7,FALSE)),"na",VLOOKUP(B268,cngdata,7,FALSE))</f>
        <v>GW</v>
      </c>
      <c r="K268" s="61">
        <f t="shared" si="48"/>
        <v>0</v>
      </c>
      <c r="L268" s="139">
        <f>+CNGPricing!$H$147</f>
        <v>2.42</v>
      </c>
      <c r="M268" s="61">
        <f t="shared" si="49"/>
        <v>0</v>
      </c>
      <c r="O268" s="155">
        <v>0</v>
      </c>
      <c r="P268" s="63">
        <f t="shared" si="55"/>
        <v>2.42</v>
      </c>
      <c r="Q268" s="64">
        <f t="shared" si="54"/>
        <v>0</v>
      </c>
      <c r="R268" s="216"/>
      <c r="S268" s="61">
        <f t="shared" si="56"/>
        <v>0</v>
      </c>
      <c r="T268" s="96">
        <f t="shared" si="57"/>
        <v>0</v>
      </c>
      <c r="U268" s="61">
        <f t="shared" si="58"/>
        <v>0</v>
      </c>
      <c r="V268" s="96">
        <f t="shared" si="59"/>
        <v>0</v>
      </c>
      <c r="W268" s="209">
        <f t="shared" si="60"/>
        <v>37228</v>
      </c>
      <c r="X268" s="115">
        <f t="shared" si="61"/>
        <v>0</v>
      </c>
    </row>
    <row r="269" spans="1:25" ht="15" customHeight="1" thickBot="1" x14ac:dyDescent="0.25">
      <c r="A269" s="3" t="s">
        <v>141</v>
      </c>
      <c r="B269" s="83" t="s">
        <v>231</v>
      </c>
      <c r="C269" s="3">
        <v>3038201</v>
      </c>
      <c r="D269" s="138" t="s">
        <v>44</v>
      </c>
      <c r="E269" s="191">
        <v>37228</v>
      </c>
      <c r="F269" s="66"/>
      <c r="G269" s="66">
        <v>70303</v>
      </c>
      <c r="H269" s="66" t="s">
        <v>45</v>
      </c>
      <c r="I269" s="138" t="s">
        <v>46</v>
      </c>
      <c r="J269" s="109" t="str">
        <f t="shared" si="62"/>
        <v>GW</v>
      </c>
      <c r="K269" s="61">
        <f t="shared" si="48"/>
        <v>259</v>
      </c>
      <c r="L269" s="139">
        <f>+CNGPricing!$H$147</f>
        <v>2.42</v>
      </c>
      <c r="M269" s="61">
        <f t="shared" si="49"/>
        <v>450</v>
      </c>
      <c r="O269" s="155">
        <v>0</v>
      </c>
      <c r="P269" s="63">
        <f t="shared" si="55"/>
        <v>2.42</v>
      </c>
      <c r="Q269" s="64">
        <f t="shared" si="54"/>
        <v>1089</v>
      </c>
      <c r="R269" s="216"/>
      <c r="S269" s="61">
        <f t="shared" si="56"/>
        <v>80</v>
      </c>
      <c r="T269" s="96">
        <f t="shared" si="57"/>
        <v>193.6</v>
      </c>
      <c r="U269" s="61">
        <f t="shared" si="58"/>
        <v>370</v>
      </c>
      <c r="V269" s="96">
        <f t="shared" si="59"/>
        <v>895.4</v>
      </c>
      <c r="W269" s="209">
        <f t="shared" si="60"/>
        <v>37228</v>
      </c>
      <c r="X269" s="115">
        <f t="shared" si="61"/>
        <v>0</v>
      </c>
    </row>
    <row r="270" spans="1:25" s="29" customFormat="1" ht="15" customHeight="1" thickBot="1" x14ac:dyDescent="0.25">
      <c r="A270" s="3" t="s">
        <v>141</v>
      </c>
      <c r="B270" s="6" t="s">
        <v>145</v>
      </c>
      <c r="C270" s="3">
        <v>3130401</v>
      </c>
      <c r="D270" s="192" t="s">
        <v>601</v>
      </c>
      <c r="E270" s="193">
        <v>37257</v>
      </c>
      <c r="F270" s="3"/>
      <c r="G270" s="3">
        <v>71375</v>
      </c>
      <c r="H270" s="3" t="s">
        <v>602</v>
      </c>
      <c r="I270" s="3" t="s">
        <v>324</v>
      </c>
      <c r="J270" s="61" t="str">
        <f t="shared" si="62"/>
        <v>GW</v>
      </c>
      <c r="K270" s="61">
        <f t="shared" si="48"/>
        <v>14</v>
      </c>
      <c r="L270" s="74">
        <f>+CNGPricing!$H$158</f>
        <v>2.42</v>
      </c>
      <c r="M270" s="61">
        <f t="shared" si="49"/>
        <v>17</v>
      </c>
      <c r="O270" s="3">
        <v>0</v>
      </c>
      <c r="P270" s="75">
        <f t="shared" si="55"/>
        <v>2.42</v>
      </c>
      <c r="Q270" s="76">
        <f t="shared" si="54"/>
        <v>41.14</v>
      </c>
      <c r="R270" s="216"/>
      <c r="S270" s="61">
        <f t="shared" si="56"/>
        <v>17</v>
      </c>
      <c r="T270" s="96">
        <f t="shared" si="57"/>
        <v>41.14</v>
      </c>
      <c r="U270" s="61">
        <f t="shared" si="58"/>
        <v>0</v>
      </c>
      <c r="V270" s="96">
        <f t="shared" si="59"/>
        <v>0</v>
      </c>
      <c r="W270" s="209">
        <f t="shared" si="60"/>
        <v>37257</v>
      </c>
      <c r="X270" s="115">
        <f t="shared" si="61"/>
        <v>0</v>
      </c>
      <c r="Y270" s="182" t="s">
        <v>377</v>
      </c>
    </row>
    <row r="271" spans="1:25" s="29" customFormat="1" ht="15" customHeight="1" thickBot="1" x14ac:dyDescent="0.25">
      <c r="A271" s="3" t="s">
        <v>141</v>
      </c>
      <c r="B271" s="6" t="s">
        <v>286</v>
      </c>
      <c r="C271" s="3">
        <v>3131001</v>
      </c>
      <c r="D271" s="192" t="s">
        <v>146</v>
      </c>
      <c r="E271" s="193">
        <v>37257</v>
      </c>
      <c r="F271" s="3"/>
      <c r="G271" s="3">
        <v>71375</v>
      </c>
      <c r="H271" s="3" t="s">
        <v>602</v>
      </c>
      <c r="I271" s="3" t="s">
        <v>324</v>
      </c>
      <c r="J271" s="61" t="str">
        <f t="shared" si="62"/>
        <v>GW</v>
      </c>
      <c r="K271" s="61">
        <f t="shared" si="48"/>
        <v>26</v>
      </c>
      <c r="L271" s="74">
        <f>+CNGPricing!$H$158</f>
        <v>2.42</v>
      </c>
      <c r="M271" s="61">
        <f t="shared" si="49"/>
        <v>33</v>
      </c>
      <c r="O271" s="3">
        <v>0</v>
      </c>
      <c r="P271" s="75">
        <f t="shared" si="55"/>
        <v>2.42</v>
      </c>
      <c r="Q271" s="76">
        <f t="shared" si="54"/>
        <v>79.86</v>
      </c>
      <c r="R271" s="216"/>
      <c r="S271" s="61">
        <f t="shared" si="56"/>
        <v>33</v>
      </c>
      <c r="T271" s="96">
        <f t="shared" si="57"/>
        <v>79.86</v>
      </c>
      <c r="U271" s="61">
        <f t="shared" si="58"/>
        <v>0</v>
      </c>
      <c r="V271" s="96">
        <f t="shared" si="59"/>
        <v>0</v>
      </c>
      <c r="W271" s="209">
        <f t="shared" si="60"/>
        <v>37257</v>
      </c>
      <c r="X271" s="115">
        <f t="shared" si="61"/>
        <v>0</v>
      </c>
      <c r="Y271" s="182" t="s">
        <v>377</v>
      </c>
    </row>
    <row r="272" spans="1:25" s="29" customFormat="1" ht="15" customHeight="1" thickBot="1" x14ac:dyDescent="0.25">
      <c r="A272" s="3" t="s">
        <v>141</v>
      </c>
      <c r="B272" s="6" t="s">
        <v>287</v>
      </c>
      <c r="C272" s="3">
        <v>3127401</v>
      </c>
      <c r="D272" s="192" t="s">
        <v>146</v>
      </c>
      <c r="E272" s="193">
        <v>37257</v>
      </c>
      <c r="F272" s="3"/>
      <c r="G272" s="3">
        <v>71375</v>
      </c>
      <c r="H272" s="3" t="s">
        <v>602</v>
      </c>
      <c r="I272" s="3" t="s">
        <v>324</v>
      </c>
      <c r="J272" s="61" t="str">
        <f t="shared" si="62"/>
        <v>GW</v>
      </c>
      <c r="K272" s="61">
        <f t="shared" si="48"/>
        <v>33</v>
      </c>
      <c r="L272" s="74">
        <f>+CNGPricing!$H$158</f>
        <v>2.42</v>
      </c>
      <c r="M272" s="61">
        <f t="shared" si="49"/>
        <v>48</v>
      </c>
      <c r="O272" s="3">
        <v>0</v>
      </c>
      <c r="P272" s="75">
        <f t="shared" si="55"/>
        <v>2.42</v>
      </c>
      <c r="Q272" s="76">
        <f t="shared" si="54"/>
        <v>116.16</v>
      </c>
      <c r="R272" s="216"/>
      <c r="S272" s="61">
        <f t="shared" si="56"/>
        <v>9</v>
      </c>
      <c r="T272" s="96">
        <f t="shared" si="57"/>
        <v>21.78</v>
      </c>
      <c r="U272" s="61">
        <f t="shared" si="58"/>
        <v>39</v>
      </c>
      <c r="V272" s="96">
        <f t="shared" si="59"/>
        <v>94.38</v>
      </c>
      <c r="W272" s="209">
        <f t="shared" si="60"/>
        <v>37257</v>
      </c>
      <c r="X272" s="115">
        <f t="shared" si="61"/>
        <v>0</v>
      </c>
      <c r="Y272" s="182" t="s">
        <v>377</v>
      </c>
    </row>
    <row r="273" spans="1:25" s="29" customFormat="1" ht="15" customHeight="1" thickBot="1" x14ac:dyDescent="0.25">
      <c r="A273" s="3" t="s">
        <v>141</v>
      </c>
      <c r="B273" s="6" t="s">
        <v>288</v>
      </c>
      <c r="C273" s="3">
        <v>3131101</v>
      </c>
      <c r="D273" s="192" t="s">
        <v>146</v>
      </c>
      <c r="E273" s="193">
        <v>37257</v>
      </c>
      <c r="F273" s="3"/>
      <c r="G273" s="3">
        <v>71375</v>
      </c>
      <c r="H273" s="3" t="s">
        <v>602</v>
      </c>
      <c r="I273" s="3" t="s">
        <v>324</v>
      </c>
      <c r="J273" s="61" t="str">
        <f t="shared" si="62"/>
        <v>GW</v>
      </c>
      <c r="K273" s="61">
        <f t="shared" si="48"/>
        <v>172</v>
      </c>
      <c r="L273" s="74">
        <f>+CNGPricing!$H$158</f>
        <v>2.42</v>
      </c>
      <c r="M273" s="61">
        <f t="shared" si="49"/>
        <v>227</v>
      </c>
      <c r="O273" s="3">
        <v>0</v>
      </c>
      <c r="P273" s="75">
        <f t="shared" si="55"/>
        <v>2.42</v>
      </c>
      <c r="Q273" s="76">
        <f t="shared" si="54"/>
        <v>549.34</v>
      </c>
      <c r="R273" s="216"/>
      <c r="S273" s="61">
        <f t="shared" si="56"/>
        <v>87</v>
      </c>
      <c r="T273" s="96">
        <f t="shared" si="57"/>
        <v>210.54</v>
      </c>
      <c r="U273" s="61">
        <f>IF(ISNA(VLOOKUP(B273,SplitVol,6,FALSE)),0,VLOOKUP(B273,SplitVol,6,FALSE))-1</f>
        <v>140</v>
      </c>
      <c r="V273" s="96">
        <f t="shared" si="59"/>
        <v>338.8</v>
      </c>
      <c r="W273" s="209">
        <f t="shared" si="60"/>
        <v>37257</v>
      </c>
      <c r="X273" s="115">
        <f t="shared" si="61"/>
        <v>0</v>
      </c>
      <c r="Y273" s="182" t="s">
        <v>377</v>
      </c>
    </row>
    <row r="274" spans="1:25" s="29" customFormat="1" ht="15" customHeight="1" thickBot="1" x14ac:dyDescent="0.25">
      <c r="A274" s="3" t="s">
        <v>629</v>
      </c>
      <c r="B274" s="6" t="s">
        <v>48</v>
      </c>
      <c r="C274" s="3" t="s">
        <v>629</v>
      </c>
      <c r="D274" s="192" t="s">
        <v>146</v>
      </c>
      <c r="E274" s="193">
        <v>37257</v>
      </c>
      <c r="F274" s="3"/>
      <c r="G274" s="3">
        <v>71375</v>
      </c>
      <c r="H274" s="3" t="s">
        <v>602</v>
      </c>
      <c r="I274" s="3" t="s">
        <v>324</v>
      </c>
      <c r="J274" s="61" t="str">
        <f t="shared" si="62"/>
        <v>na</v>
      </c>
      <c r="K274" s="61" t="str">
        <f t="shared" si="48"/>
        <v>na</v>
      </c>
      <c r="L274" s="74">
        <f>+CNGPricing!$H$158</f>
        <v>2.42</v>
      </c>
      <c r="M274" s="61">
        <f t="shared" si="49"/>
        <v>0</v>
      </c>
      <c r="O274" s="3">
        <v>0</v>
      </c>
      <c r="P274" s="75">
        <f t="shared" si="55"/>
        <v>2.42</v>
      </c>
      <c r="Q274" s="76">
        <f t="shared" si="54"/>
        <v>0</v>
      </c>
      <c r="R274" s="216"/>
      <c r="S274" s="61">
        <f t="shared" si="56"/>
        <v>0</v>
      </c>
      <c r="T274" s="96">
        <f t="shared" si="57"/>
        <v>0</v>
      </c>
      <c r="U274" s="61">
        <f t="shared" si="58"/>
        <v>0</v>
      </c>
      <c r="V274" s="96">
        <f t="shared" si="59"/>
        <v>0</v>
      </c>
      <c r="W274" s="209">
        <f t="shared" si="60"/>
        <v>37257</v>
      </c>
      <c r="X274" s="115">
        <f t="shared" si="61"/>
        <v>0</v>
      </c>
      <c r="Y274" s="182" t="s">
        <v>377</v>
      </c>
    </row>
    <row r="275" spans="1:25" s="29" customFormat="1" ht="15" customHeight="1" thickBot="1" x14ac:dyDescent="0.25">
      <c r="A275" s="3" t="s">
        <v>141</v>
      </c>
      <c r="B275" s="6" t="s">
        <v>289</v>
      </c>
      <c r="C275" s="3">
        <v>3327701</v>
      </c>
      <c r="D275" s="192" t="s">
        <v>146</v>
      </c>
      <c r="E275" s="193">
        <v>37257</v>
      </c>
      <c r="F275" s="3"/>
      <c r="G275" s="3">
        <v>71375</v>
      </c>
      <c r="H275" s="3" t="s">
        <v>602</v>
      </c>
      <c r="I275" s="3" t="s">
        <v>324</v>
      </c>
      <c r="J275" s="61" t="str">
        <f t="shared" si="62"/>
        <v>GW</v>
      </c>
      <c r="K275" s="61">
        <f t="shared" si="48"/>
        <v>56</v>
      </c>
      <c r="L275" s="74">
        <f>+CNGPricing!$H$158</f>
        <v>2.42</v>
      </c>
      <c r="M275" s="61">
        <f t="shared" si="49"/>
        <v>75</v>
      </c>
      <c r="O275" s="3">
        <v>0</v>
      </c>
      <c r="P275" s="75">
        <f t="shared" si="55"/>
        <v>2.42</v>
      </c>
      <c r="Q275" s="76">
        <f t="shared" si="54"/>
        <v>181.5</v>
      </c>
      <c r="R275" s="216"/>
      <c r="S275" s="61">
        <f t="shared" si="56"/>
        <v>17</v>
      </c>
      <c r="T275" s="96">
        <f t="shared" si="57"/>
        <v>41.14</v>
      </c>
      <c r="U275" s="61">
        <f>IF(ISNA(VLOOKUP(B275,SplitVol,6,FALSE)),0,VLOOKUP(B275,SplitVol,6,FALSE))+1</f>
        <v>58</v>
      </c>
      <c r="V275" s="96">
        <f t="shared" si="59"/>
        <v>140.35999999999999</v>
      </c>
      <c r="W275" s="209">
        <f t="shared" si="60"/>
        <v>37257</v>
      </c>
      <c r="X275" s="115">
        <f t="shared" si="61"/>
        <v>0</v>
      </c>
      <c r="Y275" s="182" t="s">
        <v>377</v>
      </c>
    </row>
    <row r="276" spans="1:25" s="29" customFormat="1" ht="15" customHeight="1" thickBot="1" x14ac:dyDescent="0.25">
      <c r="A276" s="3" t="s">
        <v>141</v>
      </c>
      <c r="B276" s="6" t="s">
        <v>149</v>
      </c>
      <c r="C276" s="3">
        <v>3330401</v>
      </c>
      <c r="D276" s="192" t="s">
        <v>51</v>
      </c>
      <c r="E276" s="193">
        <v>37257</v>
      </c>
      <c r="F276" s="3"/>
      <c r="G276" s="3">
        <v>71375</v>
      </c>
      <c r="H276" s="3" t="s">
        <v>602</v>
      </c>
      <c r="I276" s="3" t="s">
        <v>324</v>
      </c>
      <c r="J276" s="61" t="str">
        <f t="shared" si="62"/>
        <v>GW</v>
      </c>
      <c r="K276" s="61">
        <f t="shared" si="48"/>
        <v>679</v>
      </c>
      <c r="L276" s="74">
        <f>+CNGPricing!$H$158</f>
        <v>2.42</v>
      </c>
      <c r="M276" s="61">
        <f t="shared" si="49"/>
        <v>809</v>
      </c>
      <c r="O276" s="3">
        <v>0</v>
      </c>
      <c r="P276" s="75">
        <f t="shared" si="55"/>
        <v>2.42</v>
      </c>
      <c r="Q276" s="76">
        <f t="shared" si="54"/>
        <v>1957.78</v>
      </c>
      <c r="R276" s="216"/>
      <c r="S276" s="61">
        <f t="shared" si="56"/>
        <v>113</v>
      </c>
      <c r="T276" s="96">
        <f t="shared" si="57"/>
        <v>273.45999999999998</v>
      </c>
      <c r="U276" s="61">
        <f t="shared" si="58"/>
        <v>696</v>
      </c>
      <c r="V276" s="96">
        <f t="shared" si="59"/>
        <v>1684.32</v>
      </c>
      <c r="W276" s="209">
        <f t="shared" si="60"/>
        <v>37257</v>
      </c>
      <c r="X276" s="115">
        <f t="shared" si="61"/>
        <v>0</v>
      </c>
      <c r="Y276" s="182" t="s">
        <v>377</v>
      </c>
    </row>
    <row r="277" spans="1:25" ht="15" customHeight="1" thickBot="1" x14ac:dyDescent="0.25">
      <c r="A277" s="3" t="s">
        <v>141</v>
      </c>
      <c r="B277" s="83" t="s">
        <v>147</v>
      </c>
      <c r="C277" s="3">
        <v>3225601</v>
      </c>
      <c r="D277" s="138" t="s">
        <v>148</v>
      </c>
      <c r="E277" s="191">
        <v>37228</v>
      </c>
      <c r="F277" s="66"/>
      <c r="G277" s="66">
        <v>73629</v>
      </c>
      <c r="H277" s="66" t="s">
        <v>52</v>
      </c>
      <c r="I277" s="66" t="s">
        <v>573</v>
      </c>
      <c r="J277" s="109" t="str">
        <f t="shared" si="62"/>
        <v>GW</v>
      </c>
      <c r="K277" s="61">
        <f t="shared" si="48"/>
        <v>5</v>
      </c>
      <c r="L277" s="103">
        <f>+CNGPricing!$H$169</f>
        <v>2.42</v>
      </c>
      <c r="M277" s="61">
        <f t="shared" si="49"/>
        <v>9</v>
      </c>
      <c r="O277" s="155">
        <v>0</v>
      </c>
      <c r="P277" s="63">
        <f t="shared" si="55"/>
        <v>2.42</v>
      </c>
      <c r="Q277" s="64">
        <f t="shared" si="54"/>
        <v>21.78</v>
      </c>
      <c r="R277" s="216"/>
      <c r="S277" s="61">
        <f t="shared" si="56"/>
        <v>0</v>
      </c>
      <c r="T277" s="96">
        <f t="shared" si="57"/>
        <v>0</v>
      </c>
      <c r="U277" s="61">
        <f t="shared" si="58"/>
        <v>9</v>
      </c>
      <c r="V277" s="96">
        <f t="shared" si="59"/>
        <v>21.78</v>
      </c>
      <c r="W277" s="209">
        <f t="shared" si="60"/>
        <v>37228</v>
      </c>
      <c r="X277" s="115">
        <f t="shared" si="61"/>
        <v>0</v>
      </c>
    </row>
    <row r="278" spans="1:25" ht="15" customHeight="1" thickBot="1" x14ac:dyDescent="0.25">
      <c r="A278" s="3" t="s">
        <v>141</v>
      </c>
      <c r="B278" s="83" t="s">
        <v>201</v>
      </c>
      <c r="C278" s="3">
        <v>3250501</v>
      </c>
      <c r="D278" s="138" t="s">
        <v>148</v>
      </c>
      <c r="E278" s="191">
        <v>37228</v>
      </c>
      <c r="F278" s="66"/>
      <c r="G278" s="66">
        <v>73629</v>
      </c>
      <c r="H278" s="66" t="s">
        <v>52</v>
      </c>
      <c r="I278" s="66" t="s">
        <v>573</v>
      </c>
      <c r="J278" s="109" t="str">
        <f t="shared" si="62"/>
        <v>GW</v>
      </c>
      <c r="K278" s="61">
        <f t="shared" si="48"/>
        <v>84</v>
      </c>
      <c r="L278" s="103">
        <f>+CNGPricing!$H$169</f>
        <v>2.42</v>
      </c>
      <c r="M278" s="61">
        <f t="shared" si="49"/>
        <v>113</v>
      </c>
      <c r="O278" s="155">
        <v>0</v>
      </c>
      <c r="P278" s="63">
        <f t="shared" si="55"/>
        <v>2.42</v>
      </c>
      <c r="Q278" s="64">
        <f t="shared" si="54"/>
        <v>273.45999999999998</v>
      </c>
      <c r="R278" s="216"/>
      <c r="S278" s="61">
        <f t="shared" si="56"/>
        <v>23</v>
      </c>
      <c r="T278" s="96">
        <f t="shared" si="57"/>
        <v>55.66</v>
      </c>
      <c r="U278" s="61">
        <f t="shared" si="58"/>
        <v>90</v>
      </c>
      <c r="V278" s="96">
        <f t="shared" si="59"/>
        <v>217.79999999999998</v>
      </c>
      <c r="W278" s="209">
        <f t="shared" si="60"/>
        <v>37228</v>
      </c>
      <c r="X278" s="115">
        <f t="shared" si="61"/>
        <v>0</v>
      </c>
    </row>
    <row r="279" spans="1:25" ht="15" customHeight="1" thickBot="1" x14ac:dyDescent="0.25">
      <c r="A279" s="3" t="s">
        <v>141</v>
      </c>
      <c r="B279" s="83" t="s">
        <v>234</v>
      </c>
      <c r="C279" s="3">
        <v>3231101</v>
      </c>
      <c r="D279" s="138" t="s">
        <v>148</v>
      </c>
      <c r="E279" s="191">
        <v>37228</v>
      </c>
      <c r="F279" s="66"/>
      <c r="G279" s="66">
        <v>73629</v>
      </c>
      <c r="H279" s="66" t="s">
        <v>52</v>
      </c>
      <c r="I279" s="66" t="s">
        <v>573</v>
      </c>
      <c r="J279" s="109" t="str">
        <f t="shared" si="62"/>
        <v>GW</v>
      </c>
      <c r="K279" s="61">
        <f t="shared" si="48"/>
        <v>320</v>
      </c>
      <c r="L279" s="103">
        <f>+CNGPricing!$H$169</f>
        <v>2.42</v>
      </c>
      <c r="M279" s="61">
        <f t="shared" si="49"/>
        <v>401</v>
      </c>
      <c r="O279" s="155">
        <v>0</v>
      </c>
      <c r="P279" s="63">
        <f t="shared" si="55"/>
        <v>2.42</v>
      </c>
      <c r="Q279" s="64">
        <f t="shared" si="54"/>
        <v>970.42</v>
      </c>
      <c r="R279" s="216"/>
      <c r="S279" s="61">
        <f t="shared" si="56"/>
        <v>66</v>
      </c>
      <c r="T279" s="96">
        <f t="shared" si="57"/>
        <v>159.72</v>
      </c>
      <c r="U279" s="61">
        <f t="shared" si="58"/>
        <v>335</v>
      </c>
      <c r="V279" s="96">
        <f t="shared" si="59"/>
        <v>810.69999999999993</v>
      </c>
      <c r="W279" s="209">
        <f t="shared" si="60"/>
        <v>37228</v>
      </c>
      <c r="X279" s="115">
        <f t="shared" si="61"/>
        <v>0</v>
      </c>
    </row>
    <row r="280" spans="1:25" ht="15" customHeight="1" thickBot="1" x14ac:dyDescent="0.25">
      <c r="A280" s="3" t="s">
        <v>141</v>
      </c>
      <c r="B280" s="83" t="s">
        <v>283</v>
      </c>
      <c r="C280" s="3">
        <v>3325801</v>
      </c>
      <c r="D280" s="192" t="s">
        <v>53</v>
      </c>
      <c r="E280" s="193">
        <v>37257</v>
      </c>
      <c r="F280" s="3"/>
      <c r="G280" s="1">
        <v>73632</v>
      </c>
      <c r="H280" s="1" t="s">
        <v>54</v>
      </c>
      <c r="I280" s="1" t="s">
        <v>323</v>
      </c>
      <c r="J280" s="61" t="str">
        <f t="shared" si="62"/>
        <v>GW</v>
      </c>
      <c r="K280" s="61">
        <f t="shared" si="48"/>
        <v>207</v>
      </c>
      <c r="L280" s="65">
        <f t="shared" ref="L280:L291" si="63">L$2*99%</f>
        <v>2.3957999999999999</v>
      </c>
      <c r="M280" s="61">
        <f t="shared" si="49"/>
        <v>265</v>
      </c>
      <c r="O280" s="155">
        <v>0</v>
      </c>
      <c r="P280" s="63">
        <f t="shared" si="55"/>
        <v>2.3957999999999999</v>
      </c>
      <c r="Q280" s="64">
        <f t="shared" si="54"/>
        <v>634.88699999999994</v>
      </c>
      <c r="R280" s="216"/>
      <c r="S280" s="61">
        <f t="shared" si="56"/>
        <v>16</v>
      </c>
      <c r="T280" s="96">
        <f t="shared" si="57"/>
        <v>38.332799999999999</v>
      </c>
      <c r="U280" s="61">
        <f>IF(ISNA(VLOOKUP(B280,SplitVol,6,FALSE)),0,VLOOKUP(B280,SplitVol,6,FALSE))+1</f>
        <v>249</v>
      </c>
      <c r="V280" s="96">
        <f t="shared" si="59"/>
        <v>596.55420000000004</v>
      </c>
      <c r="W280" s="209">
        <f t="shared" si="60"/>
        <v>37257</v>
      </c>
      <c r="X280" s="115">
        <f t="shared" si="61"/>
        <v>0</v>
      </c>
    </row>
    <row r="281" spans="1:25" ht="15" customHeight="1" thickBot="1" x14ac:dyDescent="0.25">
      <c r="A281" s="1" t="s">
        <v>386</v>
      </c>
      <c r="B281" s="1" t="s">
        <v>397</v>
      </c>
      <c r="C281" s="1">
        <v>3425601</v>
      </c>
      <c r="D281" s="192" t="s">
        <v>55</v>
      </c>
      <c r="E281" s="193">
        <v>37257</v>
      </c>
      <c r="F281" s="3"/>
      <c r="G281" s="1">
        <v>73632</v>
      </c>
      <c r="H281" s="1" t="s">
        <v>673</v>
      </c>
      <c r="I281" s="1" t="s">
        <v>323</v>
      </c>
      <c r="J281" s="61" t="str">
        <f t="shared" si="62"/>
        <v>GW</v>
      </c>
      <c r="K281" s="61">
        <f t="shared" si="48"/>
        <v>250</v>
      </c>
      <c r="L281" s="65">
        <f t="shared" si="63"/>
        <v>2.3957999999999999</v>
      </c>
      <c r="M281" s="61">
        <f t="shared" si="49"/>
        <v>347</v>
      </c>
      <c r="O281" s="155">
        <v>0</v>
      </c>
      <c r="P281" s="63">
        <f t="shared" si="55"/>
        <v>2.3957999999999999</v>
      </c>
      <c r="Q281" s="64">
        <f t="shared" si="54"/>
        <v>831.34259999999995</v>
      </c>
      <c r="R281" s="216"/>
      <c r="S281" s="61">
        <f t="shared" si="56"/>
        <v>12</v>
      </c>
      <c r="T281" s="96">
        <f t="shared" si="57"/>
        <v>28.749600000000001</v>
      </c>
      <c r="U281" s="61">
        <f t="shared" si="58"/>
        <v>335</v>
      </c>
      <c r="V281" s="96">
        <f t="shared" si="59"/>
        <v>802.59299999999996</v>
      </c>
      <c r="W281" s="209">
        <f t="shared" si="60"/>
        <v>37257</v>
      </c>
      <c r="X281" s="115">
        <f t="shared" si="61"/>
        <v>0</v>
      </c>
    </row>
    <row r="282" spans="1:25" ht="15" customHeight="1" thickBot="1" x14ac:dyDescent="0.25">
      <c r="A282" s="1" t="s">
        <v>386</v>
      </c>
      <c r="B282" s="1" t="s">
        <v>357</v>
      </c>
      <c r="C282" s="1">
        <v>3587701</v>
      </c>
      <c r="D282" s="192" t="s">
        <v>55</v>
      </c>
      <c r="E282" s="193">
        <v>37257</v>
      </c>
      <c r="F282" s="3"/>
      <c r="G282" s="1">
        <v>73632</v>
      </c>
      <c r="H282" s="1" t="s">
        <v>673</v>
      </c>
      <c r="I282" s="1" t="s">
        <v>323</v>
      </c>
      <c r="J282" s="61" t="str">
        <f t="shared" si="62"/>
        <v>GW</v>
      </c>
      <c r="K282" s="61">
        <f t="shared" ref="K282:K318" si="64">IF(ISNA(VLOOKUP(B282,cngdata,13,FALSE)),"na",VLOOKUP(B282,cngdata,13,FALSE))</f>
        <v>132</v>
      </c>
      <c r="L282" s="65">
        <f t="shared" si="63"/>
        <v>2.3957999999999999</v>
      </c>
      <c r="M282" s="61">
        <f t="shared" ref="M282:M288" si="65">IF(ISNA(VLOOKUP(B282,cngdata,14,FALSE)),0,VLOOKUP(B282,cngdata,14,FALSE))</f>
        <v>163</v>
      </c>
      <c r="O282" s="155">
        <v>0</v>
      </c>
      <c r="P282" s="63">
        <f t="shared" si="55"/>
        <v>2.3957999999999999</v>
      </c>
      <c r="Q282" s="64">
        <f t="shared" si="54"/>
        <v>390.5154</v>
      </c>
      <c r="R282" s="216"/>
      <c r="S282" s="61">
        <f t="shared" si="56"/>
        <v>9</v>
      </c>
      <c r="T282" s="96">
        <f t="shared" si="57"/>
        <v>21.562200000000001</v>
      </c>
      <c r="U282" s="61">
        <f t="shared" si="58"/>
        <v>154</v>
      </c>
      <c r="V282" s="96">
        <f t="shared" si="59"/>
        <v>368.95319999999998</v>
      </c>
      <c r="W282" s="209">
        <f t="shared" si="60"/>
        <v>37257</v>
      </c>
      <c r="X282" s="115">
        <f t="shared" si="61"/>
        <v>0</v>
      </c>
    </row>
    <row r="283" spans="1:25" ht="15" customHeight="1" thickBot="1" x14ac:dyDescent="0.25">
      <c r="A283" s="1" t="s">
        <v>386</v>
      </c>
      <c r="B283" s="1" t="s">
        <v>398</v>
      </c>
      <c r="C283" s="1">
        <v>3241501</v>
      </c>
      <c r="D283" s="192" t="s">
        <v>55</v>
      </c>
      <c r="E283" s="193">
        <v>37257</v>
      </c>
      <c r="F283" s="3"/>
      <c r="G283" s="1">
        <v>73632</v>
      </c>
      <c r="H283" s="1" t="s">
        <v>673</v>
      </c>
      <c r="I283" s="1" t="s">
        <v>323</v>
      </c>
      <c r="J283" s="61" t="str">
        <f t="shared" si="62"/>
        <v>GW</v>
      </c>
      <c r="K283" s="61">
        <f t="shared" si="64"/>
        <v>310</v>
      </c>
      <c r="L283" s="65">
        <f t="shared" si="63"/>
        <v>2.3957999999999999</v>
      </c>
      <c r="M283" s="61">
        <f t="shared" si="65"/>
        <v>370</v>
      </c>
      <c r="O283" s="155">
        <v>0</v>
      </c>
      <c r="P283" s="63">
        <f t="shared" si="55"/>
        <v>2.3957999999999999</v>
      </c>
      <c r="Q283" s="64">
        <f t="shared" si="54"/>
        <v>886.44600000000003</v>
      </c>
      <c r="R283" s="216"/>
      <c r="S283" s="61">
        <f t="shared" si="56"/>
        <v>24</v>
      </c>
      <c r="T283" s="96">
        <f t="shared" si="57"/>
        <v>57.499200000000002</v>
      </c>
      <c r="U283" s="61">
        <f>IF(ISNA(VLOOKUP(B283,SplitVol,6,FALSE)),0,VLOOKUP(B283,SplitVol,6,FALSE))+1</f>
        <v>346</v>
      </c>
      <c r="V283" s="96">
        <f t="shared" si="59"/>
        <v>828.94679999999994</v>
      </c>
      <c r="W283" s="209">
        <f t="shared" si="60"/>
        <v>37257</v>
      </c>
      <c r="X283" s="115">
        <f t="shared" si="61"/>
        <v>0</v>
      </c>
    </row>
    <row r="284" spans="1:25" ht="15" customHeight="1" thickBot="1" x14ac:dyDescent="0.25">
      <c r="A284" s="1" t="s">
        <v>386</v>
      </c>
      <c r="B284" s="1" t="s">
        <v>399</v>
      </c>
      <c r="C284" s="1">
        <v>3533901</v>
      </c>
      <c r="D284" s="192" t="s">
        <v>55</v>
      </c>
      <c r="E284" s="193">
        <v>37257</v>
      </c>
      <c r="F284" s="3"/>
      <c r="G284" s="1">
        <v>73632</v>
      </c>
      <c r="H284" s="1" t="s">
        <v>673</v>
      </c>
      <c r="I284" s="1" t="s">
        <v>323</v>
      </c>
      <c r="J284" s="61" t="str">
        <f t="shared" si="62"/>
        <v>GW</v>
      </c>
      <c r="K284" s="61">
        <f t="shared" si="64"/>
        <v>142</v>
      </c>
      <c r="L284" s="65">
        <f t="shared" si="63"/>
        <v>2.3957999999999999</v>
      </c>
      <c r="M284" s="61">
        <f t="shared" si="65"/>
        <v>180</v>
      </c>
      <c r="O284" s="155">
        <v>0</v>
      </c>
      <c r="P284" s="63">
        <f t="shared" si="55"/>
        <v>2.3957999999999999</v>
      </c>
      <c r="Q284" s="64">
        <f t="shared" si="54"/>
        <v>431.24399999999997</v>
      </c>
      <c r="R284" s="216"/>
      <c r="S284" s="61">
        <f t="shared" si="56"/>
        <v>14</v>
      </c>
      <c r="T284" s="96">
        <f t="shared" si="57"/>
        <v>33.541199999999996</v>
      </c>
      <c r="U284" s="61">
        <f>IF(ISNA(VLOOKUP(B284,SplitVol,6,FALSE)),0,VLOOKUP(B284,SplitVol,6,FALSE))-1</f>
        <v>166</v>
      </c>
      <c r="V284" s="96">
        <f t="shared" si="59"/>
        <v>397.70279999999997</v>
      </c>
      <c r="W284" s="209">
        <f t="shared" si="60"/>
        <v>37257</v>
      </c>
      <c r="X284" s="115">
        <f t="shared" si="61"/>
        <v>0</v>
      </c>
    </row>
    <row r="285" spans="1:25" ht="15" customHeight="1" thickBot="1" x14ac:dyDescent="0.25">
      <c r="A285" s="1" t="s">
        <v>386</v>
      </c>
      <c r="B285" s="1" t="s">
        <v>400</v>
      </c>
      <c r="C285" s="1">
        <v>3415201</v>
      </c>
      <c r="D285" s="192" t="s">
        <v>55</v>
      </c>
      <c r="E285" s="193">
        <v>37257</v>
      </c>
      <c r="F285" s="3"/>
      <c r="G285" s="1">
        <v>73632</v>
      </c>
      <c r="H285" s="1" t="s">
        <v>673</v>
      </c>
      <c r="I285" s="1" t="s">
        <v>323</v>
      </c>
      <c r="J285" s="61" t="str">
        <f t="shared" si="62"/>
        <v>GW</v>
      </c>
      <c r="K285" s="61">
        <f t="shared" si="64"/>
        <v>0</v>
      </c>
      <c r="L285" s="65">
        <f t="shared" si="63"/>
        <v>2.3957999999999999</v>
      </c>
      <c r="M285" s="61">
        <f t="shared" si="65"/>
        <v>0</v>
      </c>
      <c r="O285" s="155">
        <v>0</v>
      </c>
      <c r="P285" s="63">
        <f t="shared" si="55"/>
        <v>2.3957999999999999</v>
      </c>
      <c r="Q285" s="64">
        <f t="shared" si="54"/>
        <v>0</v>
      </c>
      <c r="R285" s="216"/>
      <c r="S285" s="61">
        <f t="shared" si="56"/>
        <v>0</v>
      </c>
      <c r="T285" s="96">
        <f t="shared" si="57"/>
        <v>0</v>
      </c>
      <c r="U285" s="61">
        <f t="shared" si="58"/>
        <v>0</v>
      </c>
      <c r="V285" s="96">
        <f t="shared" si="59"/>
        <v>0</v>
      </c>
      <c r="W285" s="209">
        <f t="shared" si="60"/>
        <v>37257</v>
      </c>
      <c r="X285" s="115">
        <f t="shared" si="61"/>
        <v>0</v>
      </c>
    </row>
    <row r="286" spans="1:25" ht="15" customHeight="1" thickBot="1" x14ac:dyDescent="0.25">
      <c r="A286" s="1" t="s">
        <v>386</v>
      </c>
      <c r="B286" s="1" t="s">
        <v>401</v>
      </c>
      <c r="C286" s="1">
        <v>3133001</v>
      </c>
      <c r="D286" s="192" t="s">
        <v>55</v>
      </c>
      <c r="E286" s="193">
        <v>37257</v>
      </c>
      <c r="F286" s="3"/>
      <c r="G286" s="1">
        <v>73632</v>
      </c>
      <c r="H286" s="1" t="s">
        <v>673</v>
      </c>
      <c r="I286" s="1" t="s">
        <v>323</v>
      </c>
      <c r="J286" s="61" t="str">
        <f t="shared" ref="J286:J291" si="66">IF(ISNA(VLOOKUP(B286,cngdata,7,FALSE)),"na",VLOOKUP(B286,cngdata,7,FALSE))</f>
        <v>GW</v>
      </c>
      <c r="K286" s="61">
        <f t="shared" ref="K286:K291" si="67">IF(ISNA(VLOOKUP(B286,cngdata,13,FALSE)),"na",VLOOKUP(B286,cngdata,13,FALSE))</f>
        <v>160</v>
      </c>
      <c r="L286" s="65">
        <f t="shared" si="63"/>
        <v>2.3957999999999999</v>
      </c>
      <c r="M286" s="61">
        <f t="shared" si="65"/>
        <v>219</v>
      </c>
      <c r="O286" s="155">
        <v>0</v>
      </c>
      <c r="P286" s="63">
        <f t="shared" si="55"/>
        <v>2.3957999999999999</v>
      </c>
      <c r="Q286" s="64">
        <f t="shared" si="54"/>
        <v>524.68020000000001</v>
      </c>
      <c r="R286" s="216"/>
      <c r="S286" s="61">
        <f t="shared" si="56"/>
        <v>12</v>
      </c>
      <c r="T286" s="96">
        <f t="shared" si="57"/>
        <v>28.749600000000001</v>
      </c>
      <c r="U286" s="61">
        <f t="shared" si="58"/>
        <v>207</v>
      </c>
      <c r="V286" s="96">
        <f t="shared" si="59"/>
        <v>495.93059999999997</v>
      </c>
      <c r="W286" s="209">
        <f t="shared" si="60"/>
        <v>37257</v>
      </c>
      <c r="X286" s="115">
        <f t="shared" si="61"/>
        <v>0</v>
      </c>
    </row>
    <row r="287" spans="1:25" ht="15" customHeight="1" thickBot="1" x14ac:dyDescent="0.25">
      <c r="A287" s="3" t="s">
        <v>141</v>
      </c>
      <c r="B287" s="83" t="s">
        <v>273</v>
      </c>
      <c r="C287" s="3">
        <v>3130301</v>
      </c>
      <c r="D287" s="192" t="s">
        <v>55</v>
      </c>
      <c r="E287" s="193">
        <v>37257</v>
      </c>
      <c r="F287" s="3"/>
      <c r="G287" s="1">
        <v>73632</v>
      </c>
      <c r="H287" s="1" t="s">
        <v>673</v>
      </c>
      <c r="I287" s="1" t="s">
        <v>323</v>
      </c>
      <c r="J287" s="61" t="str">
        <f t="shared" si="66"/>
        <v>GW</v>
      </c>
      <c r="K287" s="61">
        <f t="shared" si="67"/>
        <v>435</v>
      </c>
      <c r="L287" s="65">
        <f t="shared" si="63"/>
        <v>2.3957999999999999</v>
      </c>
      <c r="M287" s="61">
        <f t="shared" si="65"/>
        <v>553</v>
      </c>
      <c r="O287" s="155">
        <v>0</v>
      </c>
      <c r="P287" s="63">
        <f t="shared" si="55"/>
        <v>2.3957999999999999</v>
      </c>
      <c r="Q287" s="64">
        <f t="shared" si="54"/>
        <v>1324.8773999999999</v>
      </c>
      <c r="R287" s="216"/>
      <c r="S287" s="61">
        <f t="shared" si="56"/>
        <v>35</v>
      </c>
      <c r="T287" s="96">
        <f t="shared" si="57"/>
        <v>83.852999999999994</v>
      </c>
      <c r="U287" s="61">
        <f t="shared" si="58"/>
        <v>518</v>
      </c>
      <c r="V287" s="96">
        <f t="shared" si="59"/>
        <v>1241.0244</v>
      </c>
      <c r="W287" s="209">
        <f t="shared" si="60"/>
        <v>37257</v>
      </c>
      <c r="X287" s="115">
        <f t="shared" si="61"/>
        <v>0</v>
      </c>
    </row>
    <row r="288" spans="1:25" ht="15" customHeight="1" thickBot="1" x14ac:dyDescent="0.25">
      <c r="A288" s="3" t="s">
        <v>296</v>
      </c>
      <c r="B288" s="83" t="s">
        <v>307</v>
      </c>
      <c r="C288" s="3">
        <v>3394401</v>
      </c>
      <c r="D288" s="192" t="s">
        <v>55</v>
      </c>
      <c r="E288" s="193">
        <v>37257</v>
      </c>
      <c r="F288" s="3"/>
      <c r="G288" s="1">
        <v>73632</v>
      </c>
      <c r="H288" s="1" t="s">
        <v>673</v>
      </c>
      <c r="I288" s="1" t="s">
        <v>323</v>
      </c>
      <c r="J288" s="61" t="str">
        <f t="shared" si="66"/>
        <v>TW</v>
      </c>
      <c r="K288" s="61">
        <f t="shared" si="67"/>
        <v>307</v>
      </c>
      <c r="L288" s="65">
        <f t="shared" si="63"/>
        <v>2.3957999999999999</v>
      </c>
      <c r="M288" s="61">
        <f t="shared" si="65"/>
        <v>437</v>
      </c>
      <c r="O288" s="155">
        <v>0</v>
      </c>
      <c r="P288" s="63">
        <f t="shared" si="55"/>
        <v>2.3957999999999999</v>
      </c>
      <c r="Q288" s="64">
        <f t="shared" ref="Q288:Q319" si="68">M288*P288</f>
        <v>1046.9646</v>
      </c>
      <c r="R288" s="216"/>
      <c r="S288" s="61">
        <f t="shared" si="56"/>
        <v>29</v>
      </c>
      <c r="T288" s="96">
        <f t="shared" si="57"/>
        <v>69.478200000000001</v>
      </c>
      <c r="U288" s="61">
        <f t="shared" si="58"/>
        <v>408</v>
      </c>
      <c r="V288" s="96">
        <f t="shared" si="59"/>
        <v>977.4864</v>
      </c>
      <c r="W288" s="209">
        <f t="shared" si="60"/>
        <v>37257</v>
      </c>
      <c r="X288" s="115">
        <f t="shared" si="61"/>
        <v>0</v>
      </c>
    </row>
    <row r="289" spans="1:24" ht="15" customHeight="1" thickBot="1" x14ac:dyDescent="0.25">
      <c r="A289" s="3" t="s">
        <v>141</v>
      </c>
      <c r="B289" s="83" t="s">
        <v>276</v>
      </c>
      <c r="C289" s="3">
        <v>4243601</v>
      </c>
      <c r="D289" s="192" t="s">
        <v>55</v>
      </c>
      <c r="E289" s="193">
        <v>37257</v>
      </c>
      <c r="F289" s="3"/>
      <c r="G289" s="1">
        <v>73632</v>
      </c>
      <c r="H289" s="1" t="s">
        <v>673</v>
      </c>
      <c r="I289" s="1" t="s">
        <v>323</v>
      </c>
      <c r="J289" s="61" t="str">
        <f t="shared" si="66"/>
        <v>GW</v>
      </c>
      <c r="K289" s="61">
        <f t="shared" si="67"/>
        <v>213</v>
      </c>
      <c r="L289" s="65">
        <f t="shared" si="63"/>
        <v>2.3957999999999999</v>
      </c>
      <c r="M289" s="61">
        <f>IF(ISNA(VLOOKUP(B289,cngdata,14,FALSE)),0,VLOOKUP(B289,cngdata,14,FALSE))</f>
        <v>264</v>
      </c>
      <c r="O289" s="155">
        <v>0</v>
      </c>
      <c r="P289" s="63">
        <f t="shared" si="55"/>
        <v>2.3957999999999999</v>
      </c>
      <c r="Q289" s="64">
        <f t="shared" si="68"/>
        <v>632.49119999999994</v>
      </c>
      <c r="R289" s="216"/>
      <c r="S289" s="61">
        <f t="shared" si="56"/>
        <v>21</v>
      </c>
      <c r="T289" s="96">
        <f t="shared" si="57"/>
        <v>50.311799999999998</v>
      </c>
      <c r="U289" s="61">
        <f t="shared" si="58"/>
        <v>243</v>
      </c>
      <c r="V289" s="96">
        <f t="shared" si="59"/>
        <v>582.17939999999999</v>
      </c>
      <c r="W289" s="209">
        <f t="shared" si="60"/>
        <v>37257</v>
      </c>
      <c r="X289" s="115">
        <f t="shared" si="61"/>
        <v>0</v>
      </c>
    </row>
    <row r="290" spans="1:24" ht="15" customHeight="1" thickBot="1" x14ac:dyDescent="0.25">
      <c r="A290" s="24" t="s">
        <v>113</v>
      </c>
      <c r="B290" s="10" t="s">
        <v>120</v>
      </c>
      <c r="C290" s="24">
        <v>4156001</v>
      </c>
      <c r="D290" s="192" t="s">
        <v>55</v>
      </c>
      <c r="E290" s="193">
        <v>37257</v>
      </c>
      <c r="F290" s="3"/>
      <c r="G290" s="1">
        <v>73632</v>
      </c>
      <c r="H290" s="1" t="s">
        <v>673</v>
      </c>
      <c r="I290" s="1" t="s">
        <v>323</v>
      </c>
      <c r="J290" s="61" t="str">
        <f>IF(ISNA(VLOOKUP(B290,cngdata,7,FALSE)),"na",VLOOKUP(B290,cngdata,7,FALSE))</f>
        <v>GD</v>
      </c>
      <c r="K290" s="61">
        <f>IF(ISNA(VLOOKUP(B290,cngdata,13,FALSE)),"na",VLOOKUP(B290,cngdata,13,FALSE))</f>
        <v>0</v>
      </c>
      <c r="L290" s="65">
        <f t="shared" si="63"/>
        <v>2.3957999999999999</v>
      </c>
      <c r="M290" s="61">
        <f>IF(ISNA(VLOOKUP(B290,cngdata,14,FALSE)),0,VLOOKUP(B290,cngdata,14,FALSE))</f>
        <v>0</v>
      </c>
      <c r="O290" s="155">
        <v>0</v>
      </c>
      <c r="P290" s="63">
        <f t="shared" si="55"/>
        <v>2.3957999999999999</v>
      </c>
      <c r="Q290" s="64">
        <f t="shared" si="68"/>
        <v>0</v>
      </c>
      <c r="R290" s="216"/>
      <c r="S290" s="61">
        <f t="shared" si="56"/>
        <v>0</v>
      </c>
      <c r="T290" s="96">
        <f t="shared" si="57"/>
        <v>0</v>
      </c>
      <c r="U290" s="61">
        <f t="shared" si="58"/>
        <v>0</v>
      </c>
      <c r="V290" s="96">
        <f t="shared" si="59"/>
        <v>0</v>
      </c>
      <c r="W290" s="209">
        <f t="shared" si="60"/>
        <v>37257</v>
      </c>
      <c r="X290" s="115">
        <f t="shared" si="61"/>
        <v>0</v>
      </c>
    </row>
    <row r="291" spans="1:24" ht="15" customHeight="1" thickBot="1" x14ac:dyDescent="0.25">
      <c r="A291" s="1" t="s">
        <v>386</v>
      </c>
      <c r="B291" s="1" t="s">
        <v>402</v>
      </c>
      <c r="C291" s="1">
        <v>3410301</v>
      </c>
      <c r="D291" s="192" t="s">
        <v>55</v>
      </c>
      <c r="E291" s="193">
        <v>37257</v>
      </c>
      <c r="F291" s="3"/>
      <c r="G291" s="1">
        <v>73632</v>
      </c>
      <c r="H291" s="1" t="s">
        <v>673</v>
      </c>
      <c r="I291" s="1" t="s">
        <v>323</v>
      </c>
      <c r="J291" s="61" t="str">
        <f t="shared" si="66"/>
        <v>GW</v>
      </c>
      <c r="K291" s="61">
        <f t="shared" si="67"/>
        <v>58</v>
      </c>
      <c r="L291" s="65">
        <f t="shared" si="63"/>
        <v>2.3957999999999999</v>
      </c>
      <c r="M291" s="61">
        <f>IF(ISNA(VLOOKUP(B291,cngdata,14,FALSE)),0,VLOOKUP(B291,cngdata,14,FALSE))</f>
        <v>108</v>
      </c>
      <c r="O291" s="155">
        <v>0</v>
      </c>
      <c r="P291" s="63">
        <f t="shared" si="55"/>
        <v>2.3957999999999999</v>
      </c>
      <c r="Q291" s="64">
        <f t="shared" si="68"/>
        <v>258.74639999999999</v>
      </c>
      <c r="R291" s="216"/>
      <c r="S291" s="61">
        <f t="shared" si="56"/>
        <v>7</v>
      </c>
      <c r="T291" s="96">
        <f t="shared" si="57"/>
        <v>16.770599999999998</v>
      </c>
      <c r="U291" s="61">
        <f t="shared" si="58"/>
        <v>101</v>
      </c>
      <c r="V291" s="96">
        <f t="shared" si="59"/>
        <v>241.97579999999999</v>
      </c>
      <c r="W291" s="209">
        <f t="shared" si="60"/>
        <v>37257</v>
      </c>
      <c r="X291" s="115">
        <f t="shared" si="61"/>
        <v>0</v>
      </c>
    </row>
    <row r="292" spans="1:24" ht="15" customHeight="1" thickBot="1" x14ac:dyDescent="0.25">
      <c r="A292" s="3" t="s">
        <v>141</v>
      </c>
      <c r="B292" s="83" t="s">
        <v>251</v>
      </c>
      <c r="C292" s="3">
        <v>3422001</v>
      </c>
      <c r="D292" s="3" t="s">
        <v>252</v>
      </c>
      <c r="E292" s="189" t="s">
        <v>317</v>
      </c>
      <c r="F292" s="3"/>
      <c r="G292" s="1">
        <v>74123</v>
      </c>
      <c r="H292" s="1" t="s">
        <v>56</v>
      </c>
      <c r="I292" s="1" t="s">
        <v>600</v>
      </c>
      <c r="J292" s="61" t="str">
        <f t="shared" si="62"/>
        <v>GW</v>
      </c>
      <c r="K292" s="61">
        <f t="shared" si="64"/>
        <v>0</v>
      </c>
      <c r="L292" s="65">
        <f>L$2*96%</f>
        <v>2.3231999999999999</v>
      </c>
      <c r="M292" s="61">
        <f t="shared" ref="M292:M318" si="69">IF(ISNA(VLOOKUP(B292,cngdata,14,FALSE)),0,VLOOKUP(B292,cngdata,14,FALSE))</f>
        <v>0</v>
      </c>
      <c r="O292" s="155">
        <v>0</v>
      </c>
      <c r="P292" s="63">
        <f t="shared" si="55"/>
        <v>2.3231999999999999</v>
      </c>
      <c r="Q292" s="64">
        <f t="shared" si="68"/>
        <v>0</v>
      </c>
      <c r="R292" s="216"/>
      <c r="S292" s="61">
        <f t="shared" si="56"/>
        <v>0</v>
      </c>
      <c r="T292" s="96">
        <f t="shared" si="57"/>
        <v>0</v>
      </c>
      <c r="U292" s="61">
        <f t="shared" si="58"/>
        <v>0</v>
      </c>
      <c r="V292" s="96">
        <f t="shared" si="59"/>
        <v>0</v>
      </c>
      <c r="W292" s="209">
        <f t="shared" si="60"/>
        <v>37228</v>
      </c>
      <c r="X292" s="115">
        <f t="shared" si="61"/>
        <v>0</v>
      </c>
    </row>
    <row r="293" spans="1:24" ht="15" customHeight="1" thickBot="1" x14ac:dyDescent="0.25">
      <c r="A293" s="3" t="s">
        <v>629</v>
      </c>
      <c r="B293" s="83" t="s">
        <v>57</v>
      </c>
      <c r="C293" s="3" t="s">
        <v>629</v>
      </c>
      <c r="D293" s="6" t="s">
        <v>58</v>
      </c>
      <c r="E293" s="189" t="s">
        <v>317</v>
      </c>
      <c r="F293" s="112"/>
      <c r="G293" s="112">
        <v>76053</v>
      </c>
      <c r="H293" s="112" t="s">
        <v>625</v>
      </c>
      <c r="I293" s="113" t="s">
        <v>59</v>
      </c>
      <c r="J293" s="61" t="str">
        <f t="shared" si="62"/>
        <v>na</v>
      </c>
      <c r="K293" s="61" t="str">
        <f t="shared" si="64"/>
        <v>na</v>
      </c>
      <c r="L293" s="114">
        <v>0</v>
      </c>
      <c r="M293" s="61">
        <f t="shared" si="69"/>
        <v>0</v>
      </c>
      <c r="O293" s="155">
        <v>0</v>
      </c>
      <c r="P293" s="89">
        <f t="shared" si="55"/>
        <v>0</v>
      </c>
      <c r="Q293" s="90">
        <f t="shared" si="68"/>
        <v>0</v>
      </c>
      <c r="R293" s="217"/>
      <c r="S293" s="61">
        <f t="shared" si="56"/>
        <v>0</v>
      </c>
      <c r="T293" s="96">
        <f t="shared" si="57"/>
        <v>0</v>
      </c>
      <c r="U293" s="61">
        <f t="shared" si="58"/>
        <v>0</v>
      </c>
      <c r="V293" s="96">
        <f t="shared" si="59"/>
        <v>0</v>
      </c>
      <c r="W293" s="209" t="str">
        <f t="shared" si="60"/>
        <v>na</v>
      </c>
      <c r="X293" s="115">
        <f t="shared" si="61"/>
        <v>0</v>
      </c>
    </row>
    <row r="294" spans="1:24" ht="15" customHeight="1" thickBot="1" x14ac:dyDescent="0.25">
      <c r="A294" s="3" t="s">
        <v>629</v>
      </c>
      <c r="B294" s="83" t="s">
        <v>60</v>
      </c>
      <c r="C294" s="3" t="s">
        <v>629</v>
      </c>
      <c r="D294" s="6" t="s">
        <v>58</v>
      </c>
      <c r="E294" s="189" t="s">
        <v>317</v>
      </c>
      <c r="F294" s="112"/>
      <c r="G294" s="112">
        <v>76053</v>
      </c>
      <c r="H294" s="112" t="s">
        <v>625</v>
      </c>
      <c r="I294" s="113" t="s">
        <v>59</v>
      </c>
      <c r="J294" s="61" t="str">
        <f t="shared" si="62"/>
        <v>na</v>
      </c>
      <c r="K294" s="61" t="str">
        <f t="shared" si="64"/>
        <v>na</v>
      </c>
      <c r="L294" s="114">
        <v>0</v>
      </c>
      <c r="M294" s="61">
        <f t="shared" si="69"/>
        <v>0</v>
      </c>
      <c r="O294" s="155">
        <v>0</v>
      </c>
      <c r="P294" s="89">
        <f t="shared" si="55"/>
        <v>0</v>
      </c>
      <c r="Q294" s="90">
        <f t="shared" si="68"/>
        <v>0</v>
      </c>
      <c r="R294" s="217"/>
      <c r="S294" s="61">
        <f t="shared" si="56"/>
        <v>0</v>
      </c>
      <c r="T294" s="96">
        <f t="shared" si="57"/>
        <v>0</v>
      </c>
      <c r="U294" s="61">
        <f t="shared" si="58"/>
        <v>0</v>
      </c>
      <c r="V294" s="96">
        <f t="shared" si="59"/>
        <v>0</v>
      </c>
      <c r="W294" s="209" t="str">
        <f t="shared" si="60"/>
        <v>na</v>
      </c>
      <c r="X294" s="115">
        <f t="shared" si="61"/>
        <v>0</v>
      </c>
    </row>
    <row r="295" spans="1:24" ht="15" customHeight="1" thickBot="1" x14ac:dyDescent="0.25">
      <c r="A295" s="3" t="s">
        <v>629</v>
      </c>
      <c r="B295" s="83" t="s">
        <v>61</v>
      </c>
      <c r="C295" s="3" t="s">
        <v>629</v>
      </c>
      <c r="D295" s="6" t="s">
        <v>58</v>
      </c>
      <c r="E295" s="189" t="s">
        <v>317</v>
      </c>
      <c r="F295" s="112"/>
      <c r="G295" s="112">
        <v>76053</v>
      </c>
      <c r="H295" s="112" t="s">
        <v>625</v>
      </c>
      <c r="I295" s="113" t="s">
        <v>59</v>
      </c>
      <c r="J295" s="61" t="str">
        <f t="shared" si="62"/>
        <v>na</v>
      </c>
      <c r="K295" s="61" t="str">
        <f t="shared" si="64"/>
        <v>na</v>
      </c>
      <c r="L295" s="114">
        <v>0</v>
      </c>
      <c r="M295" s="61">
        <f t="shared" si="69"/>
        <v>0</v>
      </c>
      <c r="O295" s="155">
        <v>0</v>
      </c>
      <c r="P295" s="89">
        <f t="shared" si="55"/>
        <v>0</v>
      </c>
      <c r="Q295" s="90">
        <f t="shared" si="68"/>
        <v>0</v>
      </c>
      <c r="R295" s="217"/>
      <c r="S295" s="61">
        <f t="shared" si="56"/>
        <v>0</v>
      </c>
      <c r="T295" s="96">
        <f t="shared" si="57"/>
        <v>0</v>
      </c>
      <c r="U295" s="61">
        <f t="shared" si="58"/>
        <v>0</v>
      </c>
      <c r="V295" s="96">
        <f t="shared" si="59"/>
        <v>0</v>
      </c>
      <c r="W295" s="209" t="str">
        <f t="shared" si="60"/>
        <v>na</v>
      </c>
      <c r="X295" s="115">
        <f t="shared" si="61"/>
        <v>0</v>
      </c>
    </row>
    <row r="296" spans="1:24" ht="15" customHeight="1" thickBot="1" x14ac:dyDescent="0.25">
      <c r="A296" s="3" t="s">
        <v>629</v>
      </c>
      <c r="B296" s="83" t="s">
        <v>62</v>
      </c>
      <c r="C296" s="3" t="s">
        <v>629</v>
      </c>
      <c r="D296" s="6" t="s">
        <v>58</v>
      </c>
      <c r="E296" s="189" t="s">
        <v>317</v>
      </c>
      <c r="F296" s="112"/>
      <c r="G296" s="112">
        <v>76053</v>
      </c>
      <c r="H296" s="112" t="s">
        <v>625</v>
      </c>
      <c r="I296" s="113" t="s">
        <v>59</v>
      </c>
      <c r="J296" s="61" t="str">
        <f t="shared" si="62"/>
        <v>na</v>
      </c>
      <c r="K296" s="61" t="str">
        <f t="shared" si="64"/>
        <v>na</v>
      </c>
      <c r="L296" s="114">
        <v>0</v>
      </c>
      <c r="M296" s="61">
        <f t="shared" si="69"/>
        <v>0</v>
      </c>
      <c r="O296" s="155">
        <v>0</v>
      </c>
      <c r="P296" s="89">
        <f t="shared" si="55"/>
        <v>0</v>
      </c>
      <c r="Q296" s="90">
        <f t="shared" si="68"/>
        <v>0</v>
      </c>
      <c r="R296" s="217"/>
      <c r="S296" s="61">
        <f t="shared" si="56"/>
        <v>0</v>
      </c>
      <c r="T296" s="96">
        <f t="shared" si="57"/>
        <v>0</v>
      </c>
      <c r="U296" s="61">
        <f t="shared" si="58"/>
        <v>0</v>
      </c>
      <c r="V296" s="96">
        <f t="shared" si="59"/>
        <v>0</v>
      </c>
      <c r="W296" s="209" t="str">
        <f t="shared" si="60"/>
        <v>na</v>
      </c>
      <c r="X296" s="115">
        <f t="shared" si="61"/>
        <v>0</v>
      </c>
    </row>
    <row r="297" spans="1:24" ht="15" customHeight="1" thickBot="1" x14ac:dyDescent="0.25">
      <c r="A297" s="3" t="s">
        <v>629</v>
      </c>
      <c r="B297" s="83" t="s">
        <v>63</v>
      </c>
      <c r="C297" s="3" t="s">
        <v>629</v>
      </c>
      <c r="D297" s="6" t="s">
        <v>58</v>
      </c>
      <c r="E297" s="189" t="s">
        <v>317</v>
      </c>
      <c r="F297" s="112"/>
      <c r="G297" s="112">
        <v>76053</v>
      </c>
      <c r="H297" s="112" t="s">
        <v>625</v>
      </c>
      <c r="I297" s="113" t="s">
        <v>59</v>
      </c>
      <c r="J297" s="61" t="str">
        <f t="shared" si="62"/>
        <v>na</v>
      </c>
      <c r="K297" s="61" t="str">
        <f t="shared" si="64"/>
        <v>na</v>
      </c>
      <c r="L297" s="114">
        <v>0</v>
      </c>
      <c r="M297" s="61">
        <f t="shared" si="69"/>
        <v>0</v>
      </c>
      <c r="O297" s="155">
        <v>0</v>
      </c>
      <c r="P297" s="89">
        <f t="shared" si="55"/>
        <v>0</v>
      </c>
      <c r="Q297" s="90">
        <f t="shared" si="68"/>
        <v>0</v>
      </c>
      <c r="R297" s="217"/>
      <c r="S297" s="61">
        <f t="shared" si="56"/>
        <v>0</v>
      </c>
      <c r="T297" s="96">
        <f t="shared" si="57"/>
        <v>0</v>
      </c>
      <c r="U297" s="61">
        <f t="shared" si="58"/>
        <v>0</v>
      </c>
      <c r="V297" s="96">
        <f t="shared" si="59"/>
        <v>0</v>
      </c>
      <c r="W297" s="209" t="str">
        <f t="shared" si="60"/>
        <v>na</v>
      </c>
      <c r="X297" s="115">
        <f t="shared" si="61"/>
        <v>0</v>
      </c>
    </row>
    <row r="298" spans="1:24" ht="15" customHeight="1" thickBot="1" x14ac:dyDescent="0.25">
      <c r="A298" s="3" t="s">
        <v>629</v>
      </c>
      <c r="B298" s="83" t="s">
        <v>64</v>
      </c>
      <c r="C298" s="3" t="s">
        <v>629</v>
      </c>
      <c r="D298" s="6" t="s">
        <v>58</v>
      </c>
      <c r="E298" s="189" t="s">
        <v>317</v>
      </c>
      <c r="F298" s="112"/>
      <c r="G298" s="112">
        <v>76053</v>
      </c>
      <c r="H298" s="112" t="s">
        <v>625</v>
      </c>
      <c r="I298" s="113" t="s">
        <v>59</v>
      </c>
      <c r="J298" s="61" t="str">
        <f t="shared" si="62"/>
        <v>na</v>
      </c>
      <c r="K298" s="61" t="str">
        <f t="shared" si="64"/>
        <v>na</v>
      </c>
      <c r="L298" s="114">
        <v>0</v>
      </c>
      <c r="M298" s="61">
        <f t="shared" si="69"/>
        <v>0</v>
      </c>
      <c r="O298" s="155">
        <v>0</v>
      </c>
      <c r="P298" s="89">
        <f t="shared" si="55"/>
        <v>0</v>
      </c>
      <c r="Q298" s="90">
        <f t="shared" si="68"/>
        <v>0</v>
      </c>
      <c r="R298" s="217"/>
      <c r="S298" s="61">
        <f t="shared" si="56"/>
        <v>0</v>
      </c>
      <c r="T298" s="96">
        <f t="shared" si="57"/>
        <v>0</v>
      </c>
      <c r="U298" s="61">
        <f t="shared" si="58"/>
        <v>0</v>
      </c>
      <c r="V298" s="96">
        <f t="shared" si="59"/>
        <v>0</v>
      </c>
      <c r="W298" s="209" t="str">
        <f t="shared" si="60"/>
        <v>na</v>
      </c>
      <c r="X298" s="115">
        <f t="shared" si="61"/>
        <v>0</v>
      </c>
    </row>
    <row r="299" spans="1:24" ht="15" customHeight="1" thickBot="1" x14ac:dyDescent="0.25">
      <c r="A299" s="3" t="s">
        <v>629</v>
      </c>
      <c r="B299" s="83" t="s">
        <v>65</v>
      </c>
      <c r="C299" s="3" t="s">
        <v>629</v>
      </c>
      <c r="D299" s="6" t="s">
        <v>58</v>
      </c>
      <c r="E299" s="189" t="s">
        <v>317</v>
      </c>
      <c r="F299" s="112"/>
      <c r="G299" s="112">
        <v>76053</v>
      </c>
      <c r="H299" s="112" t="s">
        <v>625</v>
      </c>
      <c r="I299" s="113" t="s">
        <v>59</v>
      </c>
      <c r="J299" s="61" t="str">
        <f t="shared" si="62"/>
        <v>na</v>
      </c>
      <c r="K299" s="61" t="str">
        <f t="shared" si="64"/>
        <v>na</v>
      </c>
      <c r="L299" s="114">
        <v>0</v>
      </c>
      <c r="M299" s="61">
        <f t="shared" si="69"/>
        <v>0</v>
      </c>
      <c r="O299" s="155">
        <v>0</v>
      </c>
      <c r="P299" s="89">
        <f t="shared" si="55"/>
        <v>0</v>
      </c>
      <c r="Q299" s="90">
        <f t="shared" si="68"/>
        <v>0</v>
      </c>
      <c r="R299" s="217"/>
      <c r="S299" s="61">
        <f t="shared" si="56"/>
        <v>0</v>
      </c>
      <c r="T299" s="96">
        <f t="shared" si="57"/>
        <v>0</v>
      </c>
      <c r="U299" s="61">
        <f t="shared" si="58"/>
        <v>0</v>
      </c>
      <c r="V299" s="96">
        <f t="shared" si="59"/>
        <v>0</v>
      </c>
      <c r="W299" s="209" t="str">
        <f t="shared" si="60"/>
        <v>na</v>
      </c>
      <c r="X299" s="115">
        <f t="shared" si="61"/>
        <v>0</v>
      </c>
    </row>
    <row r="300" spans="1:24" ht="15" customHeight="1" thickBot="1" x14ac:dyDescent="0.25">
      <c r="A300" s="3" t="s">
        <v>629</v>
      </c>
      <c r="B300" s="83" t="s">
        <v>66</v>
      </c>
      <c r="C300" s="3" t="s">
        <v>629</v>
      </c>
      <c r="D300" s="6" t="s">
        <v>58</v>
      </c>
      <c r="E300" s="189" t="s">
        <v>317</v>
      </c>
      <c r="F300" s="112"/>
      <c r="G300" s="112">
        <v>76053</v>
      </c>
      <c r="H300" s="112" t="s">
        <v>625</v>
      </c>
      <c r="I300" s="113" t="s">
        <v>59</v>
      </c>
      <c r="J300" s="61" t="str">
        <f t="shared" si="62"/>
        <v>na</v>
      </c>
      <c r="K300" s="61" t="str">
        <f t="shared" si="64"/>
        <v>na</v>
      </c>
      <c r="L300" s="114">
        <v>0</v>
      </c>
      <c r="M300" s="61">
        <f t="shared" si="69"/>
        <v>0</v>
      </c>
      <c r="O300" s="155">
        <v>0</v>
      </c>
      <c r="P300" s="89">
        <f t="shared" si="55"/>
        <v>0</v>
      </c>
      <c r="Q300" s="90">
        <f t="shared" si="68"/>
        <v>0</v>
      </c>
      <c r="R300" s="217"/>
      <c r="S300" s="61">
        <f t="shared" si="56"/>
        <v>0</v>
      </c>
      <c r="T300" s="96">
        <f t="shared" si="57"/>
        <v>0</v>
      </c>
      <c r="U300" s="61">
        <f t="shared" si="58"/>
        <v>0</v>
      </c>
      <c r="V300" s="96">
        <f t="shared" si="59"/>
        <v>0</v>
      </c>
      <c r="W300" s="209" t="str">
        <f t="shared" si="60"/>
        <v>na</v>
      </c>
      <c r="X300" s="115">
        <f t="shared" si="61"/>
        <v>0</v>
      </c>
    </row>
    <row r="301" spans="1:24" ht="15" customHeight="1" thickBot="1" x14ac:dyDescent="0.25">
      <c r="A301" s="3" t="s">
        <v>629</v>
      </c>
      <c r="B301" s="83" t="s">
        <v>67</v>
      </c>
      <c r="C301" s="3" t="s">
        <v>629</v>
      </c>
      <c r="D301" s="6" t="s">
        <v>58</v>
      </c>
      <c r="E301" s="189" t="s">
        <v>317</v>
      </c>
      <c r="F301" s="112"/>
      <c r="G301" s="112">
        <v>76053</v>
      </c>
      <c r="H301" s="112" t="s">
        <v>625</v>
      </c>
      <c r="I301" s="113" t="s">
        <v>59</v>
      </c>
      <c r="J301" s="61" t="str">
        <f t="shared" si="62"/>
        <v>na</v>
      </c>
      <c r="K301" s="61" t="str">
        <f t="shared" si="64"/>
        <v>na</v>
      </c>
      <c r="L301" s="114">
        <v>0</v>
      </c>
      <c r="M301" s="61">
        <f t="shared" si="69"/>
        <v>0</v>
      </c>
      <c r="O301" s="155">
        <v>0</v>
      </c>
      <c r="P301" s="89">
        <f t="shared" si="55"/>
        <v>0</v>
      </c>
      <c r="Q301" s="90">
        <f t="shared" si="68"/>
        <v>0</v>
      </c>
      <c r="R301" s="217"/>
      <c r="S301" s="61">
        <f t="shared" si="56"/>
        <v>0</v>
      </c>
      <c r="T301" s="96">
        <f t="shared" si="57"/>
        <v>0</v>
      </c>
      <c r="U301" s="61">
        <f t="shared" si="58"/>
        <v>0</v>
      </c>
      <c r="V301" s="96">
        <f t="shared" si="59"/>
        <v>0</v>
      </c>
      <c r="W301" s="209" t="str">
        <f t="shared" si="60"/>
        <v>na</v>
      </c>
      <c r="X301" s="115">
        <f t="shared" si="61"/>
        <v>0</v>
      </c>
    </row>
    <row r="302" spans="1:24" ht="15" customHeight="1" thickBot="1" x14ac:dyDescent="0.25">
      <c r="A302" s="3" t="s">
        <v>113</v>
      </c>
      <c r="B302" s="14" t="s">
        <v>115</v>
      </c>
      <c r="C302" s="3">
        <v>4315601</v>
      </c>
      <c r="D302" s="185" t="s">
        <v>68</v>
      </c>
      <c r="E302" s="189" t="s">
        <v>317</v>
      </c>
      <c r="F302" s="53"/>
      <c r="G302" s="14">
        <v>76053</v>
      </c>
      <c r="H302" s="14" t="s">
        <v>625</v>
      </c>
      <c r="I302" s="94" t="s">
        <v>59</v>
      </c>
      <c r="J302" s="61" t="str">
        <f t="shared" si="62"/>
        <v>GD</v>
      </c>
      <c r="K302" s="61" t="e">
        <f t="shared" si="64"/>
        <v>#VALUE!</v>
      </c>
      <c r="L302" s="65">
        <f>$L$2</f>
        <v>2.42</v>
      </c>
      <c r="M302" s="61">
        <f t="shared" si="69"/>
        <v>0</v>
      </c>
      <c r="O302" s="155">
        <v>0</v>
      </c>
      <c r="P302" s="95">
        <f t="shared" si="55"/>
        <v>2.42</v>
      </c>
      <c r="Q302" s="96">
        <f t="shared" si="68"/>
        <v>0</v>
      </c>
      <c r="R302" s="218"/>
      <c r="S302" s="61">
        <f t="shared" si="56"/>
        <v>0</v>
      </c>
      <c r="T302" s="96">
        <f t="shared" si="57"/>
        <v>0</v>
      </c>
      <c r="U302" s="61">
        <f t="shared" si="58"/>
        <v>0</v>
      </c>
      <c r="V302" s="96">
        <f t="shared" si="59"/>
        <v>0</v>
      </c>
      <c r="W302" s="209" t="str">
        <f t="shared" si="60"/>
        <v>na</v>
      </c>
      <c r="X302" s="115">
        <f t="shared" si="61"/>
        <v>0</v>
      </c>
    </row>
    <row r="303" spans="1:24" ht="15" customHeight="1" thickBot="1" x14ac:dyDescent="0.25">
      <c r="A303" s="3" t="s">
        <v>124</v>
      </c>
      <c r="B303" s="83" t="s">
        <v>131</v>
      </c>
      <c r="C303" s="3">
        <v>2095501</v>
      </c>
      <c r="D303" s="3" t="s">
        <v>329</v>
      </c>
      <c r="E303" s="189" t="s">
        <v>317</v>
      </c>
      <c r="F303" s="3"/>
      <c r="G303" s="1">
        <v>76198</v>
      </c>
      <c r="H303" s="1" t="s">
        <v>643</v>
      </c>
      <c r="I303" s="1" t="s">
        <v>322</v>
      </c>
      <c r="J303" s="61" t="str">
        <f t="shared" si="62"/>
        <v>GD</v>
      </c>
      <c r="K303" s="61">
        <f t="shared" si="64"/>
        <v>0</v>
      </c>
      <c r="L303" s="65">
        <f>$L$2*97%</f>
        <v>2.3473999999999999</v>
      </c>
      <c r="M303" s="61">
        <f t="shared" si="69"/>
        <v>92</v>
      </c>
      <c r="O303" s="155">
        <v>0</v>
      </c>
      <c r="P303" s="63">
        <f t="shared" si="55"/>
        <v>2.3473999999999999</v>
      </c>
      <c r="Q303" s="64">
        <f t="shared" si="68"/>
        <v>215.96080000000001</v>
      </c>
      <c r="R303" s="216"/>
      <c r="S303" s="61">
        <f t="shared" si="56"/>
        <v>7</v>
      </c>
      <c r="T303" s="96">
        <f t="shared" si="57"/>
        <v>16.431799999999999</v>
      </c>
      <c r="U303" s="61">
        <f>IF(ISNA(VLOOKUP(B303,SplitVol,6,FALSE)),0,VLOOKUP(B303,SplitVol,6,FALSE))+1</f>
        <v>85</v>
      </c>
      <c r="V303" s="96">
        <f t="shared" si="59"/>
        <v>199.529</v>
      </c>
      <c r="W303" s="209" t="str">
        <f t="shared" si="60"/>
        <v>na</v>
      </c>
      <c r="X303" s="115">
        <f t="shared" si="61"/>
        <v>0</v>
      </c>
    </row>
    <row r="304" spans="1:24" ht="15" customHeight="1" thickBot="1" x14ac:dyDescent="0.25">
      <c r="A304" s="3" t="s">
        <v>141</v>
      </c>
      <c r="B304" s="83" t="s">
        <v>271</v>
      </c>
      <c r="C304" s="3">
        <v>3127501</v>
      </c>
      <c r="D304" s="3" t="s">
        <v>272</v>
      </c>
      <c r="E304" s="189" t="s">
        <v>317</v>
      </c>
      <c r="F304" s="3"/>
      <c r="G304" s="1">
        <v>77665</v>
      </c>
      <c r="H304" s="1" t="s">
        <v>69</v>
      </c>
      <c r="I304" s="1" t="s">
        <v>70</v>
      </c>
      <c r="J304" s="61" t="str">
        <f t="shared" si="62"/>
        <v>GW</v>
      </c>
      <c r="K304" s="61">
        <f t="shared" si="64"/>
        <v>183</v>
      </c>
      <c r="L304" s="65">
        <f>$L$2*85%</f>
        <v>2.0569999999999999</v>
      </c>
      <c r="M304" s="61">
        <f t="shared" si="69"/>
        <v>239</v>
      </c>
      <c r="O304" s="155">
        <v>0</v>
      </c>
      <c r="P304" s="63">
        <f t="shared" si="55"/>
        <v>2.0569999999999999</v>
      </c>
      <c r="Q304" s="64">
        <f t="shared" si="68"/>
        <v>491.62299999999999</v>
      </c>
      <c r="R304" s="216"/>
      <c r="S304" s="61">
        <f t="shared" si="56"/>
        <v>17</v>
      </c>
      <c r="T304" s="96">
        <f t="shared" si="57"/>
        <v>34.969000000000001</v>
      </c>
      <c r="U304" s="61">
        <f>IF(ISNA(VLOOKUP(B304,SplitVol,6,FALSE)),0,VLOOKUP(B304,SplitVol,6,FALSE))+1</f>
        <v>222</v>
      </c>
      <c r="V304" s="96">
        <f t="shared" si="59"/>
        <v>456.654</v>
      </c>
      <c r="W304" s="209" t="str">
        <f t="shared" si="60"/>
        <v>na</v>
      </c>
      <c r="X304" s="115">
        <f t="shared" si="61"/>
        <v>0</v>
      </c>
    </row>
    <row r="305" spans="1:24" ht="15" customHeight="1" thickBot="1" x14ac:dyDescent="0.25">
      <c r="A305" s="3" t="s">
        <v>141</v>
      </c>
      <c r="B305" s="83" t="s">
        <v>197</v>
      </c>
      <c r="C305" s="3">
        <v>3402401</v>
      </c>
      <c r="D305" s="81" t="s">
        <v>333</v>
      </c>
      <c r="E305" s="189" t="s">
        <v>317</v>
      </c>
      <c r="F305" s="153" t="s">
        <v>198</v>
      </c>
      <c r="G305" s="1">
        <v>32469</v>
      </c>
      <c r="H305" s="1" t="s">
        <v>669</v>
      </c>
      <c r="I305" s="1" t="s">
        <v>324</v>
      </c>
      <c r="J305" s="61" t="str">
        <f t="shared" si="62"/>
        <v>GW</v>
      </c>
      <c r="K305" s="61">
        <f t="shared" si="64"/>
        <v>369</v>
      </c>
      <c r="L305" s="65">
        <f>L$2*100%</f>
        <v>2.42</v>
      </c>
      <c r="M305" s="61">
        <f t="shared" si="69"/>
        <v>488</v>
      </c>
      <c r="O305" s="155">
        <v>0</v>
      </c>
      <c r="P305" s="63">
        <f t="shared" si="55"/>
        <v>2.42</v>
      </c>
      <c r="Q305" s="64">
        <f t="shared" si="68"/>
        <v>1180.96</v>
      </c>
      <c r="R305" s="216"/>
      <c r="S305" s="61">
        <f t="shared" si="56"/>
        <v>43</v>
      </c>
      <c r="T305" s="96">
        <f t="shared" si="57"/>
        <v>104.06</v>
      </c>
      <c r="U305" s="61">
        <f>IF(ISNA(VLOOKUP(B305,SplitVol,6,FALSE)),0,VLOOKUP(B305,SplitVol,6,FALSE))+1</f>
        <v>445</v>
      </c>
      <c r="V305" s="96">
        <f t="shared" si="59"/>
        <v>1076.8999999999999</v>
      </c>
      <c r="W305" s="209">
        <f t="shared" si="60"/>
        <v>37347</v>
      </c>
      <c r="X305" s="115">
        <f t="shared" si="61"/>
        <v>0</v>
      </c>
    </row>
    <row r="306" spans="1:24" ht="15" customHeight="1" thickBot="1" x14ac:dyDescent="0.25">
      <c r="A306" s="1" t="s">
        <v>418</v>
      </c>
      <c r="B306" s="1" t="s">
        <v>464</v>
      </c>
      <c r="C306" s="42">
        <v>3245701</v>
      </c>
      <c r="D306" s="3" t="s">
        <v>465</v>
      </c>
      <c r="E306" s="189" t="s">
        <v>317</v>
      </c>
      <c r="F306" s="3" t="s">
        <v>465</v>
      </c>
      <c r="G306" s="42">
        <v>212365</v>
      </c>
      <c r="H306" s="42"/>
      <c r="I306" s="68" t="s">
        <v>560</v>
      </c>
      <c r="J306" s="61" t="str">
        <f t="shared" si="62"/>
        <v>GW</v>
      </c>
      <c r="K306" s="61">
        <f t="shared" si="64"/>
        <v>424</v>
      </c>
      <c r="L306" s="65">
        <f t="shared" ref="L306:L313" si="70">$L$2</f>
        <v>2.42</v>
      </c>
      <c r="M306" s="61">
        <f t="shared" si="69"/>
        <v>544</v>
      </c>
      <c r="O306" s="155">
        <v>0</v>
      </c>
      <c r="P306" s="63">
        <f t="shared" si="55"/>
        <v>2.42</v>
      </c>
      <c r="Q306" s="64">
        <f t="shared" si="68"/>
        <v>1316.48</v>
      </c>
      <c r="R306" s="216"/>
      <c r="S306" s="61">
        <f t="shared" si="56"/>
        <v>61</v>
      </c>
      <c r="T306" s="96">
        <f t="shared" si="57"/>
        <v>147.62</v>
      </c>
      <c r="U306" s="61">
        <f t="shared" si="58"/>
        <v>483</v>
      </c>
      <c r="V306" s="96">
        <f t="shared" si="59"/>
        <v>1168.8599999999999</v>
      </c>
      <c r="W306" s="209">
        <f t="shared" si="60"/>
        <v>37228</v>
      </c>
      <c r="X306" s="115">
        <f t="shared" si="61"/>
        <v>0</v>
      </c>
    </row>
    <row r="307" spans="1:24" ht="15" customHeight="1" thickBot="1" x14ac:dyDescent="0.25">
      <c r="A307" s="3" t="s">
        <v>141</v>
      </c>
      <c r="B307" s="83" t="s">
        <v>193</v>
      </c>
      <c r="C307" s="3">
        <v>4366901</v>
      </c>
      <c r="D307" s="140" t="s">
        <v>71</v>
      </c>
      <c r="E307" s="191" t="s">
        <v>590</v>
      </c>
      <c r="F307" s="6"/>
      <c r="G307" s="83">
        <v>64327</v>
      </c>
      <c r="H307" s="83" t="s">
        <v>72</v>
      </c>
      <c r="I307" s="6" t="s">
        <v>73</v>
      </c>
      <c r="J307" s="61" t="str">
        <f t="shared" si="62"/>
        <v>GW</v>
      </c>
      <c r="K307" s="61">
        <f t="shared" si="64"/>
        <v>528</v>
      </c>
      <c r="L307" s="88">
        <f t="shared" si="70"/>
        <v>2.42</v>
      </c>
      <c r="M307" s="61">
        <f t="shared" si="69"/>
        <v>583</v>
      </c>
      <c r="O307" s="155">
        <v>0</v>
      </c>
      <c r="P307" s="89">
        <f t="shared" si="55"/>
        <v>2.42</v>
      </c>
      <c r="Q307" s="90">
        <f t="shared" si="68"/>
        <v>1410.86</v>
      </c>
      <c r="R307" s="217"/>
      <c r="S307" s="61">
        <f t="shared" si="56"/>
        <v>36</v>
      </c>
      <c r="T307" s="96">
        <f t="shared" si="57"/>
        <v>87.12</v>
      </c>
      <c r="U307" s="61">
        <f t="shared" si="58"/>
        <v>547</v>
      </c>
      <c r="V307" s="96">
        <f t="shared" si="59"/>
        <v>1323.74</v>
      </c>
      <c r="W307" s="209">
        <f t="shared" si="60"/>
        <v>37228</v>
      </c>
      <c r="X307" s="115">
        <f t="shared" si="61"/>
        <v>0</v>
      </c>
    </row>
    <row r="308" spans="1:24" ht="15" customHeight="1" thickBot="1" x14ac:dyDescent="0.25">
      <c r="A308" s="3" t="s">
        <v>629</v>
      </c>
      <c r="B308" s="83" t="s">
        <v>74</v>
      </c>
      <c r="C308" s="3" t="s">
        <v>629</v>
      </c>
      <c r="D308" s="192" t="s">
        <v>217</v>
      </c>
      <c r="E308" s="193">
        <v>37257</v>
      </c>
      <c r="F308" s="3"/>
      <c r="G308" s="1">
        <v>82500</v>
      </c>
      <c r="H308" s="1" t="s">
        <v>604</v>
      </c>
      <c r="I308" s="1" t="s">
        <v>75</v>
      </c>
      <c r="J308" s="61" t="str">
        <f t="shared" si="62"/>
        <v>na</v>
      </c>
      <c r="K308" s="61" t="str">
        <f t="shared" si="64"/>
        <v>na</v>
      </c>
      <c r="L308" s="65">
        <f t="shared" si="70"/>
        <v>2.42</v>
      </c>
      <c r="M308" s="61">
        <f t="shared" si="69"/>
        <v>0</v>
      </c>
      <c r="O308" s="155">
        <v>0</v>
      </c>
      <c r="P308" s="63">
        <f t="shared" si="55"/>
        <v>2.42</v>
      </c>
      <c r="Q308" s="64">
        <f t="shared" si="68"/>
        <v>0</v>
      </c>
      <c r="R308" s="216"/>
      <c r="S308" s="61">
        <f t="shared" si="56"/>
        <v>0</v>
      </c>
      <c r="T308" s="96">
        <f t="shared" si="57"/>
        <v>0</v>
      </c>
      <c r="U308" s="61">
        <f t="shared" si="58"/>
        <v>0</v>
      </c>
      <c r="V308" s="96">
        <f t="shared" si="59"/>
        <v>0</v>
      </c>
      <c r="W308" s="209">
        <f t="shared" si="60"/>
        <v>37257</v>
      </c>
      <c r="X308" s="115">
        <f t="shared" si="61"/>
        <v>0</v>
      </c>
    </row>
    <row r="309" spans="1:24" ht="15" customHeight="1" thickBot="1" x14ac:dyDescent="0.25">
      <c r="A309" s="3" t="s">
        <v>141</v>
      </c>
      <c r="B309" s="83" t="s">
        <v>216</v>
      </c>
      <c r="C309" s="3">
        <v>3234701</v>
      </c>
      <c r="D309" s="192" t="s">
        <v>217</v>
      </c>
      <c r="E309" s="193">
        <v>37257</v>
      </c>
      <c r="F309" s="3"/>
      <c r="G309" s="1">
        <v>82500</v>
      </c>
      <c r="H309" s="1" t="s">
        <v>604</v>
      </c>
      <c r="I309" s="1" t="s">
        <v>75</v>
      </c>
      <c r="J309" s="61" t="str">
        <f t="shared" si="62"/>
        <v>GW</v>
      </c>
      <c r="K309" s="61">
        <f t="shared" si="64"/>
        <v>0</v>
      </c>
      <c r="L309" s="65">
        <f t="shared" si="70"/>
        <v>2.42</v>
      </c>
      <c r="M309" s="61">
        <f t="shared" si="69"/>
        <v>0</v>
      </c>
      <c r="O309" s="155">
        <v>0</v>
      </c>
      <c r="P309" s="63">
        <f t="shared" si="55"/>
        <v>2.42</v>
      </c>
      <c r="Q309" s="64">
        <f t="shared" si="68"/>
        <v>0</v>
      </c>
      <c r="R309" s="216"/>
      <c r="S309" s="61">
        <f t="shared" si="56"/>
        <v>0</v>
      </c>
      <c r="T309" s="96">
        <f t="shared" si="57"/>
        <v>0</v>
      </c>
      <c r="U309" s="61">
        <f t="shared" si="58"/>
        <v>0</v>
      </c>
      <c r="V309" s="96">
        <f t="shared" si="59"/>
        <v>0</v>
      </c>
      <c r="W309" s="209">
        <f t="shared" si="60"/>
        <v>37257</v>
      </c>
      <c r="X309" s="115">
        <f t="shared" si="61"/>
        <v>0</v>
      </c>
    </row>
    <row r="310" spans="1:24" ht="15" customHeight="1" thickBot="1" x14ac:dyDescent="0.25">
      <c r="A310" s="3" t="s">
        <v>296</v>
      </c>
      <c r="B310" s="83" t="s">
        <v>301</v>
      </c>
      <c r="C310" s="3">
        <v>3514402</v>
      </c>
      <c r="D310" s="192" t="s">
        <v>217</v>
      </c>
      <c r="E310" s="193">
        <v>37257</v>
      </c>
      <c r="F310" s="3"/>
      <c r="G310" s="1">
        <v>82500</v>
      </c>
      <c r="H310" s="1" t="s">
        <v>604</v>
      </c>
      <c r="I310" s="1" t="s">
        <v>75</v>
      </c>
      <c r="J310" s="61" t="str">
        <f t="shared" si="62"/>
        <v>TW</v>
      </c>
      <c r="K310" s="61">
        <f t="shared" si="64"/>
        <v>0</v>
      </c>
      <c r="L310" s="65">
        <f t="shared" si="70"/>
        <v>2.42</v>
      </c>
      <c r="M310" s="61">
        <f t="shared" si="69"/>
        <v>0</v>
      </c>
      <c r="O310" s="155">
        <v>0</v>
      </c>
      <c r="P310" s="63">
        <f t="shared" si="55"/>
        <v>2.42</v>
      </c>
      <c r="Q310" s="64">
        <f t="shared" si="68"/>
        <v>0</v>
      </c>
      <c r="R310" s="216"/>
      <c r="S310" s="61">
        <f t="shared" si="56"/>
        <v>0</v>
      </c>
      <c r="T310" s="96">
        <f t="shared" si="57"/>
        <v>0</v>
      </c>
      <c r="U310" s="61">
        <f t="shared" si="58"/>
        <v>0</v>
      </c>
      <c r="V310" s="96">
        <f t="shared" si="59"/>
        <v>0</v>
      </c>
      <c r="W310" s="209">
        <f t="shared" si="60"/>
        <v>37257</v>
      </c>
      <c r="X310" s="115">
        <f t="shared" si="61"/>
        <v>0</v>
      </c>
    </row>
    <row r="311" spans="1:24" ht="15" customHeight="1" thickBot="1" x14ac:dyDescent="0.25">
      <c r="A311" s="3" t="s">
        <v>141</v>
      </c>
      <c r="B311" s="83" t="s">
        <v>267</v>
      </c>
      <c r="C311" s="3">
        <v>4044101</v>
      </c>
      <c r="D311" s="192" t="s">
        <v>217</v>
      </c>
      <c r="E311" s="193">
        <v>37257</v>
      </c>
      <c r="F311" s="3"/>
      <c r="G311" s="1">
        <v>82500</v>
      </c>
      <c r="H311" s="1" t="s">
        <v>604</v>
      </c>
      <c r="I311" s="1" t="s">
        <v>75</v>
      </c>
      <c r="J311" s="61" t="str">
        <f t="shared" si="62"/>
        <v>GW</v>
      </c>
      <c r="K311" s="61">
        <f t="shared" si="64"/>
        <v>0</v>
      </c>
      <c r="L311" s="65">
        <f t="shared" si="70"/>
        <v>2.42</v>
      </c>
      <c r="M311" s="61">
        <f t="shared" si="69"/>
        <v>0</v>
      </c>
      <c r="O311" s="155">
        <v>0</v>
      </c>
      <c r="P311" s="63">
        <f t="shared" si="55"/>
        <v>2.42</v>
      </c>
      <c r="Q311" s="64">
        <f t="shared" si="68"/>
        <v>0</v>
      </c>
      <c r="R311" s="216"/>
      <c r="S311" s="61">
        <f t="shared" si="56"/>
        <v>0</v>
      </c>
      <c r="T311" s="96">
        <f t="shared" si="57"/>
        <v>0</v>
      </c>
      <c r="U311" s="61">
        <f t="shared" si="58"/>
        <v>0</v>
      </c>
      <c r="V311" s="96">
        <f t="shared" si="59"/>
        <v>0</v>
      </c>
      <c r="W311" s="209">
        <f t="shared" si="60"/>
        <v>37257</v>
      </c>
      <c r="X311" s="115">
        <f t="shared" si="61"/>
        <v>0</v>
      </c>
    </row>
    <row r="312" spans="1:24" ht="15" customHeight="1" thickBot="1" x14ac:dyDescent="0.25">
      <c r="A312" s="3" t="s">
        <v>141</v>
      </c>
      <c r="B312" s="83" t="s">
        <v>268</v>
      </c>
      <c r="C312" s="3">
        <v>3007601</v>
      </c>
      <c r="D312" s="192" t="s">
        <v>217</v>
      </c>
      <c r="E312" s="193">
        <v>37257</v>
      </c>
      <c r="F312" s="3"/>
      <c r="G312" s="1">
        <v>82500</v>
      </c>
      <c r="H312" s="1" t="s">
        <v>604</v>
      </c>
      <c r="I312" s="1" t="s">
        <v>75</v>
      </c>
      <c r="J312" s="61" t="str">
        <f t="shared" si="62"/>
        <v>GW</v>
      </c>
      <c r="K312" s="61">
        <f t="shared" si="64"/>
        <v>0</v>
      </c>
      <c r="L312" s="65">
        <f t="shared" si="70"/>
        <v>2.42</v>
      </c>
      <c r="M312" s="61">
        <f t="shared" si="69"/>
        <v>49</v>
      </c>
      <c r="O312" s="155">
        <v>0</v>
      </c>
      <c r="P312" s="63">
        <f t="shared" si="55"/>
        <v>2.42</v>
      </c>
      <c r="Q312" s="64">
        <f t="shared" si="68"/>
        <v>118.58</v>
      </c>
      <c r="R312" s="216"/>
      <c r="S312" s="61">
        <f t="shared" si="56"/>
        <v>24</v>
      </c>
      <c r="T312" s="96">
        <f t="shared" si="57"/>
        <v>58.08</v>
      </c>
      <c r="U312" s="61">
        <f>IF(ISNA(VLOOKUP(B312,SplitVol,6,FALSE)),0,VLOOKUP(B312,SplitVol,6,FALSE))+1</f>
        <v>25</v>
      </c>
      <c r="V312" s="96">
        <f t="shared" si="59"/>
        <v>60.5</v>
      </c>
      <c r="W312" s="209">
        <f t="shared" si="60"/>
        <v>37257</v>
      </c>
      <c r="X312" s="115">
        <f t="shared" si="61"/>
        <v>0</v>
      </c>
    </row>
    <row r="313" spans="1:24" ht="15" customHeight="1" thickBot="1" x14ac:dyDescent="0.25">
      <c r="A313" s="3" t="s">
        <v>141</v>
      </c>
      <c r="B313" s="83" t="s">
        <v>269</v>
      </c>
      <c r="C313" s="3">
        <v>3427701</v>
      </c>
      <c r="D313" s="192" t="s">
        <v>217</v>
      </c>
      <c r="E313" s="193">
        <v>37257</v>
      </c>
      <c r="F313" s="3"/>
      <c r="G313" s="1">
        <v>82500</v>
      </c>
      <c r="H313" s="1" t="s">
        <v>604</v>
      </c>
      <c r="I313" s="1" t="s">
        <v>75</v>
      </c>
      <c r="J313" s="61" t="str">
        <f t="shared" si="62"/>
        <v>GW</v>
      </c>
      <c r="K313" s="61">
        <f t="shared" si="64"/>
        <v>101</v>
      </c>
      <c r="L313" s="65">
        <f t="shared" si="70"/>
        <v>2.42</v>
      </c>
      <c r="M313" s="61">
        <f t="shared" si="69"/>
        <v>116</v>
      </c>
      <c r="O313" s="155">
        <v>0</v>
      </c>
      <c r="P313" s="63">
        <f t="shared" si="55"/>
        <v>2.42</v>
      </c>
      <c r="Q313" s="64">
        <f t="shared" si="68"/>
        <v>280.71999999999997</v>
      </c>
      <c r="R313" s="216"/>
      <c r="S313" s="61">
        <f t="shared" si="56"/>
        <v>38</v>
      </c>
      <c r="T313" s="96">
        <f t="shared" si="57"/>
        <v>91.96</v>
      </c>
      <c r="U313" s="61">
        <f t="shared" si="58"/>
        <v>78</v>
      </c>
      <c r="V313" s="96">
        <f t="shared" si="59"/>
        <v>188.76</v>
      </c>
      <c r="W313" s="209">
        <f t="shared" si="60"/>
        <v>37257</v>
      </c>
      <c r="X313" s="115">
        <f t="shared" si="61"/>
        <v>0</v>
      </c>
    </row>
    <row r="314" spans="1:24" ht="15" customHeight="1" thickBot="1" x14ac:dyDescent="0.25">
      <c r="A314" s="3" t="s">
        <v>141</v>
      </c>
      <c r="B314" s="83" t="s">
        <v>248</v>
      </c>
      <c r="C314" s="3">
        <v>4324601</v>
      </c>
      <c r="D314" s="138" t="s">
        <v>249</v>
      </c>
      <c r="E314" s="191">
        <v>37228</v>
      </c>
      <c r="F314" s="3"/>
      <c r="G314" s="1">
        <v>83231</v>
      </c>
      <c r="H314" s="1" t="s">
        <v>76</v>
      </c>
      <c r="I314" s="1" t="s">
        <v>611</v>
      </c>
      <c r="J314" s="61" t="str">
        <f t="shared" si="62"/>
        <v>GW</v>
      </c>
      <c r="K314" s="61">
        <f t="shared" si="64"/>
        <v>89</v>
      </c>
      <c r="L314" s="65">
        <f>$L$3*99%</f>
        <v>2.3759999999999999</v>
      </c>
      <c r="M314" s="61">
        <f t="shared" si="69"/>
        <v>111</v>
      </c>
      <c r="O314" s="155">
        <v>0</v>
      </c>
      <c r="P314" s="63">
        <f t="shared" si="55"/>
        <v>2.3759999999999999</v>
      </c>
      <c r="Q314" s="64">
        <f t="shared" si="68"/>
        <v>263.73599999999999</v>
      </c>
      <c r="R314" s="216"/>
      <c r="S314" s="61">
        <f t="shared" si="56"/>
        <v>9</v>
      </c>
      <c r="T314" s="96">
        <f t="shared" si="57"/>
        <v>21.384</v>
      </c>
      <c r="U314" s="61">
        <f t="shared" si="58"/>
        <v>102</v>
      </c>
      <c r="V314" s="96">
        <f t="shared" si="59"/>
        <v>242.35199999999998</v>
      </c>
      <c r="W314" s="209">
        <f t="shared" si="60"/>
        <v>37228</v>
      </c>
      <c r="X314" s="115">
        <f t="shared" si="61"/>
        <v>0</v>
      </c>
    </row>
    <row r="315" spans="1:24" ht="15" customHeight="1" thickBot="1" x14ac:dyDescent="0.25">
      <c r="A315" s="3" t="s">
        <v>629</v>
      </c>
      <c r="B315" s="83" t="s">
        <v>77</v>
      </c>
      <c r="C315" s="3" t="s">
        <v>629</v>
      </c>
      <c r="D315" s="6" t="s">
        <v>78</v>
      </c>
      <c r="E315" s="189" t="s">
        <v>317</v>
      </c>
      <c r="F315" s="6"/>
      <c r="G315" s="83">
        <v>83849</v>
      </c>
      <c r="H315" s="83" t="s">
        <v>79</v>
      </c>
      <c r="I315" s="14" t="s">
        <v>80</v>
      </c>
      <c r="J315" s="61" t="str">
        <f t="shared" si="62"/>
        <v>na</v>
      </c>
      <c r="K315" s="61" t="str">
        <f t="shared" si="64"/>
        <v>na</v>
      </c>
      <c r="L315" s="93">
        <f>$L$2*98%</f>
        <v>2.3715999999999999</v>
      </c>
      <c r="M315" s="61">
        <f t="shared" si="69"/>
        <v>0</v>
      </c>
      <c r="O315" s="155">
        <v>0</v>
      </c>
      <c r="P315" s="89">
        <f t="shared" si="55"/>
        <v>2.3715999999999999</v>
      </c>
      <c r="Q315" s="90">
        <f t="shared" si="68"/>
        <v>0</v>
      </c>
      <c r="R315" s="217"/>
      <c r="S315" s="61">
        <f t="shared" si="56"/>
        <v>0</v>
      </c>
      <c r="T315" s="96">
        <f t="shared" si="57"/>
        <v>0</v>
      </c>
      <c r="U315" s="61">
        <f t="shared" si="58"/>
        <v>0</v>
      </c>
      <c r="V315" s="96">
        <f t="shared" si="59"/>
        <v>0</v>
      </c>
      <c r="W315" s="209" t="str">
        <f t="shared" si="60"/>
        <v>na</v>
      </c>
      <c r="X315" s="115">
        <f t="shared" si="61"/>
        <v>0</v>
      </c>
    </row>
    <row r="316" spans="1:24" ht="15" customHeight="1" thickBot="1" x14ac:dyDescent="0.25">
      <c r="A316" s="3" t="s">
        <v>629</v>
      </c>
      <c r="B316" s="83" t="s">
        <v>81</v>
      </c>
      <c r="C316" s="3" t="s">
        <v>629</v>
      </c>
      <c r="D316" s="6" t="s">
        <v>82</v>
      </c>
      <c r="E316" s="189" t="s">
        <v>317</v>
      </c>
      <c r="F316" s="6"/>
      <c r="G316" s="83">
        <v>83849</v>
      </c>
      <c r="H316" s="83" t="s">
        <v>79</v>
      </c>
      <c r="I316" s="14" t="s">
        <v>80</v>
      </c>
      <c r="J316" s="61" t="str">
        <f t="shared" si="62"/>
        <v>na</v>
      </c>
      <c r="K316" s="61" t="str">
        <f t="shared" si="64"/>
        <v>na</v>
      </c>
      <c r="L316" s="93">
        <f>$L$2*98%</f>
        <v>2.3715999999999999</v>
      </c>
      <c r="M316" s="61">
        <f t="shared" si="69"/>
        <v>0</v>
      </c>
      <c r="O316" s="155">
        <v>0</v>
      </c>
      <c r="P316" s="89">
        <f t="shared" si="55"/>
        <v>2.3715999999999999</v>
      </c>
      <c r="Q316" s="90">
        <f t="shared" si="68"/>
        <v>0</v>
      </c>
      <c r="R316" s="217"/>
      <c r="S316" s="61">
        <f t="shared" si="56"/>
        <v>0</v>
      </c>
      <c r="T316" s="96">
        <f t="shared" si="57"/>
        <v>0</v>
      </c>
      <c r="U316" s="61">
        <f t="shared" si="58"/>
        <v>0</v>
      </c>
      <c r="V316" s="96">
        <f t="shared" si="59"/>
        <v>0</v>
      </c>
      <c r="W316" s="209" t="str">
        <f t="shared" si="60"/>
        <v>na</v>
      </c>
      <c r="X316" s="115">
        <f t="shared" si="61"/>
        <v>0</v>
      </c>
    </row>
    <row r="317" spans="1:24" ht="15" customHeight="1" thickBot="1" x14ac:dyDescent="0.25">
      <c r="A317" s="3" t="s">
        <v>629</v>
      </c>
      <c r="B317" s="83" t="s">
        <v>83</v>
      </c>
      <c r="C317" s="3" t="s">
        <v>629</v>
      </c>
      <c r="D317" s="6" t="s">
        <v>84</v>
      </c>
      <c r="E317" s="189" t="s">
        <v>317</v>
      </c>
      <c r="F317" s="6"/>
      <c r="G317" s="83">
        <v>83849</v>
      </c>
      <c r="H317" s="83" t="s">
        <v>79</v>
      </c>
      <c r="I317" s="14" t="s">
        <v>80</v>
      </c>
      <c r="J317" s="61" t="str">
        <f t="shared" si="62"/>
        <v>na</v>
      </c>
      <c r="K317" s="61" t="str">
        <f t="shared" si="64"/>
        <v>na</v>
      </c>
      <c r="L317" s="93">
        <f>$L$2*98%</f>
        <v>2.3715999999999999</v>
      </c>
      <c r="M317" s="61">
        <f t="shared" si="69"/>
        <v>0</v>
      </c>
      <c r="O317" s="155">
        <v>0</v>
      </c>
      <c r="P317" s="89">
        <f t="shared" si="55"/>
        <v>2.3715999999999999</v>
      </c>
      <c r="Q317" s="90">
        <f t="shared" si="68"/>
        <v>0</v>
      </c>
      <c r="R317" s="217"/>
      <c r="S317" s="61">
        <f t="shared" si="56"/>
        <v>0</v>
      </c>
      <c r="T317" s="96">
        <f t="shared" si="57"/>
        <v>0</v>
      </c>
      <c r="U317" s="61">
        <f t="shared" si="58"/>
        <v>0</v>
      </c>
      <c r="V317" s="96">
        <f t="shared" si="59"/>
        <v>0</v>
      </c>
      <c r="W317" s="209" t="str">
        <f t="shared" si="60"/>
        <v>na</v>
      </c>
      <c r="X317" s="115">
        <f t="shared" si="61"/>
        <v>0</v>
      </c>
    </row>
    <row r="318" spans="1:24" ht="15" customHeight="1" thickBot="1" x14ac:dyDescent="0.25">
      <c r="A318" s="3" t="s">
        <v>629</v>
      </c>
      <c r="B318" s="83" t="s">
        <v>85</v>
      </c>
      <c r="C318" s="3" t="s">
        <v>629</v>
      </c>
      <c r="D318" s="6" t="s">
        <v>84</v>
      </c>
      <c r="E318" s="189" t="s">
        <v>317</v>
      </c>
      <c r="F318" s="6"/>
      <c r="G318" s="83">
        <v>83849</v>
      </c>
      <c r="H318" s="83" t="s">
        <v>79</v>
      </c>
      <c r="I318" s="14" t="s">
        <v>80</v>
      </c>
      <c r="J318" s="61" t="str">
        <f t="shared" si="62"/>
        <v>na</v>
      </c>
      <c r="K318" s="61" t="str">
        <f t="shared" si="64"/>
        <v>na</v>
      </c>
      <c r="L318" s="93">
        <f>$L$2*98%</f>
        <v>2.3715999999999999</v>
      </c>
      <c r="M318" s="61">
        <f t="shared" si="69"/>
        <v>0</v>
      </c>
      <c r="O318" s="155">
        <v>0</v>
      </c>
      <c r="P318" s="89">
        <f t="shared" si="55"/>
        <v>2.3715999999999999</v>
      </c>
      <c r="Q318" s="90">
        <f t="shared" si="68"/>
        <v>0</v>
      </c>
      <c r="R318" s="217"/>
      <c r="S318" s="61">
        <f t="shared" si="56"/>
        <v>0</v>
      </c>
      <c r="T318" s="96">
        <f t="shared" si="57"/>
        <v>0</v>
      </c>
      <c r="U318" s="61">
        <f t="shared" si="58"/>
        <v>0</v>
      </c>
      <c r="V318" s="96">
        <f t="shared" si="59"/>
        <v>0</v>
      </c>
      <c r="W318" s="209" t="str">
        <f t="shared" si="60"/>
        <v>na</v>
      </c>
      <c r="X318" s="115">
        <f t="shared" si="61"/>
        <v>0</v>
      </c>
    </row>
    <row r="319" spans="1:24" ht="15" customHeight="1" thickBot="1" x14ac:dyDescent="0.25">
      <c r="A319" s="3" t="s">
        <v>113</v>
      </c>
      <c r="B319" s="1" t="s">
        <v>114</v>
      </c>
      <c r="C319" s="3">
        <v>3557501</v>
      </c>
      <c r="D319" s="3" t="s">
        <v>574</v>
      </c>
      <c r="E319" s="189" t="s">
        <v>317</v>
      </c>
      <c r="F319" s="1"/>
      <c r="G319" s="1">
        <v>83231</v>
      </c>
      <c r="H319" s="1" t="s">
        <v>76</v>
      </c>
      <c r="I319" s="138" t="s">
        <v>86</v>
      </c>
      <c r="J319" s="61" t="str">
        <f t="shared" ref="J319:J331" si="71">IF(ISNA(VLOOKUP(B319,cngdata,7,FALSE)),"na",VLOOKUP(B319,cngdata,7,FALSE))</f>
        <v>GD</v>
      </c>
      <c r="K319" s="61">
        <f t="shared" ref="K319:K331" si="72">IF(ISNA(VLOOKUP(B319,cngdata,13,FALSE)),"na",VLOOKUP(B319,cngdata,13,FALSE))</f>
        <v>106</v>
      </c>
      <c r="L319" s="139">
        <f>$L$2</f>
        <v>2.42</v>
      </c>
      <c r="M319" s="61">
        <f t="shared" ref="M319:M331" si="73">IF(ISNA(VLOOKUP(B319,cngdata,14,FALSE)),0,VLOOKUP(B319,cngdata,14,FALSE))</f>
        <v>116</v>
      </c>
      <c r="O319" s="155">
        <v>0</v>
      </c>
      <c r="P319" s="63">
        <f t="shared" si="55"/>
        <v>2.42</v>
      </c>
      <c r="Q319" s="64">
        <f t="shared" si="68"/>
        <v>280.71999999999997</v>
      </c>
      <c r="R319" s="216"/>
      <c r="S319" s="61">
        <f t="shared" si="56"/>
        <v>7</v>
      </c>
      <c r="T319" s="96">
        <f t="shared" si="57"/>
        <v>16.939999999999998</v>
      </c>
      <c r="U319" s="61">
        <f t="shared" si="58"/>
        <v>109</v>
      </c>
      <c r="V319" s="96">
        <f t="shared" si="59"/>
        <v>263.77999999999997</v>
      </c>
      <c r="W319" s="209" t="str">
        <f t="shared" si="60"/>
        <v>na</v>
      </c>
      <c r="X319" s="115">
        <f t="shared" si="61"/>
        <v>0</v>
      </c>
    </row>
    <row r="320" spans="1:24" ht="15" customHeight="1" thickBot="1" x14ac:dyDescent="0.25">
      <c r="A320" s="3" t="s">
        <v>113</v>
      </c>
      <c r="B320" s="1" t="s">
        <v>117</v>
      </c>
      <c r="C320" s="3">
        <v>4348401</v>
      </c>
      <c r="D320" s="3" t="s">
        <v>574</v>
      </c>
      <c r="E320" s="189" t="s">
        <v>317</v>
      </c>
      <c r="F320" s="1"/>
      <c r="G320" s="1">
        <v>83231</v>
      </c>
      <c r="H320" s="1" t="s">
        <v>76</v>
      </c>
      <c r="I320" s="138" t="s">
        <v>86</v>
      </c>
      <c r="J320" s="61" t="str">
        <f t="shared" si="71"/>
        <v>GD</v>
      </c>
      <c r="K320" s="61">
        <f t="shared" si="72"/>
        <v>24</v>
      </c>
      <c r="L320" s="139">
        <f>$L$2</f>
        <v>2.42</v>
      </c>
      <c r="M320" s="61">
        <f t="shared" si="73"/>
        <v>26</v>
      </c>
      <c r="O320" s="155">
        <v>0</v>
      </c>
      <c r="P320" s="63">
        <f t="shared" si="55"/>
        <v>2.42</v>
      </c>
      <c r="Q320" s="64">
        <f t="shared" ref="Q320:Q331" si="74">M320*P320</f>
        <v>62.92</v>
      </c>
      <c r="R320" s="216"/>
      <c r="S320" s="61">
        <f t="shared" si="56"/>
        <v>5</v>
      </c>
      <c r="T320" s="96">
        <f t="shared" si="57"/>
        <v>12.1</v>
      </c>
      <c r="U320" s="61">
        <f t="shared" si="58"/>
        <v>21</v>
      </c>
      <c r="V320" s="96">
        <f t="shared" si="59"/>
        <v>50.82</v>
      </c>
      <c r="W320" s="209" t="str">
        <f t="shared" si="60"/>
        <v>na</v>
      </c>
      <c r="X320" s="115">
        <f t="shared" si="61"/>
        <v>0</v>
      </c>
    </row>
    <row r="321" spans="1:24" ht="15" customHeight="1" thickBot="1" x14ac:dyDescent="0.25">
      <c r="A321" s="3" t="s">
        <v>629</v>
      </c>
      <c r="B321" s="83" t="s">
        <v>87</v>
      </c>
      <c r="C321" s="3" t="s">
        <v>629</v>
      </c>
      <c r="D321" s="81" t="s">
        <v>612</v>
      </c>
      <c r="E321" s="189" t="s">
        <v>317</v>
      </c>
      <c r="F321" s="81"/>
      <c r="G321" s="1">
        <v>91923</v>
      </c>
      <c r="H321" s="1" t="s">
        <v>605</v>
      </c>
      <c r="I321" s="97"/>
      <c r="J321" s="61" t="str">
        <f t="shared" si="71"/>
        <v>na</v>
      </c>
      <c r="K321" s="61" t="str">
        <f t="shared" si="72"/>
        <v>na</v>
      </c>
      <c r="L321" s="98"/>
      <c r="M321" s="61">
        <f t="shared" si="73"/>
        <v>0</v>
      </c>
      <c r="O321" s="155">
        <v>0</v>
      </c>
      <c r="P321" s="63">
        <f t="shared" si="55"/>
        <v>0</v>
      </c>
      <c r="Q321" s="64">
        <f t="shared" si="74"/>
        <v>0</v>
      </c>
      <c r="R321" s="216"/>
      <c r="S321" s="61">
        <f t="shared" si="56"/>
        <v>0</v>
      </c>
      <c r="T321" s="96">
        <f t="shared" si="57"/>
        <v>0</v>
      </c>
      <c r="U321" s="61">
        <f t="shared" si="58"/>
        <v>0</v>
      </c>
      <c r="V321" s="96">
        <f t="shared" si="59"/>
        <v>0</v>
      </c>
      <c r="W321" s="209" t="str">
        <f t="shared" si="60"/>
        <v>na</v>
      </c>
      <c r="X321" s="115">
        <f t="shared" si="61"/>
        <v>0</v>
      </c>
    </row>
    <row r="322" spans="1:24" ht="15" customHeight="1" thickBot="1" x14ac:dyDescent="0.25">
      <c r="A322" s="3" t="s">
        <v>629</v>
      </c>
      <c r="B322" s="83" t="s">
        <v>88</v>
      </c>
      <c r="C322" s="3" t="s">
        <v>629</v>
      </c>
      <c r="D322" s="81" t="s">
        <v>612</v>
      </c>
      <c r="E322" s="189" t="s">
        <v>317</v>
      </c>
      <c r="F322" s="81"/>
      <c r="G322" s="1">
        <v>91923</v>
      </c>
      <c r="H322" s="1" t="s">
        <v>605</v>
      </c>
      <c r="I322" s="97"/>
      <c r="J322" s="61" t="str">
        <f t="shared" si="71"/>
        <v>na</v>
      </c>
      <c r="K322" s="61" t="str">
        <f t="shared" si="72"/>
        <v>na</v>
      </c>
      <c r="L322" s="98"/>
      <c r="M322" s="61">
        <f t="shared" si="73"/>
        <v>0</v>
      </c>
      <c r="O322" s="155">
        <v>0</v>
      </c>
      <c r="P322" s="63">
        <f t="shared" si="55"/>
        <v>0</v>
      </c>
      <c r="Q322" s="64">
        <f t="shared" si="74"/>
        <v>0</v>
      </c>
      <c r="R322" s="216"/>
      <c r="S322" s="61">
        <f t="shared" si="56"/>
        <v>0</v>
      </c>
      <c r="T322" s="96">
        <f t="shared" si="57"/>
        <v>0</v>
      </c>
      <c r="U322" s="61">
        <f t="shared" si="58"/>
        <v>0</v>
      </c>
      <c r="V322" s="96">
        <f t="shared" si="59"/>
        <v>0</v>
      </c>
      <c r="W322" s="209" t="str">
        <f t="shared" si="60"/>
        <v>na</v>
      </c>
      <c r="X322" s="115">
        <f t="shared" si="61"/>
        <v>0</v>
      </c>
    </row>
    <row r="323" spans="1:24" ht="15" customHeight="1" thickBot="1" x14ac:dyDescent="0.25">
      <c r="A323" s="3" t="s">
        <v>629</v>
      </c>
      <c r="B323" s="83" t="s">
        <v>89</v>
      </c>
      <c r="C323" s="3" t="s">
        <v>629</v>
      </c>
      <c r="D323" s="81" t="s">
        <v>612</v>
      </c>
      <c r="E323" s="189" t="s">
        <v>317</v>
      </c>
      <c r="F323" s="81"/>
      <c r="G323" s="1">
        <v>91923</v>
      </c>
      <c r="H323" s="1" t="s">
        <v>605</v>
      </c>
      <c r="I323" s="97"/>
      <c r="J323" s="61" t="str">
        <f t="shared" si="71"/>
        <v>na</v>
      </c>
      <c r="K323" s="61" t="str">
        <f t="shared" si="72"/>
        <v>na</v>
      </c>
      <c r="L323" s="98"/>
      <c r="M323" s="61">
        <f t="shared" si="73"/>
        <v>0</v>
      </c>
      <c r="O323" s="155">
        <v>0</v>
      </c>
      <c r="P323" s="63">
        <f t="shared" si="55"/>
        <v>0</v>
      </c>
      <c r="Q323" s="64">
        <f t="shared" si="74"/>
        <v>0</v>
      </c>
      <c r="R323" s="216"/>
      <c r="S323" s="61">
        <f t="shared" si="56"/>
        <v>0</v>
      </c>
      <c r="T323" s="96">
        <f t="shared" si="57"/>
        <v>0</v>
      </c>
      <c r="U323" s="61">
        <f t="shared" si="58"/>
        <v>0</v>
      </c>
      <c r="V323" s="96">
        <f t="shared" si="59"/>
        <v>0</v>
      </c>
      <c r="W323" s="209" t="str">
        <f t="shared" si="60"/>
        <v>na</v>
      </c>
      <c r="X323" s="115">
        <f t="shared" si="61"/>
        <v>0</v>
      </c>
    </row>
    <row r="324" spans="1:24" ht="15" customHeight="1" thickBot="1" x14ac:dyDescent="0.25">
      <c r="A324" s="3" t="s">
        <v>629</v>
      </c>
      <c r="B324" s="83">
        <v>5168401</v>
      </c>
      <c r="C324" s="3" t="s">
        <v>629</v>
      </c>
      <c r="D324" s="81" t="s">
        <v>612</v>
      </c>
      <c r="E324" s="189" t="s">
        <v>317</v>
      </c>
      <c r="F324" s="81"/>
      <c r="G324" s="1">
        <v>91923</v>
      </c>
      <c r="H324" s="1" t="s">
        <v>605</v>
      </c>
      <c r="I324" s="97"/>
      <c r="J324" s="61" t="str">
        <f t="shared" si="71"/>
        <v>na</v>
      </c>
      <c r="K324" s="61" t="str">
        <f t="shared" si="72"/>
        <v>na</v>
      </c>
      <c r="L324" s="65"/>
      <c r="M324" s="61">
        <f t="shared" si="73"/>
        <v>0</v>
      </c>
      <c r="O324" s="155">
        <v>0</v>
      </c>
      <c r="P324" s="63">
        <f t="shared" si="55"/>
        <v>0</v>
      </c>
      <c r="Q324" s="64">
        <f t="shared" si="74"/>
        <v>0</v>
      </c>
      <c r="R324" s="216"/>
      <c r="S324" s="61">
        <f t="shared" si="56"/>
        <v>0</v>
      </c>
      <c r="T324" s="96">
        <f t="shared" si="57"/>
        <v>0</v>
      </c>
      <c r="U324" s="61">
        <f t="shared" si="58"/>
        <v>0</v>
      </c>
      <c r="V324" s="96">
        <f t="shared" si="59"/>
        <v>0</v>
      </c>
      <c r="W324" s="209" t="str">
        <f t="shared" si="60"/>
        <v>na</v>
      </c>
      <c r="X324" s="115">
        <f t="shared" si="61"/>
        <v>0</v>
      </c>
    </row>
    <row r="325" spans="1:24" ht="15" customHeight="1" thickBot="1" x14ac:dyDescent="0.25">
      <c r="A325" s="3" t="s">
        <v>629</v>
      </c>
      <c r="B325" s="83" t="s">
        <v>90</v>
      </c>
      <c r="C325" s="3" t="s">
        <v>629</v>
      </c>
      <c r="D325" s="81" t="s">
        <v>612</v>
      </c>
      <c r="E325" s="189" t="s">
        <v>317</v>
      </c>
      <c r="F325" s="81"/>
      <c r="G325" s="1">
        <v>91923</v>
      </c>
      <c r="H325" s="1" t="s">
        <v>605</v>
      </c>
      <c r="I325" s="97"/>
      <c r="J325" s="61" t="str">
        <f t="shared" si="71"/>
        <v>na</v>
      </c>
      <c r="K325" s="61" t="str">
        <f t="shared" si="72"/>
        <v>na</v>
      </c>
      <c r="L325" s="98"/>
      <c r="M325" s="61">
        <f t="shared" si="73"/>
        <v>0</v>
      </c>
      <c r="O325" s="155">
        <v>0</v>
      </c>
      <c r="P325" s="63">
        <f t="shared" ref="P325:P331" si="75">L325-O325</f>
        <v>0</v>
      </c>
      <c r="Q325" s="64">
        <f t="shared" si="74"/>
        <v>0</v>
      </c>
      <c r="R325" s="216"/>
      <c r="S325" s="61">
        <f t="shared" si="56"/>
        <v>0</v>
      </c>
      <c r="T325" s="96">
        <f t="shared" si="57"/>
        <v>0</v>
      </c>
      <c r="U325" s="61">
        <f t="shared" si="58"/>
        <v>0</v>
      </c>
      <c r="V325" s="96">
        <f t="shared" si="59"/>
        <v>0</v>
      </c>
      <c r="W325" s="209" t="str">
        <f t="shared" si="60"/>
        <v>na</v>
      </c>
      <c r="X325" s="115">
        <f t="shared" si="61"/>
        <v>0</v>
      </c>
    </row>
    <row r="326" spans="1:24" ht="15" customHeight="1" thickBot="1" x14ac:dyDescent="0.25">
      <c r="A326" s="3" t="s">
        <v>629</v>
      </c>
      <c r="B326" s="83" t="s">
        <v>96</v>
      </c>
      <c r="C326" s="3" t="s">
        <v>629</v>
      </c>
      <c r="D326" s="81" t="s">
        <v>612</v>
      </c>
      <c r="E326" s="189" t="s">
        <v>317</v>
      </c>
      <c r="F326" s="81"/>
      <c r="G326" s="1">
        <v>91923</v>
      </c>
      <c r="H326" s="1" t="s">
        <v>605</v>
      </c>
      <c r="I326" s="97"/>
      <c r="J326" s="61" t="str">
        <f t="shared" si="71"/>
        <v>na</v>
      </c>
      <c r="K326" s="61" t="str">
        <f t="shared" si="72"/>
        <v>na</v>
      </c>
      <c r="L326" s="98"/>
      <c r="M326" s="61">
        <f t="shared" si="73"/>
        <v>0</v>
      </c>
      <c r="O326" s="155">
        <v>0</v>
      </c>
      <c r="P326" s="63">
        <f t="shared" si="75"/>
        <v>0</v>
      </c>
      <c r="Q326" s="64">
        <f t="shared" si="74"/>
        <v>0</v>
      </c>
      <c r="R326" s="216"/>
      <c r="S326" s="61">
        <f t="shared" ref="S326:S331" si="76">IF(ISNA(VLOOKUP(B326,SplitVol,5,FALSE)),0,VLOOKUP(B326,SplitVol,5,FALSE))</f>
        <v>0</v>
      </c>
      <c r="T326" s="96">
        <f t="shared" ref="T326:T331" si="77">+S326*L326</f>
        <v>0</v>
      </c>
      <c r="U326" s="61">
        <f>IF(ISNA(VLOOKUP(B326,SplitVol,6,FALSE)),0,VLOOKUP(B326,SplitVol,6,FALSE))</f>
        <v>0</v>
      </c>
      <c r="V326" s="96">
        <f t="shared" ref="V326:V331" si="78">+U326*L326</f>
        <v>0</v>
      </c>
      <c r="W326" s="209" t="str">
        <f t="shared" ref="W326:W331" si="79">IF(ISBLANK(VLOOKUP(B326,EffDate,4,FALSE)),"na",VLOOKUP(B326,EffDate,4,FALSE))</f>
        <v>na</v>
      </c>
      <c r="X326" s="115">
        <f t="shared" ref="X326:X331" si="80">+M326-S326-U326</f>
        <v>0</v>
      </c>
    </row>
    <row r="327" spans="1:24" ht="15" customHeight="1" thickBot="1" x14ac:dyDescent="0.25">
      <c r="A327" s="3" t="s">
        <v>141</v>
      </c>
      <c r="B327" s="83" t="s">
        <v>199</v>
      </c>
      <c r="C327" s="3">
        <v>3190601</v>
      </c>
      <c r="D327" s="138" t="s">
        <v>200</v>
      </c>
      <c r="E327" s="191">
        <v>37228</v>
      </c>
      <c r="F327" s="3"/>
      <c r="G327" s="1">
        <v>91921</v>
      </c>
      <c r="H327" s="1" t="s">
        <v>97</v>
      </c>
      <c r="I327" s="1" t="s">
        <v>634</v>
      </c>
      <c r="J327" s="61" t="str">
        <f t="shared" si="71"/>
        <v>GW</v>
      </c>
      <c r="K327" s="61">
        <f t="shared" si="72"/>
        <v>135</v>
      </c>
      <c r="L327" s="65">
        <f>$L$2-0.08</f>
        <v>2.34</v>
      </c>
      <c r="M327" s="61">
        <f t="shared" si="73"/>
        <v>156</v>
      </c>
      <c r="O327" s="155">
        <v>0</v>
      </c>
      <c r="P327" s="63">
        <f t="shared" si="75"/>
        <v>2.34</v>
      </c>
      <c r="Q327" s="64">
        <f t="shared" si="74"/>
        <v>365.03999999999996</v>
      </c>
      <c r="R327" s="216"/>
      <c r="S327" s="61">
        <f t="shared" si="76"/>
        <v>17</v>
      </c>
      <c r="T327" s="96">
        <f t="shared" si="77"/>
        <v>39.78</v>
      </c>
      <c r="U327" s="61">
        <f>IF(ISNA(VLOOKUP(B327,SplitVol,6,FALSE)),0,VLOOKUP(B327,SplitVol,6,FALSE))</f>
        <v>139</v>
      </c>
      <c r="V327" s="96">
        <f t="shared" si="78"/>
        <v>325.26</v>
      </c>
      <c r="W327" s="209">
        <f t="shared" si="79"/>
        <v>37228</v>
      </c>
      <c r="X327" s="115">
        <f t="shared" si="80"/>
        <v>0</v>
      </c>
    </row>
    <row r="328" spans="1:24" ht="15" customHeight="1" thickBot="1" x14ac:dyDescent="0.25">
      <c r="A328" s="3" t="s">
        <v>629</v>
      </c>
      <c r="B328" s="83" t="s">
        <v>302</v>
      </c>
      <c r="C328" s="3" t="s">
        <v>629</v>
      </c>
      <c r="D328" s="6" t="s">
        <v>303</v>
      </c>
      <c r="E328" s="189" t="s">
        <v>317</v>
      </c>
      <c r="F328" s="84"/>
      <c r="G328" s="83">
        <v>91919</v>
      </c>
      <c r="H328" s="83" t="s">
        <v>98</v>
      </c>
      <c r="I328" s="83" t="s">
        <v>325</v>
      </c>
      <c r="J328" s="61" t="str">
        <f t="shared" si="71"/>
        <v>na</v>
      </c>
      <c r="K328" s="61" t="str">
        <f t="shared" si="72"/>
        <v>na</v>
      </c>
      <c r="L328" s="65">
        <f>$L$2*98%</f>
        <v>2.3715999999999999</v>
      </c>
      <c r="M328" s="61">
        <f t="shared" si="73"/>
        <v>0</v>
      </c>
      <c r="O328" s="155">
        <v>0</v>
      </c>
      <c r="P328" s="89">
        <f t="shared" si="75"/>
        <v>2.3715999999999999</v>
      </c>
      <c r="Q328" s="90">
        <f t="shared" si="74"/>
        <v>0</v>
      </c>
      <c r="R328" s="217"/>
      <c r="S328" s="61">
        <f t="shared" si="76"/>
        <v>0</v>
      </c>
      <c r="T328" s="96">
        <f t="shared" si="77"/>
        <v>0</v>
      </c>
      <c r="U328" s="61">
        <f>IF(ISNA(VLOOKUP(B328,SplitVol,6,FALSE)),0,VLOOKUP(B328,SplitVol,6,FALSE))</f>
        <v>0</v>
      </c>
      <c r="V328" s="96">
        <f t="shared" si="78"/>
        <v>0</v>
      </c>
      <c r="W328" s="209" t="str">
        <f t="shared" si="79"/>
        <v>na</v>
      </c>
      <c r="X328" s="115">
        <f t="shared" si="80"/>
        <v>0</v>
      </c>
    </row>
    <row r="329" spans="1:24" ht="15" customHeight="1" thickBot="1" x14ac:dyDescent="0.25">
      <c r="A329" s="3" t="s">
        <v>124</v>
      </c>
      <c r="B329" s="83" t="s">
        <v>125</v>
      </c>
      <c r="C329" s="3">
        <v>2062201</v>
      </c>
      <c r="D329" s="3" t="s">
        <v>126</v>
      </c>
      <c r="E329" s="189" t="s">
        <v>317</v>
      </c>
      <c r="F329" s="3"/>
      <c r="G329" s="1">
        <v>92796</v>
      </c>
      <c r="H329" s="1" t="s">
        <v>99</v>
      </c>
      <c r="I329" s="1" t="s">
        <v>322</v>
      </c>
      <c r="J329" s="61" t="str">
        <f>IF(ISNA(VLOOKUP(B329,cngdata,7,FALSE)),"na",VLOOKUP(B329,cngdata,7,FALSE))</f>
        <v>GD</v>
      </c>
      <c r="K329" s="61">
        <f>IF(ISNA(VLOOKUP(B329,cngdata,13,FALSE)),"na",VLOOKUP(B329,cngdata,13,FALSE))</f>
        <v>0</v>
      </c>
      <c r="L329" s="65">
        <f>$L$2*97%</f>
        <v>2.3473999999999999</v>
      </c>
      <c r="M329" s="61">
        <f>IF(ISNA(VLOOKUP(B329,cngdata,14,FALSE)),0,VLOOKUP(B329,cngdata,14,FALSE))</f>
        <v>290</v>
      </c>
      <c r="O329" s="155">
        <v>0</v>
      </c>
      <c r="P329" s="63">
        <f t="shared" si="75"/>
        <v>2.3473999999999999</v>
      </c>
      <c r="Q329" s="64">
        <f t="shared" si="74"/>
        <v>680.74599999999998</v>
      </c>
      <c r="R329" s="216"/>
      <c r="S329" s="61">
        <f t="shared" si="76"/>
        <v>20</v>
      </c>
      <c r="T329" s="96">
        <f t="shared" si="77"/>
        <v>46.948</v>
      </c>
      <c r="U329" s="61">
        <f>IF(ISNA(VLOOKUP(B329,SplitVol,6,FALSE)),0,VLOOKUP(B329,SplitVol,6,FALSE))</f>
        <v>270</v>
      </c>
      <c r="V329" s="96">
        <f t="shared" si="78"/>
        <v>633.798</v>
      </c>
      <c r="W329" s="209" t="str">
        <f t="shared" si="79"/>
        <v>na</v>
      </c>
      <c r="X329" s="115">
        <f t="shared" si="80"/>
        <v>0</v>
      </c>
    </row>
    <row r="330" spans="1:24" ht="15" customHeight="1" thickBot="1" x14ac:dyDescent="0.25">
      <c r="A330" s="1" t="s">
        <v>386</v>
      </c>
      <c r="B330" s="1" t="s">
        <v>403</v>
      </c>
      <c r="C330" s="1">
        <v>4244501</v>
      </c>
      <c r="D330" s="192" t="s">
        <v>404</v>
      </c>
      <c r="E330" s="193">
        <v>37257</v>
      </c>
      <c r="F330" s="35" t="s">
        <v>606</v>
      </c>
      <c r="G330" s="1">
        <v>92796</v>
      </c>
      <c r="H330" s="1" t="s">
        <v>99</v>
      </c>
      <c r="I330" s="6" t="s">
        <v>603</v>
      </c>
      <c r="J330" s="61" t="str">
        <f>IF(ISNA(VLOOKUP(B330,cngdata,7,FALSE)),"na",VLOOKUP(B330,cngdata,7,FALSE))</f>
        <v>GW</v>
      </c>
      <c r="K330" s="61">
        <f>IF(ISNA(VLOOKUP(B330,cngdata,13,FALSE)),"na",VLOOKUP(B330,cngdata,13,FALSE))</f>
        <v>150</v>
      </c>
      <c r="L330" s="74">
        <f>$L$2</f>
        <v>2.42</v>
      </c>
      <c r="M330" s="61">
        <f>IF(ISNA(VLOOKUP(B330,cngdata,14,FALSE)),0,VLOOKUP(B330,cngdata,14,FALSE))</f>
        <v>183</v>
      </c>
      <c r="O330" s="155">
        <v>0</v>
      </c>
      <c r="P330" s="63">
        <f t="shared" si="75"/>
        <v>2.42</v>
      </c>
      <c r="Q330" s="64">
        <f t="shared" si="74"/>
        <v>442.86</v>
      </c>
      <c r="R330" s="216"/>
      <c r="S330" s="61">
        <f t="shared" si="76"/>
        <v>12</v>
      </c>
      <c r="T330" s="96">
        <f t="shared" si="77"/>
        <v>29.04</v>
      </c>
      <c r="U330" s="61">
        <f>IF(ISNA(VLOOKUP(B330,SplitVol,6,FALSE)),0,VLOOKUP(B330,SplitVol,6,FALSE))</f>
        <v>171</v>
      </c>
      <c r="V330" s="96">
        <f t="shared" si="78"/>
        <v>413.82</v>
      </c>
      <c r="W330" s="209">
        <f t="shared" si="79"/>
        <v>37257</v>
      </c>
      <c r="X330" s="115">
        <f t="shared" si="80"/>
        <v>0</v>
      </c>
    </row>
    <row r="331" spans="1:24" ht="15" customHeight="1" thickBot="1" x14ac:dyDescent="0.25">
      <c r="A331" s="1" t="s">
        <v>386</v>
      </c>
      <c r="B331" s="1" t="s">
        <v>405</v>
      </c>
      <c r="C331" s="1">
        <v>3425301</v>
      </c>
      <c r="D331" s="192" t="s">
        <v>404</v>
      </c>
      <c r="E331" s="193">
        <v>37257</v>
      </c>
      <c r="F331" s="35" t="s">
        <v>606</v>
      </c>
      <c r="G331" s="1">
        <v>92796</v>
      </c>
      <c r="H331" s="1" t="s">
        <v>99</v>
      </c>
      <c r="I331" s="6" t="s">
        <v>603</v>
      </c>
      <c r="J331" s="61" t="str">
        <f t="shared" si="71"/>
        <v>GW</v>
      </c>
      <c r="K331" s="61">
        <f t="shared" si="72"/>
        <v>271</v>
      </c>
      <c r="L331" s="74">
        <f>$L$2</f>
        <v>2.42</v>
      </c>
      <c r="M331" s="61">
        <f t="shared" si="73"/>
        <v>384</v>
      </c>
      <c r="O331" s="155">
        <v>0</v>
      </c>
      <c r="P331" s="63">
        <f t="shared" si="75"/>
        <v>2.42</v>
      </c>
      <c r="Q331" s="64">
        <f t="shared" si="74"/>
        <v>929.28</v>
      </c>
      <c r="R331" s="216"/>
      <c r="S331" s="61">
        <f t="shared" si="76"/>
        <v>28</v>
      </c>
      <c r="T331" s="96">
        <f t="shared" si="77"/>
        <v>67.759999999999991</v>
      </c>
      <c r="U331" s="61">
        <f>IF(ISNA(VLOOKUP(B331,SplitVol,6,FALSE)),0,VLOOKUP(B331,SplitVol,6,FALSE))-1</f>
        <v>356</v>
      </c>
      <c r="V331" s="96">
        <f t="shared" si="78"/>
        <v>861.52</v>
      </c>
      <c r="W331" s="209">
        <f t="shared" si="79"/>
        <v>37257</v>
      </c>
      <c r="X331" s="115">
        <f t="shared" si="80"/>
        <v>0</v>
      </c>
    </row>
    <row r="332" spans="1:24" ht="15" customHeight="1" x14ac:dyDescent="0.2">
      <c r="R332" s="219"/>
    </row>
    <row r="333" spans="1:24" ht="15" customHeight="1" x14ac:dyDescent="0.2">
      <c r="K333" s="32" t="e">
        <f>SUM(K5:K332)</f>
        <v>#VALUE!</v>
      </c>
      <c r="M333" s="32">
        <f>SUM(M5:M332)</f>
        <v>74510</v>
      </c>
      <c r="Q333" s="30">
        <f>SUM(Q5:Q332)</f>
        <v>192850.88820000004</v>
      </c>
      <c r="R333" s="219"/>
      <c r="S333" s="32">
        <f>SUM(S5:S332)</f>
        <v>8400</v>
      </c>
      <c r="T333" s="214">
        <f>SUM(T5:T332)</f>
        <v>21456.028922324818</v>
      </c>
      <c r="U333" s="32">
        <f>SUM(U5:U332)</f>
        <v>66110</v>
      </c>
      <c r="V333" s="214">
        <f>SUM(V5:V332)</f>
        <v>171394.85927767519</v>
      </c>
      <c r="X333" s="30">
        <f>SUM(X5:X332)</f>
        <v>0</v>
      </c>
    </row>
    <row r="334" spans="1:24" ht="15" customHeight="1" x14ac:dyDescent="0.2">
      <c r="Q334" s="197">
        <f>+Q333/M333</f>
        <v>2.5882551093812918</v>
      </c>
      <c r="R334" s="220"/>
      <c r="S334" s="197"/>
      <c r="T334" s="215"/>
      <c r="U334" s="197"/>
      <c r="V334" s="215"/>
      <c r="X334" s="197"/>
    </row>
    <row r="335" spans="1:24" ht="15" customHeight="1" x14ac:dyDescent="0.2">
      <c r="R335" s="219"/>
      <c r="S335" s="32">
        <f>+S333+U333</f>
        <v>74510</v>
      </c>
      <c r="T335" s="214">
        <f>+T333+V333</f>
        <v>192850.88820000002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9" workbookViewId="0">
      <selection activeCell="A120" sqref="A120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4" t="s">
        <v>468</v>
      </c>
    </row>
    <row r="3" spans="1:18" x14ac:dyDescent="0.2">
      <c r="A3" s="20" t="s">
        <v>411</v>
      </c>
      <c r="B3" s="20"/>
      <c r="C3" s="118" t="s">
        <v>100</v>
      </c>
    </row>
    <row r="5" spans="1:18" x14ac:dyDescent="0.2">
      <c r="A5" t="s">
        <v>315</v>
      </c>
      <c r="D5" s="69" t="s">
        <v>562</v>
      </c>
      <c r="E5" s="70"/>
      <c r="F5" s="70"/>
      <c r="G5" s="71">
        <f>+CNG!$L$2</f>
        <v>2.42</v>
      </c>
    </row>
    <row r="6" spans="1:18" x14ac:dyDescent="0.2">
      <c r="A6" t="s">
        <v>563</v>
      </c>
      <c r="C6" s="8" t="s">
        <v>321</v>
      </c>
      <c r="D6" s="8" t="s">
        <v>319</v>
      </c>
    </row>
    <row r="7" spans="1:18" x14ac:dyDescent="0.2">
      <c r="A7" s="32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72" t="e">
        <f>IF(A7&gt;C7,A7-C7,0)</f>
        <v>#REF!</v>
      </c>
      <c r="D8" s="17">
        <f>G5</f>
        <v>2.42</v>
      </c>
      <c r="F8" s="72" t="e">
        <f>C8*D8</f>
        <v>#REF!</v>
      </c>
      <c r="H8" t="s">
        <v>337</v>
      </c>
    </row>
    <row r="9" spans="1:18" x14ac:dyDescent="0.2">
      <c r="C9" s="2" t="e">
        <f>SUM(C7:C8)</f>
        <v>#REF!</v>
      </c>
      <c r="F9" t="e">
        <f>SUM(F7:F8)</f>
        <v>#REF!</v>
      </c>
      <c r="H9" s="13" t="e">
        <f>+F9/C9</f>
        <v>#REF!</v>
      </c>
    </row>
    <row r="10" spans="1:18" x14ac:dyDescent="0.2">
      <c r="C10" s="2"/>
    </row>
    <row r="11" spans="1:18" ht="13.5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3" spans="1:18" x14ac:dyDescent="0.2">
      <c r="A13" s="35" t="s">
        <v>529</v>
      </c>
      <c r="B13" s="9"/>
      <c r="J13" s="2"/>
      <c r="K13" s="2"/>
      <c r="L13" s="110"/>
      <c r="M13" s="110"/>
      <c r="N13" s="2"/>
      <c r="O13" s="2"/>
      <c r="P13" s="2"/>
      <c r="Q13" s="2"/>
      <c r="R13" s="2"/>
    </row>
    <row r="14" spans="1:18" x14ac:dyDescent="0.2">
      <c r="J14" s="115"/>
      <c r="K14" s="2"/>
      <c r="L14" s="2"/>
      <c r="M14" s="2"/>
      <c r="N14" s="2"/>
      <c r="O14" s="40"/>
      <c r="P14" s="2"/>
      <c r="Q14" s="2"/>
      <c r="R14" s="2"/>
    </row>
    <row r="15" spans="1:18" x14ac:dyDescent="0.2">
      <c r="A15" s="136">
        <v>10000</v>
      </c>
      <c r="B15" s="38">
        <v>3.2</v>
      </c>
      <c r="C15" s="8" t="s">
        <v>136</v>
      </c>
      <c r="E15" s="136" t="s">
        <v>312</v>
      </c>
      <c r="F15" s="136"/>
      <c r="G15" s="136"/>
      <c r="H15" s="136"/>
      <c r="J15" s="2"/>
      <c r="K15" s="2"/>
      <c r="L15" s="115"/>
      <c r="M15" s="116"/>
      <c r="N15" s="2"/>
      <c r="O15" s="40"/>
      <c r="P15" s="2"/>
      <c r="Q15" s="2"/>
      <c r="R15" s="2"/>
    </row>
    <row r="16" spans="1:18" x14ac:dyDescent="0.2">
      <c r="C16" s="8"/>
      <c r="E16" s="69" t="s">
        <v>137</v>
      </c>
      <c r="F16" s="70"/>
      <c r="G16" s="134"/>
      <c r="H16" s="135">
        <f>+CNG!$L$2+0.01</f>
        <v>2.4299999999999997</v>
      </c>
      <c r="J16" s="2"/>
      <c r="K16" s="2"/>
      <c r="L16" s="2"/>
      <c r="M16" s="2"/>
      <c r="N16" s="2"/>
      <c r="O16" s="40"/>
      <c r="P16" s="2"/>
      <c r="Q16" s="117"/>
      <c r="R16" s="2"/>
    </row>
    <row r="17" spans="1:18" x14ac:dyDescent="0.2">
      <c r="C17" s="8"/>
    </row>
    <row r="18" spans="1:18" x14ac:dyDescent="0.2">
      <c r="A18" t="s">
        <v>563</v>
      </c>
      <c r="C18" s="8" t="s">
        <v>321</v>
      </c>
      <c r="D18" s="8" t="s">
        <v>319</v>
      </c>
    </row>
    <row r="19" spans="1:18" x14ac:dyDescent="0.2">
      <c r="A19" s="32">
        <f>SUM(CNG!M27:M34)</f>
        <v>0</v>
      </c>
      <c r="C19">
        <f>+A15</f>
        <v>10000</v>
      </c>
      <c r="D19" s="38">
        <f>+B15</f>
        <v>3.2</v>
      </c>
      <c r="F19" s="25">
        <f>C19*D19</f>
        <v>32000</v>
      </c>
    </row>
    <row r="20" spans="1:18" x14ac:dyDescent="0.2">
      <c r="C20" s="72">
        <f>IF(A19&gt;C19,A19-C19,0)</f>
        <v>0</v>
      </c>
      <c r="D20" s="36">
        <f>+H16</f>
        <v>2.4299999999999997</v>
      </c>
      <c r="F20" s="73">
        <f>C20*D20</f>
        <v>0</v>
      </c>
      <c r="H20" t="s">
        <v>337</v>
      </c>
    </row>
    <row r="21" spans="1:18" x14ac:dyDescent="0.2">
      <c r="C21" s="2">
        <f>SUM(C19:C20)</f>
        <v>10000</v>
      </c>
      <c r="F21" s="25">
        <f>SUM(F19:F20)</f>
        <v>32000</v>
      </c>
      <c r="H21" s="106">
        <f>+F21/C21</f>
        <v>3.2</v>
      </c>
    </row>
    <row r="22" spans="1:18" ht="13.5" thickBo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4" spans="1:18" x14ac:dyDescent="0.2">
      <c r="A24" s="35" t="s">
        <v>420</v>
      </c>
      <c r="B24" s="9"/>
      <c r="J24" s="2"/>
      <c r="K24" s="2"/>
      <c r="L24" s="110"/>
      <c r="M24" s="110"/>
      <c r="N24" s="2"/>
      <c r="O24" s="2"/>
      <c r="P24" s="2"/>
      <c r="Q24" s="2"/>
      <c r="R24" s="2"/>
    </row>
    <row r="25" spans="1:18" x14ac:dyDescent="0.2">
      <c r="J25" s="115"/>
      <c r="K25" s="2"/>
      <c r="L25" s="2"/>
      <c r="M25" s="2"/>
      <c r="N25" s="2"/>
      <c r="O25" s="40"/>
      <c r="P25" s="2"/>
      <c r="Q25" s="2"/>
      <c r="R25" s="2"/>
    </row>
    <row r="26" spans="1:18" x14ac:dyDescent="0.2">
      <c r="A26">
        <v>15000</v>
      </c>
      <c r="B26">
        <v>4.95</v>
      </c>
      <c r="C26" s="8" t="s">
        <v>342</v>
      </c>
      <c r="E26" s="118" t="s">
        <v>100</v>
      </c>
      <c r="F26" s="123"/>
      <c r="J26" s="2"/>
      <c r="K26" s="2"/>
      <c r="L26" s="115"/>
      <c r="M26" s="116"/>
      <c r="N26" s="2"/>
      <c r="O26" s="40"/>
      <c r="P26" s="2"/>
      <c r="Q26" s="2"/>
      <c r="R26" s="2"/>
    </row>
    <row r="27" spans="1:18" x14ac:dyDescent="0.2">
      <c r="E27" s="69" t="s">
        <v>564</v>
      </c>
      <c r="F27" s="70"/>
      <c r="G27" s="70"/>
      <c r="H27" s="71">
        <f>+CNG!$L$2</f>
        <v>2.42</v>
      </c>
      <c r="J27" s="2"/>
      <c r="K27" s="2"/>
      <c r="L27" s="2"/>
      <c r="M27" s="2"/>
      <c r="N27" s="2"/>
      <c r="O27" s="40"/>
      <c r="P27" s="2"/>
      <c r="Q27" s="117"/>
      <c r="R27" s="2"/>
    </row>
    <row r="28" spans="1:18" x14ac:dyDescent="0.2">
      <c r="C28" s="8"/>
    </row>
    <row r="29" spans="1:18" x14ac:dyDescent="0.2">
      <c r="A29" t="s">
        <v>563</v>
      </c>
      <c r="C29" s="8" t="s">
        <v>321</v>
      </c>
      <c r="D29" s="8" t="s">
        <v>319</v>
      </c>
    </row>
    <row r="30" spans="1:18" x14ac:dyDescent="0.2">
      <c r="A30" s="32">
        <f>SUM(CNG!M35:M63)</f>
        <v>945</v>
      </c>
      <c r="C30">
        <v>0</v>
      </c>
      <c r="D30">
        <f>+B26</f>
        <v>4.95</v>
      </c>
      <c r="F30" s="25">
        <f>C30*D30</f>
        <v>0</v>
      </c>
    </row>
    <row r="31" spans="1:18" x14ac:dyDescent="0.2">
      <c r="C31" s="72">
        <f>IF(A30&gt;C30,A30-C30,0)</f>
        <v>945</v>
      </c>
      <c r="D31" s="36">
        <f>+H27</f>
        <v>2.42</v>
      </c>
      <c r="F31" s="73">
        <f>C31*D31</f>
        <v>2286.9</v>
      </c>
      <c r="H31" t="s">
        <v>337</v>
      </c>
    </row>
    <row r="32" spans="1:18" x14ac:dyDescent="0.2">
      <c r="C32" s="2">
        <f>SUM(C30:C31)</f>
        <v>945</v>
      </c>
      <c r="F32" s="25">
        <f>SUM(F30:F31)</f>
        <v>2286.9</v>
      </c>
      <c r="H32" s="107">
        <f>+F32/C32</f>
        <v>2.42</v>
      </c>
    </row>
    <row r="33" spans="1:18" ht="13.5" thickBo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5" spans="1:18" x14ac:dyDescent="0.2">
      <c r="A35" s="35" t="s">
        <v>586</v>
      </c>
      <c r="B35" s="9"/>
      <c r="C35" t="s">
        <v>570</v>
      </c>
      <c r="J35" s="2"/>
      <c r="K35" s="2"/>
      <c r="L35" s="110"/>
      <c r="M35" s="110"/>
      <c r="N35" s="2"/>
      <c r="O35" s="2"/>
      <c r="P35" s="2"/>
      <c r="Q35" s="2"/>
      <c r="R35" s="2"/>
    </row>
    <row r="36" spans="1:18" x14ac:dyDescent="0.2">
      <c r="A36">
        <v>6500</v>
      </c>
      <c r="B36" s="38">
        <v>3.11</v>
      </c>
      <c r="C36" s="8" t="s">
        <v>587</v>
      </c>
      <c r="E36" s="123"/>
      <c r="F36" s="118" t="s">
        <v>100</v>
      </c>
      <c r="J36" s="2"/>
      <c r="K36" s="2"/>
      <c r="L36" s="115"/>
      <c r="M36" s="116"/>
      <c r="N36" s="2"/>
      <c r="O36" s="40"/>
      <c r="P36" s="2"/>
      <c r="Q36" s="2"/>
      <c r="R36" s="2"/>
    </row>
    <row r="37" spans="1:18" x14ac:dyDescent="0.2">
      <c r="C37" s="8"/>
      <c r="E37" s="69" t="s">
        <v>567</v>
      </c>
      <c r="F37" s="70"/>
      <c r="G37" s="134"/>
      <c r="H37" s="135">
        <f>+CNG!$L$2</f>
        <v>2.42</v>
      </c>
      <c r="J37" s="2"/>
      <c r="K37" s="2"/>
      <c r="L37" s="2"/>
      <c r="M37" s="2"/>
      <c r="N37" s="2"/>
      <c r="O37" s="40"/>
      <c r="P37" s="2"/>
      <c r="Q37" s="117"/>
      <c r="R37" s="2"/>
    </row>
    <row r="38" spans="1:18" x14ac:dyDescent="0.2">
      <c r="C38" s="8"/>
    </row>
    <row r="39" spans="1:18" x14ac:dyDescent="0.2">
      <c r="A39" t="s">
        <v>563</v>
      </c>
      <c r="C39" s="8" t="s">
        <v>321</v>
      </c>
      <c r="D39" s="8" t="s">
        <v>319</v>
      </c>
    </row>
    <row r="40" spans="1:18" x14ac:dyDescent="0.2">
      <c r="A40" s="32">
        <f>SUM(CNG!M64:M75)</f>
        <v>1895</v>
      </c>
      <c r="C40">
        <v>0</v>
      </c>
      <c r="D40" s="38">
        <f>+B36</f>
        <v>3.11</v>
      </c>
      <c r="F40" s="25">
        <f>C40*D40</f>
        <v>0</v>
      </c>
    </row>
    <row r="41" spans="1:18" x14ac:dyDescent="0.2">
      <c r="C41" s="72">
        <f>IF(A40&gt;C40,A40-C40,0)</f>
        <v>1895</v>
      </c>
      <c r="D41" s="36">
        <f>+H37</f>
        <v>2.42</v>
      </c>
      <c r="F41" s="73">
        <f>C41*D41</f>
        <v>4585.8999999999996</v>
      </c>
      <c r="H41" t="s">
        <v>337</v>
      </c>
    </row>
    <row r="42" spans="1:18" x14ac:dyDescent="0.2">
      <c r="C42" s="2">
        <f>SUM(C40:C41)</f>
        <v>1895</v>
      </c>
      <c r="F42" s="25">
        <f>SUM(F40:F41)</f>
        <v>4585.8999999999996</v>
      </c>
      <c r="H42" s="107">
        <f>+F42/C42</f>
        <v>2.42</v>
      </c>
    </row>
    <row r="43" spans="1:18" ht="13.5" thickBo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8" x14ac:dyDescent="0.2">
      <c r="A44" s="2"/>
      <c r="B44" s="2"/>
      <c r="C44" s="2"/>
      <c r="D44" s="2"/>
      <c r="E44" s="2"/>
      <c r="F44" s="2"/>
      <c r="G44" s="28"/>
      <c r="H44" s="2"/>
      <c r="I44" s="2"/>
    </row>
    <row r="45" spans="1:18" x14ac:dyDescent="0.2">
      <c r="A45" s="22"/>
      <c r="B45" s="22"/>
      <c r="C45" s="22"/>
      <c r="D45" s="22"/>
      <c r="E45" s="2"/>
      <c r="F45" s="2"/>
      <c r="G45" s="28"/>
      <c r="H45" s="2"/>
      <c r="I45" s="2"/>
    </row>
    <row r="46" spans="1:18" x14ac:dyDescent="0.2">
      <c r="A46" s="14" t="s">
        <v>243</v>
      </c>
      <c r="B46" s="20"/>
      <c r="C46" s="20"/>
      <c r="D46" s="20"/>
      <c r="G46" s="26"/>
    </row>
    <row r="47" spans="1:18" x14ac:dyDescent="0.2">
      <c r="A47" s="20">
        <v>500</v>
      </c>
      <c r="B47" s="20">
        <v>3.02</v>
      </c>
      <c r="C47" s="21" t="s">
        <v>572</v>
      </c>
      <c r="D47" s="20"/>
      <c r="E47" s="9"/>
      <c r="G47" s="26"/>
    </row>
    <row r="48" spans="1:18" x14ac:dyDescent="0.2">
      <c r="A48" s="20">
        <v>1000</v>
      </c>
      <c r="B48" s="100">
        <v>3.3</v>
      </c>
      <c r="C48" s="21" t="s">
        <v>591</v>
      </c>
      <c r="D48" s="20"/>
      <c r="E48" s="118" t="s">
        <v>343</v>
      </c>
      <c r="G48" s="26"/>
    </row>
    <row r="49" spans="1:11" x14ac:dyDescent="0.2">
      <c r="E49" s="15" t="s">
        <v>244</v>
      </c>
      <c r="F49" s="16"/>
      <c r="H49" s="71">
        <f>+CNG!$L$2-0.02</f>
        <v>2.4</v>
      </c>
    </row>
    <row r="50" spans="1:11" x14ac:dyDescent="0.2">
      <c r="H50" s="26"/>
    </row>
    <row r="51" spans="1:11" x14ac:dyDescent="0.2">
      <c r="A51" t="s">
        <v>335</v>
      </c>
      <c r="C51" t="s">
        <v>321</v>
      </c>
      <c r="D51" t="s">
        <v>330</v>
      </c>
      <c r="H51" s="26"/>
    </row>
    <row r="52" spans="1:11" x14ac:dyDescent="0.2">
      <c r="A52" s="18">
        <f>SUM(CNG!M77:M78)</f>
        <v>810</v>
      </c>
      <c r="C52" s="17">
        <v>0</v>
      </c>
      <c r="D52" s="23">
        <f>+B47</f>
        <v>3.02</v>
      </c>
      <c r="E52">
        <f>C52*D52</f>
        <v>0</v>
      </c>
      <c r="H52" s="26"/>
    </row>
    <row r="53" spans="1:11" x14ac:dyDescent="0.2">
      <c r="A53" s="18"/>
      <c r="C53" s="147">
        <v>0</v>
      </c>
      <c r="D53" s="41">
        <f>+B48</f>
        <v>3.3</v>
      </c>
      <c r="E53">
        <f>C53*D53</f>
        <v>0</v>
      </c>
      <c r="H53" s="26"/>
    </row>
    <row r="54" spans="1:11" ht="13.5" thickBot="1" x14ac:dyDescent="0.25">
      <c r="C54" s="77">
        <f>+A52-C52-C53</f>
        <v>810</v>
      </c>
      <c r="D54" s="17">
        <f>H49</f>
        <v>2.4</v>
      </c>
      <c r="E54" s="5">
        <f>C54*D54</f>
        <v>1944</v>
      </c>
      <c r="H54" s="26" t="s">
        <v>337</v>
      </c>
    </row>
    <row r="55" spans="1:11" x14ac:dyDescent="0.2">
      <c r="C55">
        <f>SUM(C52:C54)</f>
        <v>810</v>
      </c>
      <c r="E55">
        <f>SUM(E52:E54)</f>
        <v>1944</v>
      </c>
      <c r="H55" s="102">
        <f>E55/C55</f>
        <v>2.4</v>
      </c>
    </row>
    <row r="56" spans="1:11" ht="13.5" thickBot="1" x14ac:dyDescent="0.25">
      <c r="A56" s="5"/>
      <c r="B56" s="5"/>
      <c r="C56" s="5"/>
      <c r="D56" s="5"/>
      <c r="E56" s="5"/>
      <c r="F56" s="5"/>
      <c r="G56" s="27"/>
      <c r="H56" s="5"/>
      <c r="I56" s="5"/>
    </row>
    <row r="57" spans="1:11" x14ac:dyDescent="0.2">
      <c r="A57" s="2"/>
      <c r="B57" s="2"/>
      <c r="C57" s="2"/>
      <c r="D57" s="2"/>
      <c r="E57" s="2"/>
      <c r="F57" s="2"/>
      <c r="G57" s="28"/>
      <c r="H57" s="2"/>
      <c r="I57" s="2"/>
      <c r="J57" s="2"/>
    </row>
    <row r="58" spans="1:11" x14ac:dyDescent="0.2">
      <c r="A58" s="22"/>
      <c r="B58" s="22"/>
      <c r="C58" s="22"/>
      <c r="D58" s="22"/>
      <c r="E58" s="2"/>
      <c r="F58" s="2"/>
      <c r="G58" s="28"/>
      <c r="H58" s="2"/>
      <c r="I58" s="2"/>
      <c r="J58" s="2"/>
    </row>
    <row r="59" spans="1:11" x14ac:dyDescent="0.2">
      <c r="A59" s="14" t="s">
        <v>378</v>
      </c>
      <c r="B59" s="20"/>
      <c r="C59" s="20"/>
      <c r="D59" s="20"/>
      <c r="G59" s="26"/>
      <c r="J59" s="2"/>
    </row>
    <row r="60" spans="1:11" x14ac:dyDescent="0.2">
      <c r="A60" s="20">
        <v>1000</v>
      </c>
      <c r="B60" s="20">
        <v>4.83</v>
      </c>
      <c r="C60" s="21" t="s">
        <v>597</v>
      </c>
      <c r="D60" s="20"/>
      <c r="E60" s="123" t="s">
        <v>328</v>
      </c>
      <c r="G60" s="26"/>
      <c r="J60" s="2"/>
    </row>
    <row r="61" spans="1:11" x14ac:dyDescent="0.2">
      <c r="A61" s="20">
        <v>0</v>
      </c>
      <c r="B61" s="100">
        <v>5.3</v>
      </c>
      <c r="C61" s="21" t="s">
        <v>598</v>
      </c>
      <c r="D61" s="20"/>
      <c r="E61" s="123" t="s">
        <v>328</v>
      </c>
      <c r="G61" s="26"/>
      <c r="J61" s="2"/>
    </row>
    <row r="62" spans="1:11" x14ac:dyDescent="0.2">
      <c r="A62" s="19"/>
      <c r="E62" s="15" t="s">
        <v>206</v>
      </c>
      <c r="F62" s="16"/>
      <c r="H62" s="71">
        <f>+CNG!$L$2*0.99</f>
        <v>2.3957999999999999</v>
      </c>
      <c r="I62">
        <v>0.95</v>
      </c>
      <c r="J62" s="2"/>
    </row>
    <row r="63" spans="1:11" x14ac:dyDescent="0.2">
      <c r="G63" s="26"/>
      <c r="J63" s="2"/>
    </row>
    <row r="64" spans="1:11" x14ac:dyDescent="0.2">
      <c r="A64" t="s">
        <v>335</v>
      </c>
      <c r="C64" t="s">
        <v>321</v>
      </c>
      <c r="D64" t="s">
        <v>330</v>
      </c>
      <c r="H64" s="26"/>
      <c r="K64" s="2"/>
    </row>
    <row r="65" spans="1:18" x14ac:dyDescent="0.2">
      <c r="A65" s="18">
        <f>SUM(CNG!M79)</f>
        <v>2367</v>
      </c>
      <c r="C65" s="17">
        <f>+A60</f>
        <v>1000</v>
      </c>
      <c r="D65" s="23">
        <f>+B60</f>
        <v>4.83</v>
      </c>
      <c r="E65" s="23"/>
      <c r="F65" s="12">
        <f>C65*D65</f>
        <v>4830</v>
      </c>
      <c r="H65" s="26"/>
      <c r="K65" s="2"/>
    </row>
    <row r="66" spans="1:18" x14ac:dyDescent="0.2">
      <c r="A66" s="18"/>
      <c r="C66" s="158">
        <f>+A61</f>
        <v>0</v>
      </c>
      <c r="D66" s="41">
        <f>+B61</f>
        <v>5.3</v>
      </c>
      <c r="E66" s="41"/>
      <c r="F66" s="12">
        <f>C66*D66</f>
        <v>0</v>
      </c>
      <c r="H66" s="26"/>
      <c r="K66" s="2"/>
    </row>
    <row r="67" spans="1:18" ht="13.5" thickBot="1" x14ac:dyDescent="0.25">
      <c r="C67" s="77">
        <f>+A65-C65-C66</f>
        <v>1367</v>
      </c>
      <c r="D67" s="17">
        <f>H62</f>
        <v>2.3957999999999999</v>
      </c>
      <c r="E67" s="17"/>
      <c r="F67" s="37">
        <f>C67*D67</f>
        <v>3275.0585999999998</v>
      </c>
      <c r="H67" s="26" t="s">
        <v>337</v>
      </c>
      <c r="K67" s="2"/>
    </row>
    <row r="68" spans="1:18" x14ac:dyDescent="0.2">
      <c r="C68">
        <f>SUM(C65:C67)</f>
        <v>2367</v>
      </c>
      <c r="F68" s="12">
        <f>SUM(F65:F67)</f>
        <v>8105.0586000000003</v>
      </c>
      <c r="H68" s="102">
        <f>F68/C68</f>
        <v>3.4241903675538659</v>
      </c>
      <c r="K68" s="2"/>
    </row>
    <row r="69" spans="1:18" ht="13.5" thickBo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</row>
    <row r="71" spans="1:18" x14ac:dyDescent="0.2">
      <c r="A71" s="35" t="s">
        <v>633</v>
      </c>
      <c r="B71" s="9"/>
      <c r="J71" s="2"/>
      <c r="K71" s="2"/>
      <c r="L71" s="110"/>
      <c r="M71" s="110"/>
      <c r="N71" s="2"/>
      <c r="O71" s="2"/>
      <c r="P71" s="2"/>
      <c r="Q71" s="2"/>
      <c r="R71" s="2"/>
    </row>
    <row r="72" spans="1:18" x14ac:dyDescent="0.2">
      <c r="J72" s="115"/>
      <c r="K72" s="2"/>
      <c r="L72" s="2"/>
      <c r="M72" s="2"/>
      <c r="N72" s="2"/>
      <c r="O72" s="40"/>
      <c r="P72" s="2"/>
      <c r="Q72" s="2"/>
      <c r="R72" s="2"/>
    </row>
    <row r="73" spans="1:18" x14ac:dyDescent="0.2">
      <c r="A73">
        <v>2000</v>
      </c>
      <c r="B73" s="12">
        <v>5.8</v>
      </c>
      <c r="C73" s="8" t="s">
        <v>358</v>
      </c>
      <c r="E73" s="123"/>
      <c r="F73" s="123"/>
      <c r="J73" s="2"/>
      <c r="K73" s="2"/>
      <c r="L73" s="115"/>
      <c r="M73" s="116"/>
      <c r="N73" s="2"/>
      <c r="O73" s="40"/>
      <c r="P73" s="2"/>
      <c r="Q73" s="2"/>
      <c r="R73" s="2"/>
    </row>
    <row r="74" spans="1:18" x14ac:dyDescent="0.2">
      <c r="E74" s="69" t="s">
        <v>564</v>
      </c>
      <c r="F74" s="70"/>
      <c r="G74" s="70"/>
      <c r="H74" s="71">
        <f>+CNG!$L$2</f>
        <v>2.42</v>
      </c>
      <c r="J74" s="2"/>
      <c r="K74" s="2"/>
      <c r="L74" s="2"/>
      <c r="M74" s="2"/>
      <c r="N74" s="2"/>
      <c r="O74" s="40"/>
      <c r="P74" s="2"/>
      <c r="Q74" s="117"/>
      <c r="R74" s="2"/>
    </row>
    <row r="75" spans="1:18" x14ac:dyDescent="0.2">
      <c r="C75" s="8"/>
    </row>
    <row r="76" spans="1:18" x14ac:dyDescent="0.2">
      <c r="A76" t="s">
        <v>563</v>
      </c>
      <c r="C76" s="8" t="s">
        <v>321</v>
      </c>
      <c r="D76" s="8" t="s">
        <v>319</v>
      </c>
    </row>
    <row r="77" spans="1:18" x14ac:dyDescent="0.2">
      <c r="A77" s="32">
        <f>SUM(CNG!M96:M106)</f>
        <v>1377</v>
      </c>
      <c r="C77">
        <f>+A73</f>
        <v>2000</v>
      </c>
      <c r="D77">
        <f>+B73</f>
        <v>5.8</v>
      </c>
      <c r="F77" s="25">
        <f>C77*D77</f>
        <v>11600</v>
      </c>
    </row>
    <row r="78" spans="1:18" x14ac:dyDescent="0.2">
      <c r="C78" s="72">
        <f>IF(A77&gt;C77,A77-C77,0)</f>
        <v>0</v>
      </c>
      <c r="D78" s="36">
        <f>+H74</f>
        <v>2.42</v>
      </c>
      <c r="F78" s="73">
        <f>C78*D78</f>
        <v>0</v>
      </c>
      <c r="H78" t="s">
        <v>337</v>
      </c>
    </row>
    <row r="79" spans="1:18" x14ac:dyDescent="0.2">
      <c r="C79" s="2">
        <f>SUM(C77:C78)</f>
        <v>2000</v>
      </c>
      <c r="F79" s="25">
        <f>SUM(F77:F78)</f>
        <v>11600</v>
      </c>
      <c r="H79" s="107">
        <f>ROUND(+F79/C79,4)</f>
        <v>5.8</v>
      </c>
    </row>
    <row r="80" spans="1:18" ht="13.5" thickBo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">
      <c r="A81" s="35" t="s">
        <v>532</v>
      </c>
    </row>
    <row r="82" spans="1:10" x14ac:dyDescent="0.2">
      <c r="F82" s="118" t="s">
        <v>100</v>
      </c>
    </row>
    <row r="83" spans="1:10" x14ac:dyDescent="0.2">
      <c r="A83" t="s">
        <v>338</v>
      </c>
      <c r="B83">
        <v>3.03</v>
      </c>
      <c r="C83" s="8" t="s">
        <v>565</v>
      </c>
      <c r="E83" s="69" t="s">
        <v>562</v>
      </c>
      <c r="F83" s="70"/>
      <c r="G83" s="70"/>
      <c r="H83" s="71">
        <f>+CNG!$L$2</f>
        <v>2.42</v>
      </c>
    </row>
    <row r="85" spans="1:10" x14ac:dyDescent="0.2">
      <c r="A85" t="s">
        <v>335</v>
      </c>
      <c r="C85" s="43" t="s">
        <v>321</v>
      </c>
      <c r="D85" s="43" t="s">
        <v>330</v>
      </c>
    </row>
    <row r="86" spans="1:10" x14ac:dyDescent="0.2">
      <c r="A86" s="32">
        <f>SUM(CNG!M113:M115)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72">
        <f>IF(A86&gt;C86,A86-C86,0)</f>
        <v>0</v>
      </c>
      <c r="D87" s="36">
        <f>H83</f>
        <v>2.42</v>
      </c>
      <c r="F87" s="72">
        <f>C87*D87</f>
        <v>0</v>
      </c>
      <c r="H87" t="s">
        <v>337</v>
      </c>
    </row>
    <row r="88" spans="1:10" x14ac:dyDescent="0.2">
      <c r="C88" s="2">
        <f>SUM(C86:C87)</f>
        <v>6000</v>
      </c>
      <c r="F88">
        <f>SUM(F86:F87)</f>
        <v>18180</v>
      </c>
      <c r="H88" s="106">
        <f>+F88/C88</f>
        <v>3.03</v>
      </c>
    </row>
    <row r="90" spans="1:10" ht="13.5" thickBo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</row>
    <row r="92" spans="1:10" x14ac:dyDescent="0.2">
      <c r="A92" s="8" t="s">
        <v>102</v>
      </c>
      <c r="D92" s="165" t="s">
        <v>100</v>
      </c>
      <c r="E92" s="8"/>
    </row>
    <row r="93" spans="1:10" x14ac:dyDescent="0.2">
      <c r="C93" s="166" t="s">
        <v>91</v>
      </c>
      <c r="D93" s="162"/>
      <c r="E93" s="162"/>
      <c r="F93" s="162"/>
      <c r="G93" s="162" t="s">
        <v>93</v>
      </c>
      <c r="H93">
        <v>9000</v>
      </c>
      <c r="I93">
        <v>2.95</v>
      </c>
      <c r="J93" t="s">
        <v>94</v>
      </c>
    </row>
    <row r="94" spans="1:10" x14ac:dyDescent="0.2">
      <c r="A94">
        <v>0</v>
      </c>
      <c r="B94">
        <v>2.86</v>
      </c>
      <c r="C94" s="166" t="s">
        <v>92</v>
      </c>
      <c r="D94" s="162"/>
      <c r="E94" s="162"/>
      <c r="F94" s="162"/>
      <c r="G94" s="162" t="s">
        <v>93</v>
      </c>
      <c r="H94">
        <v>8000</v>
      </c>
      <c r="I94">
        <v>2.62</v>
      </c>
      <c r="J94" s="121" t="s">
        <v>94</v>
      </c>
    </row>
    <row r="95" spans="1:10" x14ac:dyDescent="0.2">
      <c r="A95">
        <v>0</v>
      </c>
      <c r="B95">
        <v>3.16</v>
      </c>
      <c r="C95" s="166" t="s">
        <v>112</v>
      </c>
      <c r="D95" s="162"/>
      <c r="E95" s="162"/>
      <c r="F95" s="162"/>
      <c r="G95" s="162" t="s">
        <v>93</v>
      </c>
      <c r="H95">
        <v>11000</v>
      </c>
      <c r="I95">
        <v>3.2</v>
      </c>
      <c r="J95" t="s">
        <v>95</v>
      </c>
    </row>
    <row r="97" spans="1:11" x14ac:dyDescent="0.2">
      <c r="D97" s="69" t="s">
        <v>562</v>
      </c>
      <c r="E97" s="70"/>
      <c r="F97" s="70"/>
      <c r="G97" s="104"/>
      <c r="H97" s="71">
        <f>+CNG!$L$2</f>
        <v>2.42</v>
      </c>
    </row>
    <row r="98" spans="1:11" x14ac:dyDescent="0.2">
      <c r="A98" t="s">
        <v>563</v>
      </c>
      <c r="C98" s="8" t="s">
        <v>321</v>
      </c>
      <c r="D98" s="8" t="s">
        <v>319</v>
      </c>
    </row>
    <row r="99" spans="1:11" x14ac:dyDescent="0.2">
      <c r="A99" s="32">
        <f>SUM(CNG!M137:M154)</f>
        <v>2612</v>
      </c>
      <c r="C99">
        <f>+A94</f>
        <v>0</v>
      </c>
      <c r="D99">
        <f>+B94</f>
        <v>2.86</v>
      </c>
      <c r="F99" s="25">
        <f>C99*D99</f>
        <v>0</v>
      </c>
    </row>
    <row r="100" spans="1:11" x14ac:dyDescent="0.2">
      <c r="A100" s="32"/>
      <c r="C100">
        <f>+A95</f>
        <v>0</v>
      </c>
      <c r="D100">
        <f>+B95</f>
        <v>3.16</v>
      </c>
      <c r="F100" s="25">
        <f>C100*D100</f>
        <v>0</v>
      </c>
    </row>
    <row r="101" spans="1:11" x14ac:dyDescent="0.2">
      <c r="C101" s="163">
        <f>+A99-C99-C100</f>
        <v>2612</v>
      </c>
      <c r="D101" s="36">
        <f>H97</f>
        <v>2.42</v>
      </c>
      <c r="F101" s="73">
        <f>C101*D101</f>
        <v>6321.04</v>
      </c>
      <c r="H101" t="s">
        <v>337</v>
      </c>
    </row>
    <row r="102" spans="1:11" x14ac:dyDescent="0.2">
      <c r="C102" s="2">
        <f>SUM(C99:C101)</f>
        <v>2612</v>
      </c>
      <c r="F102" s="25">
        <f>SUM(F99:F101)</f>
        <v>6321.04</v>
      </c>
      <c r="H102" s="106">
        <f>+F102/C102</f>
        <v>2.42</v>
      </c>
    </row>
    <row r="103" spans="1:11" ht="13.5" thickBo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1" x14ac:dyDescent="0.2">
      <c r="A104" s="2"/>
      <c r="B104" s="2"/>
      <c r="C104" s="2"/>
      <c r="D104" s="2"/>
      <c r="E104" s="2"/>
      <c r="F104" s="2"/>
      <c r="G104" s="28"/>
      <c r="H104" s="2"/>
      <c r="I104" s="2"/>
      <c r="J104" s="2"/>
    </row>
    <row r="105" spans="1:11" x14ac:dyDescent="0.2">
      <c r="A105" s="22"/>
      <c r="B105" s="22"/>
      <c r="C105" s="22"/>
      <c r="D105" s="22"/>
      <c r="E105" s="2"/>
      <c r="F105" s="2"/>
      <c r="G105" s="28"/>
      <c r="H105" s="2"/>
      <c r="I105" s="2"/>
      <c r="J105" s="2"/>
    </row>
    <row r="106" spans="1:11" x14ac:dyDescent="0.2">
      <c r="A106" s="14" t="s">
        <v>599</v>
      </c>
      <c r="B106" s="20"/>
      <c r="C106" s="20"/>
      <c r="D106" s="20"/>
      <c r="G106" s="26"/>
      <c r="J106" s="2"/>
    </row>
    <row r="107" spans="1:11" x14ac:dyDescent="0.2">
      <c r="A107" s="20">
        <v>4500</v>
      </c>
      <c r="B107" s="20">
        <v>4.83</v>
      </c>
      <c r="C107" s="21" t="s">
        <v>597</v>
      </c>
      <c r="D107" s="20"/>
      <c r="E107" s="123"/>
      <c r="G107" s="26"/>
      <c r="J107" s="2"/>
    </row>
    <row r="108" spans="1:11" x14ac:dyDescent="0.2">
      <c r="A108" s="20">
        <v>5000</v>
      </c>
      <c r="B108" s="100">
        <v>5.3</v>
      </c>
      <c r="C108" s="21" t="s">
        <v>598</v>
      </c>
      <c r="D108" s="20"/>
      <c r="E108" s="123"/>
      <c r="G108" s="26"/>
      <c r="J108" s="2"/>
    </row>
    <row r="109" spans="1:11" x14ac:dyDescent="0.2">
      <c r="A109" s="19"/>
      <c r="E109" s="15" t="s">
        <v>206</v>
      </c>
      <c r="F109" s="16"/>
      <c r="H109" s="71">
        <f>+CNG!$L$2*0.99</f>
        <v>2.3957999999999999</v>
      </c>
      <c r="I109">
        <v>0.95</v>
      </c>
      <c r="J109" s="2">
        <v>10.53</v>
      </c>
    </row>
    <row r="110" spans="1:11" x14ac:dyDescent="0.2">
      <c r="G110" s="26"/>
      <c r="J110" s="2"/>
    </row>
    <row r="111" spans="1:11" x14ac:dyDescent="0.2">
      <c r="A111" t="s">
        <v>335</v>
      </c>
      <c r="C111" t="s">
        <v>321</v>
      </c>
      <c r="D111" t="s">
        <v>330</v>
      </c>
      <c r="H111" s="26"/>
      <c r="K111" s="2"/>
    </row>
    <row r="112" spans="1:11" x14ac:dyDescent="0.2">
      <c r="A112" s="18">
        <f>SUM(CNG!M180:M191)</f>
        <v>5523</v>
      </c>
      <c r="C112" s="17">
        <f>+A107</f>
        <v>4500</v>
      </c>
      <c r="D112" s="23">
        <f>+B107</f>
        <v>4.83</v>
      </c>
      <c r="E112" s="23"/>
      <c r="F112" s="12">
        <f>C112*D112</f>
        <v>21735</v>
      </c>
      <c r="H112" s="26"/>
      <c r="K112" s="2"/>
    </row>
    <row r="113" spans="1:11" x14ac:dyDescent="0.2">
      <c r="A113" s="18"/>
      <c r="C113" s="17">
        <v>0</v>
      </c>
      <c r="D113" s="41">
        <f>+B108</f>
        <v>5.3</v>
      </c>
      <c r="E113" s="41"/>
      <c r="F113" s="12">
        <f>C113*D113</f>
        <v>0</v>
      </c>
      <c r="H113" s="26"/>
      <c r="K113" s="2"/>
    </row>
    <row r="114" spans="1:11" ht="13.5" thickBot="1" x14ac:dyDescent="0.25">
      <c r="C114" s="77">
        <f>+A112-C112-C113</f>
        <v>1023</v>
      </c>
      <c r="D114" s="17">
        <f>H109</f>
        <v>2.3957999999999999</v>
      </c>
      <c r="E114" s="17"/>
      <c r="F114" s="37">
        <f>C114*D114</f>
        <v>2450.9034000000001</v>
      </c>
      <c r="H114" s="26" t="s">
        <v>337</v>
      </c>
      <c r="K114" s="2"/>
    </row>
    <row r="115" spans="1:11" x14ac:dyDescent="0.2">
      <c r="C115">
        <f>SUM(C112:C114)</f>
        <v>5523</v>
      </c>
      <c r="F115" s="12">
        <f>SUM(F112:F114)</f>
        <v>24185.903399999999</v>
      </c>
      <c r="H115" s="102">
        <f>F115/C115</f>
        <v>4.379124280282455</v>
      </c>
      <c r="K115" s="2"/>
    </row>
    <row r="116" spans="1:11" ht="13.5" thickBot="1" x14ac:dyDescent="0.25">
      <c r="A116" s="5"/>
      <c r="B116" s="5"/>
      <c r="C116" s="5"/>
      <c r="D116" s="5"/>
      <c r="E116" s="5"/>
      <c r="F116" s="5"/>
      <c r="G116" s="27"/>
      <c r="H116" s="5"/>
      <c r="I116" s="5"/>
      <c r="J116" s="5"/>
    </row>
    <row r="118" spans="1:11" x14ac:dyDescent="0.2">
      <c r="A118" t="s">
        <v>103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1" x14ac:dyDescent="0.2">
      <c r="C119" s="123"/>
      <c r="D119" s="123" t="s">
        <v>406</v>
      </c>
      <c r="F119" s="9"/>
    </row>
    <row r="120" spans="1:11" x14ac:dyDescent="0.2">
      <c r="A120">
        <v>0</v>
      </c>
      <c r="B120">
        <v>4.16</v>
      </c>
      <c r="C120" s="124" t="s">
        <v>412</v>
      </c>
      <c r="D120" s="123"/>
      <c r="E120" s="69" t="s">
        <v>105</v>
      </c>
      <c r="F120" s="70"/>
      <c r="G120" s="70"/>
      <c r="H120" s="71">
        <f>+CNG!$L$2*0.99</f>
        <v>2.3957999999999999</v>
      </c>
    </row>
    <row r="121" spans="1:11" x14ac:dyDescent="0.2">
      <c r="C121" s="8"/>
    </row>
    <row r="122" spans="1:11" x14ac:dyDescent="0.2">
      <c r="A122" t="s">
        <v>335</v>
      </c>
      <c r="C122" s="43" t="s">
        <v>321</v>
      </c>
      <c r="D122" s="43" t="s">
        <v>330</v>
      </c>
    </row>
    <row r="123" spans="1:11" x14ac:dyDescent="0.2">
      <c r="A123" s="32">
        <f>SUM(CNG!M213:M222)</f>
        <v>481</v>
      </c>
      <c r="C123">
        <f>+A120</f>
        <v>0</v>
      </c>
      <c r="D123">
        <f>+B120</f>
        <v>4.16</v>
      </c>
      <c r="F123" s="30">
        <f>C123*D123</f>
        <v>0</v>
      </c>
    </row>
    <row r="124" spans="1:11" x14ac:dyDescent="0.2">
      <c r="C124" s="72">
        <f>IF(A123&gt;C123,A123-C123,0)</f>
        <v>481</v>
      </c>
      <c r="D124" s="17">
        <f>H120</f>
        <v>2.3957999999999999</v>
      </c>
      <c r="F124" s="108">
        <f>C124*D124</f>
        <v>1152.3797999999999</v>
      </c>
      <c r="H124" t="s">
        <v>337</v>
      </c>
    </row>
    <row r="125" spans="1:11" x14ac:dyDescent="0.2">
      <c r="C125" s="2">
        <f>SUM(C123:C124)</f>
        <v>481</v>
      </c>
      <c r="F125" s="30">
        <f>SUM(F123:F124)</f>
        <v>1152.3797999999999</v>
      </c>
      <c r="H125" s="106">
        <f>+F125/C125</f>
        <v>2.3957999999999999</v>
      </c>
    </row>
    <row r="126" spans="1:11" x14ac:dyDescent="0.2">
      <c r="C126" s="2"/>
      <c r="H126" s="13"/>
    </row>
    <row r="127" spans="1:11" ht="13.5" thickBot="1" x14ac:dyDescent="0.25">
      <c r="A127" s="5"/>
      <c r="B127" s="5"/>
      <c r="C127" s="5"/>
      <c r="D127" s="5"/>
      <c r="E127" s="5"/>
      <c r="F127" s="5"/>
      <c r="G127" s="5"/>
      <c r="H127" s="105"/>
      <c r="I127" s="5"/>
      <c r="J127" s="5"/>
    </row>
    <row r="128" spans="1:11" x14ac:dyDescent="0.2">
      <c r="A128" t="s">
        <v>313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E129" s="118" t="s">
        <v>100</v>
      </c>
      <c r="J129" s="2"/>
    </row>
    <row r="130" spans="1:10" x14ac:dyDescent="0.2">
      <c r="A130" t="s">
        <v>107</v>
      </c>
      <c r="B130">
        <v>5.9850000000000003</v>
      </c>
      <c r="C130" s="8" t="s">
        <v>364</v>
      </c>
      <c r="E130" s="69" t="s">
        <v>109</v>
      </c>
      <c r="F130" s="70"/>
      <c r="G130" s="70"/>
      <c r="H130" s="141">
        <f>+CNG!$L$2</f>
        <v>2.42</v>
      </c>
      <c r="J130" s="2"/>
    </row>
    <row r="131" spans="1:10" x14ac:dyDescent="0.2">
      <c r="C131" s="8"/>
      <c r="J131" s="2"/>
    </row>
    <row r="132" spans="1:10" x14ac:dyDescent="0.2">
      <c r="A132" t="s">
        <v>335</v>
      </c>
      <c r="C132" s="43" t="s">
        <v>321</v>
      </c>
      <c r="D132" s="43" t="s">
        <v>330</v>
      </c>
      <c r="J132" s="2"/>
    </row>
    <row r="133" spans="1:10" x14ac:dyDescent="0.2">
      <c r="A133" s="32">
        <f>SUM(CNG!M233:M250)</f>
        <v>8396</v>
      </c>
      <c r="C133">
        <v>0</v>
      </c>
      <c r="D133">
        <v>5.9850000000000003</v>
      </c>
      <c r="F133">
        <f>C133*D133</f>
        <v>0</v>
      </c>
      <c r="J133" s="2"/>
    </row>
    <row r="134" spans="1:10" x14ac:dyDescent="0.2">
      <c r="C134" s="72">
        <f>IF(A133&gt;C133,A133-C133,0)</f>
        <v>8396</v>
      </c>
      <c r="D134" s="17">
        <f>H130</f>
        <v>2.42</v>
      </c>
      <c r="F134" s="72">
        <f>C134*D134</f>
        <v>20318.32</v>
      </c>
      <c r="H134" t="s">
        <v>337</v>
      </c>
      <c r="J134" s="2"/>
    </row>
    <row r="135" spans="1:10" x14ac:dyDescent="0.2">
      <c r="C135" s="2">
        <f>SUM(C133:C134)</f>
        <v>8396</v>
      </c>
      <c r="F135">
        <f>SUM(F133:F134)</f>
        <v>20318.32</v>
      </c>
      <c r="H135" s="106">
        <f>+F135/C135</f>
        <v>2.42</v>
      </c>
      <c r="J135" s="2"/>
    </row>
    <row r="136" spans="1:10" x14ac:dyDescent="0.2">
      <c r="C136" s="2"/>
      <c r="H136" s="13"/>
      <c r="J136" s="2"/>
    </row>
    <row r="137" spans="1:10" ht="13.5" thickBot="1" x14ac:dyDescent="0.25">
      <c r="A137" s="5"/>
      <c r="B137" s="5"/>
      <c r="C137" s="5"/>
      <c r="D137" s="5"/>
      <c r="E137" s="5"/>
      <c r="F137" s="5"/>
      <c r="G137" s="5"/>
      <c r="H137" s="105"/>
      <c r="I137" s="5"/>
      <c r="J137" s="2"/>
    </row>
    <row r="138" spans="1:10" x14ac:dyDescent="0.2">
      <c r="A138" s="2"/>
      <c r="B138" s="2"/>
      <c r="C138" s="2"/>
      <c r="D138" s="2"/>
      <c r="E138" s="2"/>
      <c r="F138" s="2"/>
      <c r="G138" s="2"/>
      <c r="H138" s="144"/>
      <c r="I138" s="2"/>
      <c r="J138" s="2"/>
    </row>
    <row r="139" spans="1:1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t="s">
        <v>106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D141" s="118" t="s">
        <v>100</v>
      </c>
    </row>
    <row r="142" spans="1:10" x14ac:dyDescent="0.2">
      <c r="A142" t="s">
        <v>107</v>
      </c>
      <c r="B142">
        <v>3.16</v>
      </c>
      <c r="C142" s="166" t="s">
        <v>108</v>
      </c>
      <c r="D142" s="162"/>
      <c r="E142" s="69" t="s">
        <v>109</v>
      </c>
      <c r="F142" s="70"/>
      <c r="G142" s="70"/>
      <c r="H142" s="141">
        <f>+CNG!$L$2</f>
        <v>2.42</v>
      </c>
    </row>
    <row r="143" spans="1:10" x14ac:dyDescent="0.2">
      <c r="C143" s="8"/>
    </row>
    <row r="144" spans="1:10" x14ac:dyDescent="0.2">
      <c r="A144" t="s">
        <v>335</v>
      </c>
      <c r="C144" s="43" t="s">
        <v>321</v>
      </c>
      <c r="D144" s="43" t="s">
        <v>330</v>
      </c>
    </row>
    <row r="145" spans="1:12" x14ac:dyDescent="0.2">
      <c r="A145" s="32">
        <f>SUM(CNG!M265:M269)</f>
        <v>1168</v>
      </c>
      <c r="C145">
        <v>0</v>
      </c>
      <c r="D145">
        <v>3.16</v>
      </c>
      <c r="F145">
        <f>C145*D145</f>
        <v>0</v>
      </c>
    </row>
    <row r="146" spans="1:12" x14ac:dyDescent="0.2">
      <c r="C146" s="72">
        <f>IF(A145&gt;C145,A145-C145,0)</f>
        <v>1168</v>
      </c>
      <c r="D146" s="17">
        <f>H142</f>
        <v>2.42</v>
      </c>
      <c r="F146" s="72">
        <f>C146*D146</f>
        <v>2826.56</v>
      </c>
      <c r="H146" t="s">
        <v>337</v>
      </c>
    </row>
    <row r="147" spans="1:12" x14ac:dyDescent="0.2">
      <c r="C147" s="2">
        <f>SUM(C145:C146)</f>
        <v>1168</v>
      </c>
      <c r="F147">
        <f>SUM(F145:F146)</f>
        <v>2826.56</v>
      </c>
      <c r="H147" s="106">
        <f>+F147/C147</f>
        <v>2.42</v>
      </c>
    </row>
    <row r="148" spans="1:12" x14ac:dyDescent="0.2">
      <c r="C148" s="2"/>
      <c r="H148" s="13"/>
    </row>
    <row r="149" spans="1:12" ht="13.5" thickBot="1" x14ac:dyDescent="0.25">
      <c r="A149" s="5"/>
      <c r="B149" s="5"/>
      <c r="C149" s="5"/>
      <c r="D149" s="5"/>
      <c r="E149" s="5"/>
      <c r="F149" s="5"/>
      <c r="G149" s="5"/>
      <c r="H149" s="105"/>
      <c r="I149" s="5"/>
      <c r="J149" s="5"/>
    </row>
    <row r="150" spans="1:12" x14ac:dyDescent="0.2">
      <c r="J150" s="2"/>
    </row>
    <row r="151" spans="1:12" x14ac:dyDescent="0.2">
      <c r="A151" s="29" t="s">
        <v>626</v>
      </c>
      <c r="B151" s="101"/>
      <c r="C151" s="182" t="s">
        <v>377</v>
      </c>
      <c r="D151" s="101"/>
      <c r="E151" s="2"/>
      <c r="F151" s="2"/>
      <c r="G151" s="2"/>
      <c r="H151" s="2"/>
      <c r="I151" s="2"/>
    </row>
    <row r="152" spans="1:12" x14ac:dyDescent="0.2">
      <c r="J152" s="120" t="s">
        <v>568</v>
      </c>
    </row>
    <row r="153" spans="1:12" x14ac:dyDescent="0.2">
      <c r="A153" t="s">
        <v>107</v>
      </c>
      <c r="B153">
        <v>5.05</v>
      </c>
      <c r="C153" s="8" t="s">
        <v>566</v>
      </c>
      <c r="E153" s="69" t="s">
        <v>567</v>
      </c>
      <c r="F153" s="70"/>
      <c r="G153" s="70"/>
      <c r="H153" s="71">
        <f>+CNG!$L$2</f>
        <v>2.42</v>
      </c>
      <c r="J153" s="120">
        <v>2.86</v>
      </c>
      <c r="K153" s="133" t="s">
        <v>110</v>
      </c>
      <c r="L153" s="120"/>
    </row>
    <row r="154" spans="1:12" x14ac:dyDescent="0.2">
      <c r="C154" s="8"/>
    </row>
    <row r="155" spans="1:12" x14ac:dyDescent="0.2">
      <c r="A155" t="s">
        <v>335</v>
      </c>
      <c r="C155" s="43" t="s">
        <v>321</v>
      </c>
      <c r="D155" s="43" t="s">
        <v>330</v>
      </c>
    </row>
    <row r="156" spans="1:12" x14ac:dyDescent="0.2">
      <c r="A156" s="32">
        <f>SUM(CNG!M270:M276)</f>
        <v>1209</v>
      </c>
      <c r="C156">
        <v>0</v>
      </c>
      <c r="D156">
        <f>+B153</f>
        <v>5.05</v>
      </c>
      <c r="F156" s="12">
        <f>C156*D156</f>
        <v>0</v>
      </c>
    </row>
    <row r="157" spans="1:12" x14ac:dyDescent="0.2">
      <c r="C157" s="72">
        <f>IF(A156&gt;C156,A156-C156,0)</f>
        <v>1209</v>
      </c>
      <c r="D157" s="17">
        <f>H153</f>
        <v>2.42</v>
      </c>
      <c r="F157" s="72">
        <f>C157*D157</f>
        <v>2925.7799999999997</v>
      </c>
      <c r="H157" t="s">
        <v>337</v>
      </c>
    </row>
    <row r="158" spans="1:12" x14ac:dyDescent="0.2">
      <c r="C158" s="2">
        <f>SUM(C156:C157)</f>
        <v>1209</v>
      </c>
      <c r="F158">
        <f>SUM(F156:F157)</f>
        <v>2925.7799999999997</v>
      </c>
      <c r="H158" s="13">
        <f>+F158/C158</f>
        <v>2.42</v>
      </c>
    </row>
    <row r="159" spans="1:12" x14ac:dyDescent="0.2">
      <c r="C159" s="2"/>
      <c r="H159" s="13"/>
    </row>
    <row r="160" spans="1:12" ht="13.5" thickBo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2" t="s">
        <v>571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2"/>
      <c r="B163" s="2"/>
      <c r="C163" s="160" t="s">
        <v>100</v>
      </c>
      <c r="D163" s="2"/>
      <c r="E163" s="2"/>
      <c r="F163" s="2"/>
      <c r="G163" s="2"/>
      <c r="H163" s="2"/>
      <c r="I163" s="2"/>
      <c r="J163" s="2"/>
    </row>
    <row r="164" spans="1:10" x14ac:dyDescent="0.2">
      <c r="A164" s="2">
        <v>0</v>
      </c>
      <c r="B164" s="2">
        <v>3.16</v>
      </c>
      <c r="C164" s="8" t="s">
        <v>572</v>
      </c>
      <c r="D164" s="2"/>
      <c r="E164" s="69" t="s">
        <v>562</v>
      </c>
      <c r="F164" s="70"/>
      <c r="G164" s="70"/>
      <c r="H164" s="71">
        <f>+CNG!$L$2</f>
        <v>2.42</v>
      </c>
      <c r="I164" s="2"/>
      <c r="J164" s="2"/>
    </row>
    <row r="165" spans="1:10" x14ac:dyDescent="0.2">
      <c r="A165" s="2"/>
      <c r="B165" s="2"/>
      <c r="C165" s="8"/>
      <c r="D165" s="2"/>
      <c r="E165" s="2"/>
      <c r="F165" s="2"/>
      <c r="G165" s="2"/>
      <c r="H165" s="2"/>
      <c r="I165" s="2"/>
      <c r="J165" s="2"/>
    </row>
    <row r="166" spans="1:10" x14ac:dyDescent="0.2">
      <c r="A166" t="s">
        <v>335</v>
      </c>
      <c r="C166" s="43" t="s">
        <v>321</v>
      </c>
      <c r="D166" s="43" t="s">
        <v>330</v>
      </c>
      <c r="I166" s="2"/>
      <c r="J166" s="2"/>
    </row>
    <row r="167" spans="1:10" x14ac:dyDescent="0.2">
      <c r="A167" s="32">
        <f>SUM(CNG!M277:M279)</f>
        <v>523</v>
      </c>
      <c r="C167">
        <f>+A164</f>
        <v>0</v>
      </c>
      <c r="D167">
        <f>+B164</f>
        <v>3.16</v>
      </c>
      <c r="F167" s="12">
        <f>C167*D167</f>
        <v>0</v>
      </c>
      <c r="I167" s="2"/>
      <c r="J167" s="2"/>
    </row>
    <row r="168" spans="1:10" x14ac:dyDescent="0.2">
      <c r="C168" s="72">
        <f>IF(A167&gt;C167,A167-C167,0)</f>
        <v>523</v>
      </c>
      <c r="D168" s="17">
        <f>H164</f>
        <v>2.42</v>
      </c>
      <c r="F168" s="111">
        <f>C168*D168</f>
        <v>1265.6599999999999</v>
      </c>
      <c r="H168" t="s">
        <v>337</v>
      </c>
      <c r="I168" s="2"/>
      <c r="J168" s="2"/>
    </row>
    <row r="169" spans="1:10" x14ac:dyDescent="0.2">
      <c r="C169" s="2">
        <f>SUM(C167:C168)</f>
        <v>523</v>
      </c>
      <c r="F169" s="12">
        <f>SUM(F167:F168)</f>
        <v>1265.6599999999999</v>
      </c>
      <c r="H169" s="106">
        <f>+F169/C169</f>
        <v>2.42</v>
      </c>
      <c r="I169" s="2"/>
      <c r="J169" s="2"/>
    </row>
    <row r="170" spans="1:10" ht="13.5" thickBo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">
      <c r="A172" s="2" t="s">
        <v>622</v>
      </c>
      <c r="C172" s="160" t="s">
        <v>100</v>
      </c>
      <c r="D172" s="2"/>
      <c r="E172" s="2"/>
      <c r="F172" s="2"/>
      <c r="G172" s="2"/>
      <c r="H172" s="2"/>
      <c r="I172" s="2"/>
      <c r="J172" s="2"/>
    </row>
    <row r="173" spans="1:1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">
      <c r="A174" s="2" t="s">
        <v>623</v>
      </c>
      <c r="B174" s="2">
        <v>3.01</v>
      </c>
      <c r="C174" s="8" t="s">
        <v>104</v>
      </c>
      <c r="D174" s="2"/>
      <c r="E174" s="69" t="s">
        <v>562</v>
      </c>
      <c r="F174" s="70"/>
      <c r="G174" s="70"/>
      <c r="H174" s="71">
        <f>+CNG!$L$2*0.99</f>
        <v>2.3957999999999999</v>
      </c>
      <c r="I174" s="2"/>
      <c r="J174" s="2"/>
    </row>
    <row r="175" spans="1:10" x14ac:dyDescent="0.2">
      <c r="A175" s="2"/>
      <c r="B175" s="2"/>
      <c r="C175" s="8"/>
      <c r="D175" s="2"/>
      <c r="E175" s="2"/>
      <c r="F175" s="2"/>
      <c r="G175" s="2"/>
      <c r="H175" s="2"/>
      <c r="I175" s="2"/>
      <c r="J175" s="2"/>
    </row>
    <row r="176" spans="1:10" x14ac:dyDescent="0.2">
      <c r="A176" t="s">
        <v>335</v>
      </c>
      <c r="C176" s="43" t="s">
        <v>321</v>
      </c>
      <c r="D176" s="43" t="s">
        <v>330</v>
      </c>
      <c r="I176" s="2"/>
      <c r="J176" s="2"/>
    </row>
    <row r="177" spans="1:10" x14ac:dyDescent="0.2">
      <c r="A177" s="32">
        <f>SUM(CNG!M203:M206)</f>
        <v>6166</v>
      </c>
      <c r="C177">
        <v>10000</v>
      </c>
      <c r="D177">
        <f>+B174</f>
        <v>3.01</v>
      </c>
      <c r="F177" s="12">
        <f>C177*D177</f>
        <v>30099.999999999996</v>
      </c>
      <c r="I177" s="2"/>
      <c r="J177" s="2"/>
    </row>
    <row r="178" spans="1:10" x14ac:dyDescent="0.2">
      <c r="C178" s="72">
        <f>IF(A177&gt;C177,A177-C177,0)</f>
        <v>0</v>
      </c>
      <c r="D178" s="17">
        <f>H174</f>
        <v>2.3957999999999999</v>
      </c>
      <c r="F178" s="111">
        <f>C178*D178</f>
        <v>0</v>
      </c>
      <c r="H178" t="s">
        <v>337</v>
      </c>
      <c r="I178" s="2"/>
      <c r="J178" s="2"/>
    </row>
    <row r="179" spans="1:10" x14ac:dyDescent="0.2">
      <c r="C179" s="2">
        <f>SUM(C177:C178)</f>
        <v>10000</v>
      </c>
      <c r="F179" s="12">
        <f>SUM(F177:F178)</f>
        <v>30099.999999999996</v>
      </c>
      <c r="H179" s="13">
        <f>+F179/C179</f>
        <v>3.01</v>
      </c>
      <c r="I179" s="2"/>
      <c r="J179" s="2"/>
    </row>
    <row r="180" spans="1:10" ht="13.5" thickBo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EffDate</vt:lpstr>
      <vt:lpstr>SplitVol</vt:lpstr>
      <vt:lpstr>Dedcode</vt:lpstr>
      <vt:lpstr>CNGx</vt:lpstr>
      <vt:lpstr>CNGData</vt:lpstr>
      <vt:lpstr>CNG</vt:lpstr>
      <vt:lpstr>CNGPricing</vt:lpstr>
      <vt:lpstr>cngdata</vt:lpstr>
      <vt:lpstr>CNGDataF</vt:lpstr>
      <vt:lpstr>cngded</vt:lpstr>
      <vt:lpstr>CNGx</vt:lpstr>
      <vt:lpstr>Dedcode</vt:lpstr>
      <vt:lpstr>EffDate</vt:lpstr>
      <vt:lpstr>INCNG</vt:lpstr>
      <vt:lpstr>CNG!Print_Area</vt:lpstr>
      <vt:lpstr>CNGData!Print_Area</vt:lpstr>
      <vt:lpstr>CNGPricing!Print_Area</vt:lpstr>
      <vt:lpstr>CNG!Print_Titles</vt:lpstr>
      <vt:lpstr>Retention</vt:lpstr>
      <vt:lpstr>SplitVol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2002-01-18T16:00:56Z</cp:lastPrinted>
  <dcterms:created xsi:type="dcterms:W3CDTF">1998-04-01T15:34:04Z</dcterms:created>
  <dcterms:modified xsi:type="dcterms:W3CDTF">2023-09-17T18:52:39Z</dcterms:modified>
</cp:coreProperties>
</file>